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Man Tab" sheetId="366" r:id="rId4"/>
    <sheet name="HV" sheetId="367" r:id="rId5"/>
    <sheet name="Léky Žádanky" sheetId="219" r:id="rId6"/>
    <sheet name="LŽ Detail" sheetId="220" r:id="rId7"/>
    <sheet name="LŽ Statim" sheetId="427" r:id="rId8"/>
    <sheet name="Materiál Žádanky" sheetId="420" r:id="rId9"/>
    <sheet name="MŽ Detail" sheetId="403" r:id="rId10"/>
    <sheet name="Osobní náklady" sheetId="419" r:id="rId11"/>
    <sheet name="ON Data" sheetId="418" state="hidden" r:id="rId12"/>
  </sheets>
  <definedNames>
    <definedName name="_xlnm._FilterDatabase" localSheetId="4" hidden="1">HV!$A$5:$A$5</definedName>
    <definedName name="_xlnm._FilterDatabase" localSheetId="5" hidden="1">'Léky Žádanky'!$A$4:$I$4</definedName>
    <definedName name="_xlnm._FilterDatabase" localSheetId="6" hidden="1">'LŽ Detail'!$A$4:$N$4</definedName>
    <definedName name="_xlnm._FilterDatabase" localSheetId="7" hidden="1">'LŽ Statim'!$A$5:$I$5</definedName>
    <definedName name="_xlnm._FilterDatabase" localSheetId="3" hidden="1">'Man Tab'!$A$5:$A$31</definedName>
    <definedName name="_xlnm._FilterDatabase" localSheetId="8" hidden="1">'Materiál Žádanky'!$A$4:$I$4</definedName>
    <definedName name="_xlnm._FilterDatabase" localSheetId="9" hidden="1">'MŽ Detail'!$A$4:$K$4</definedName>
    <definedName name="doměsíce">#REF!</definedName>
    <definedName name="Obdobi">'ON Data'!$B$3:$B$16</definedName>
  </definedNames>
  <calcPr calcId="152511"/>
</workbook>
</file>

<file path=xl/calcChain.xml><?xml version="1.0" encoding="utf-8"?>
<calcChain xmlns="http://schemas.openxmlformats.org/spreadsheetml/2006/main">
  <c r="E26" i="419" l="1"/>
  <c r="E25" i="419"/>
  <c r="F26" i="419"/>
  <c r="F25" i="419"/>
  <c r="D26" i="419"/>
  <c r="D25" i="419"/>
  <c r="C25" i="419"/>
  <c r="C26" i="419"/>
  <c r="C27" i="419" l="1"/>
  <c r="D27" i="419"/>
  <c r="D28" i="419"/>
  <c r="C28" i="419"/>
  <c r="B26" i="419"/>
  <c r="E28" i="419"/>
  <c r="E27" i="419" l="1"/>
  <c r="AE3" i="418" l="1"/>
  <c r="I3" i="418"/>
  <c r="F28" i="419" l="1"/>
  <c r="F27" i="419"/>
  <c r="E11" i="339"/>
  <c r="C11" i="339"/>
  <c r="F20" i="419" l="1"/>
  <c r="F19" i="419"/>
  <c r="F17" i="419"/>
  <c r="F16" i="419"/>
  <c r="F14" i="419"/>
  <c r="F13" i="419"/>
  <c r="F12" i="419"/>
  <c r="F11" i="419"/>
  <c r="AW3" i="418"/>
  <c r="AV3" i="418"/>
  <c r="AU3" i="418"/>
  <c r="AT3" i="418"/>
  <c r="AS3" i="418"/>
  <c r="AR3" i="418"/>
  <c r="F18" i="419" l="1"/>
  <c r="B25" i="419"/>
  <c r="B27" i="419" l="1"/>
  <c r="A8" i="414"/>
  <c r="A7" i="414"/>
  <c r="E21" i="419" l="1"/>
  <c r="E22" i="419" s="1"/>
  <c r="D21" i="419"/>
  <c r="D22" i="419" s="1"/>
  <c r="E20" i="419"/>
  <c r="D20" i="419"/>
  <c r="E19" i="419"/>
  <c r="D19" i="419"/>
  <c r="E17" i="419"/>
  <c r="D17" i="419"/>
  <c r="E16" i="419"/>
  <c r="D16" i="419"/>
  <c r="E14" i="419"/>
  <c r="D14" i="419"/>
  <c r="E13" i="419"/>
  <c r="D13" i="419"/>
  <c r="E12" i="419"/>
  <c r="D12" i="419"/>
  <c r="E11" i="419"/>
  <c r="D11" i="419"/>
  <c r="D18" i="419" l="1"/>
  <c r="E18" i="419"/>
  <c r="D23" i="419"/>
  <c r="E23" i="419"/>
  <c r="N3" i="418"/>
  <c r="C21" i="419" l="1"/>
  <c r="C22" i="419" s="1"/>
  <c r="C20" i="419"/>
  <c r="C19" i="419"/>
  <c r="C17" i="419"/>
  <c r="C16" i="419"/>
  <c r="C14" i="419"/>
  <c r="C13" i="419"/>
  <c r="C12" i="419"/>
  <c r="C11" i="419"/>
  <c r="C18" i="419" l="1"/>
  <c r="C23" i="419"/>
  <c r="B21" i="419"/>
  <c r="B22" i="419" l="1"/>
  <c r="A12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8" i="414" s="1"/>
  <c r="E8" i="414" s="1"/>
  <c r="H3" i="427"/>
  <c r="I3" i="427"/>
  <c r="F3" i="427"/>
  <c r="A13" i="383" l="1"/>
  <c r="A10" i="383"/>
  <c r="AQ3" i="418" l="1"/>
  <c r="AP3" i="418"/>
  <c r="AO3" i="418"/>
  <c r="AN3" i="418"/>
  <c r="AM3" i="418"/>
  <c r="AL3" i="418"/>
  <c r="AK3" i="418"/>
  <c r="AJ3" i="418"/>
  <c r="AI3" i="418"/>
  <c r="AH3" i="418"/>
  <c r="AG3" i="418"/>
  <c r="AF3" i="418"/>
  <c r="AD3" i="418"/>
  <c r="AC3" i="418"/>
  <c r="AB3" i="418"/>
  <c r="AA3" i="418"/>
  <c r="Z3" i="418"/>
  <c r="Y3" i="418"/>
  <c r="X3" i="418"/>
  <c r="W3" i="418"/>
  <c r="V3" i="418"/>
  <c r="U3" i="418"/>
  <c r="T3" i="418"/>
  <c r="B28" i="419" l="1"/>
  <c r="S3" i="418"/>
  <c r="R3" i="418"/>
  <c r="Q3" i="418"/>
  <c r="P3" i="418"/>
  <c r="O3" i="418"/>
  <c r="M3" i="418"/>
  <c r="L3" i="418"/>
  <c r="K3" i="418"/>
  <c r="J3" i="418"/>
  <c r="H3" i="418"/>
  <c r="G3" i="418"/>
  <c r="F3" i="418"/>
  <c r="A7" i="339" l="1"/>
  <c r="D3" i="418" l="1"/>
  <c r="F6" i="419" l="1"/>
  <c r="E6" i="419"/>
  <c r="C6" i="419"/>
  <c r="D6" i="419"/>
  <c r="B6" i="419"/>
  <c r="B20" i="419"/>
  <c r="B23" i="419" s="1"/>
  <c r="B19" i="419"/>
  <c r="B17" i="419"/>
  <c r="B16" i="419"/>
  <c r="B14" i="419"/>
  <c r="B13" i="419"/>
  <c r="B12" i="419"/>
  <c r="B11" i="419"/>
  <c r="B18" i="419" l="1"/>
  <c r="D12" i="414" l="1"/>
  <c r="D7" i="414"/>
  <c r="A15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17" i="414" l="1"/>
  <c r="A16" i="414"/>
  <c r="B11" i="339" l="1"/>
  <c r="J11" i="339" s="1"/>
  <c r="I11" i="339" l="1"/>
  <c r="F11" i="339"/>
  <c r="H11" i="339" l="1"/>
  <c r="G11" i="339"/>
  <c r="A12" i="414"/>
  <c r="A13" i="414"/>
  <c r="A4" i="414"/>
  <c r="A6" i="339" l="1"/>
  <c r="A5" i="339"/>
  <c r="C16" i="414"/>
  <c r="C13" i="414"/>
  <c r="D13" i="414"/>
  <c r="D16" i="414"/>
  <c r="D4" i="414"/>
  <c r="C12" i="414" l="1"/>
  <c r="C7" i="414"/>
  <c r="E12" i="414" l="1"/>
  <c r="E7" i="414"/>
  <c r="K3" i="403" l="1"/>
  <c r="J3" i="403"/>
  <c r="I3" i="403" s="1"/>
  <c r="M3" i="220" l="1"/>
  <c r="E12" i="339" l="1"/>
  <c r="C12" i="339"/>
  <c r="F12" i="339" s="1"/>
  <c r="B12" i="339"/>
  <c r="J12" i="339" s="1"/>
  <c r="N3" i="220"/>
  <c r="L3" i="220" s="1"/>
  <c r="C17" i="414"/>
  <c r="D17" i="414"/>
  <c r="I12" i="339" l="1"/>
  <c r="I13" i="339" s="1"/>
  <c r="F13" i="339"/>
  <c r="E13" i="339"/>
  <c r="E15" i="339" s="1"/>
  <c r="H12" i="339"/>
  <c r="G12" i="339"/>
  <c r="A4" i="383"/>
  <c r="A15" i="383"/>
  <c r="A14" i="383"/>
  <c r="A11" i="383"/>
  <c r="A7" i="383"/>
  <c r="A6" i="383"/>
  <c r="A5" i="383"/>
  <c r="C13" i="339"/>
  <c r="C15" i="339" s="1"/>
  <c r="B13" i="339"/>
  <c r="C4" i="414"/>
  <c r="D15" i="414"/>
  <c r="H13" i="339" l="1"/>
  <c r="F15" i="339"/>
  <c r="J13" i="339"/>
  <c r="B15" i="339"/>
  <c r="E13" i="414"/>
  <c r="E4" i="414"/>
  <c r="G13" i="339"/>
  <c r="G15" i="339" l="1"/>
  <c r="H15" i="339"/>
  <c r="E16" i="414"/>
  <c r="E17" i="414"/>
  <c r="C15" i="414"/>
  <c r="E15" i="414" l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<sst xmlns="http://schemas.openxmlformats.org/spreadsheetml/2006/main" count="668" uniqueCount="334">
  <si>
    <t>NS</t>
  </si>
  <si>
    <t>Účet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</si>
  <si>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</si>
  <si>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</si>
  <si>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</si>
  <si>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</si>
  <si>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</si>
  <si>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</si>
  <si>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</si>
  <si>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</si>
  <si>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</si>
  <si>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</si>
  <si>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</si>
  <si>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</si>
  <si>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</si>
  <si>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</si>
  <si>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</si>
  <si>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</si>
  <si>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</si>
  <si>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</si>
  <si>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</si>
  <si>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</si>
  <si>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</si>
  <si>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</si>
  <si>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</si>
  <si>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</si>
  <si>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</si>
  <si>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</si>
  <si>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</si>
  <si>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</si>
  <si>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</si>
  <si>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</si>
  <si>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</si>
  <si>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</si>
  <si>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</si>
  <si>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</si>
  <si>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</si>
  <si>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</si>
  <si>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</si>
  <si>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</si>
  <si>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</si>
  <si>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</si>
  <si>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</si>
  <si>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</si>
  <si>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</si>
  <si>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</si>
  <si>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</si>
  <si>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</si>
  <si>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</si>
  <si>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</si>
  <si>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</si>
  <si>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</si>
  <si>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</si>
  <si>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KL</t>
  </si>
  <si>
    <t>Kód</t>
  </si>
  <si>
    <t>Skutečnost</t>
  </si>
  <si>
    <t>Rozpočet</t>
  </si>
  <si>
    <t>Plnění</t>
  </si>
  <si>
    <t>Ostatní (Kč)</t>
  </si>
  <si>
    <t>Náklady celkem</t>
  </si>
  <si>
    <t>Výnosy celkem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</si>
  <si>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</si>
  <si>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</si>
  <si>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</si>
  <si>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</si>
  <si>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</si>
  <si>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</si>
  <si>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Man Tab</t>
  </si>
  <si>
    <t>Léky Žádanky</t>
  </si>
  <si>
    <t>LŽ Detail</t>
  </si>
  <si>
    <t>Materiál Žádanky</t>
  </si>
  <si>
    <t>MŽ Detail</t>
  </si>
  <si>
    <t>Osobní náklady</t>
  </si>
  <si>
    <t>Motivační kritéria</t>
  </si>
  <si>
    <t>Motivace</t>
  </si>
  <si>
    <t>Celkem:</t>
  </si>
  <si>
    <t>Hospodaření zdravotnického pracoviště (v tisících)</t>
  </si>
  <si>
    <t>Spotřeba léčivých přípravků</t>
  </si>
  <si>
    <t>Spotřeba zdravotnického materiálu</t>
  </si>
  <si>
    <t>Přehledové sestavy</t>
  </si>
  <si>
    <t>Akt. měsíc</t>
  </si>
  <si>
    <t>Kč/ks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</si>
  <si>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</si>
  <si>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</si>
  <si>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</si>
  <si>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</si>
  <si>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</si>
  <si>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</si>
  <si>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</si>
  <si>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</si>
  <si>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</si>
  <si>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</si>
  <si>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</si>
  <si>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</si>
  <si>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Pol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</si>
  <si>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</si>
  <si>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</si>
  <si>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</si>
  <si>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</si>
  <si>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</si>
  <si>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</si>
  <si>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</si>
  <si>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</si>
  <si>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</si>
  <si>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</si>
  <si>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</si>
  <si>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</si>
  <si>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</si>
  <si>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</si>
  <si>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</si>
  <si>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</si>
  <si>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</si>
  <si>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</si>
  <si>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</si>
  <si>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</si>
  <si>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</si>
  <si>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</si>
  <si>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</si>
  <si>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</si>
  <si>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</si>
  <si>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</si>
  <si>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</si>
  <si>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</si>
  <si>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</si>
  <si>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</si>
  <si>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</si>
  <si>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Rozdíl (zbývá)</t>
  </si>
  <si>
    <t>Plán *</t>
  </si>
  <si>
    <t>THP *</t>
  </si>
  <si>
    <t>Rozpočet na vzdělávání je plánován na rok, měsíční plány jsou v tabulce dvanáctinou ročního rozpočtu</t>
  </si>
  <si>
    <t>zdravotní laboranti</t>
  </si>
  <si>
    <t>abs. stud. oboru přirodověd. zaměření</t>
  </si>
  <si>
    <t>odb. pracovníci v ochraně veřejného zdraví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</si>
  <si>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</si>
  <si>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</si>
  <si>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</si>
  <si>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</si>
  <si>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</si>
  <si>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</si>
  <si>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</si>
  <si>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</si>
  <si>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</si>
  <si>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</si>
  <si>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</si>
  <si>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</si>
  <si>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</si>
  <si>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lékaři specialisti</t>
  </si>
  <si>
    <t>01/2017</t>
  </si>
  <si>
    <t>02/2017</t>
  </si>
  <si>
    <t>03/2017</t>
  </si>
  <si>
    <t>04/2017</t>
  </si>
  <si>
    <t>05/2017</t>
  </si>
  <si>
    <t>06/2017</t>
  </si>
  <si>
    <t>07/2017</t>
  </si>
  <si>
    <t>08/2017</t>
  </si>
  <si>
    <t>09/2017</t>
  </si>
  <si>
    <t>10/2017</t>
  </si>
  <si>
    <t>11/2017</t>
  </si>
  <si>
    <t>12/2017</t>
  </si>
  <si>
    <t>POMĚROVÉ  PLNĚNÍ = Rozpočet na rok 2017 celkem a 1/12  ročního rozpočtu, skutečnost daných měsíců a % plnění načítané skutečnosti do data k poměrné části rozpočtu do data.</t>
  </si>
  <si>
    <t>Rozp.rok 2017</t>
  </si>
  <si>
    <t>% plnění (Skut.do data/Rozp.rok 2017)</t>
  </si>
  <si>
    <t>Sk.v tis 2017</t>
  </si>
  <si>
    <t>Rozp. 2016            CELKEM</t>
  </si>
  <si>
    <t>Skut. 2016 CELKEM</t>
  </si>
  <si>
    <t>ROZDÍL  Skut. - Rozp. 2016</t>
  </si>
  <si>
    <t>% plnění rozp.2016</t>
  </si>
  <si>
    <t>ROZDÍL (Sk.do data - Rozp.do data 2017)</t>
  </si>
  <si>
    <t>Rozpočet výnosů pro rok 2017 je stanoven jako 100% skutečnosti referenčního období (2016)</t>
  </si>
  <si>
    <t>Rozdíl 2015</t>
  </si>
  <si>
    <t>Plnění 2015</t>
  </si>
  <si>
    <t>Lékaři = kategorie 99-203</t>
  </si>
  <si>
    <t>VŠ NLZP = kategorie 420-421, 520-523, 525-528, 743-746</t>
  </si>
  <si>
    <t>NLZP = kategorie 302-419, 422, 524, 629-637, 642</t>
  </si>
  <si>
    <t>THP = kategorie 25-30, 640</t>
  </si>
  <si>
    <t>lékaři *</t>
  </si>
  <si>
    <t>VŠ NLZP *</t>
  </si>
  <si>
    <t>NLZP *</t>
  </si>
  <si>
    <r>
      <t>Zpět na Obsah</t>
    </r>
    <r>
      <rPr>
        <sz val="9"/>
        <rFont val="Calibri"/>
        <family val="2"/>
        <charset val="238"/>
        <scheme val="minor"/>
      </rPr>
      <t xml:space="preserve"> | 1.-3.měsíc | Oddělení nemocniční hygieny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</si>
  <si>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</si>
  <si>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</si>
  <si>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</si>
  <si>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</si>
  <si>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</si>
  <si>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50113     Léky a léčiva</t>
  </si>
  <si>
    <t>50113001     léky - paušál (LEK)</t>
  </si>
  <si>
    <t>50115     Zdravotnické prostředky</t>
  </si>
  <si>
    <t>50115020     laboratorní diagnostika-LEK (Z501)</t>
  </si>
  <si>
    <t>50115050     obvazový materiál (Z502)</t>
  </si>
  <si>
    <t>50115060     ZPr - ostatní (Z503)</t>
  </si>
  <si>
    <t>50115067     ZPr - rukavice (Z532)</t>
  </si>
  <si>
    <t>--</t>
  </si>
  <si>
    <t>50117     Všeobecný materiál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</si>
  <si>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</si>
  <si>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</si>
  <si>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</si>
  <si>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50117005     údržbový materiál ZVIT (sk.B36,61,62,64)</t>
  </si>
  <si>
    <t>50117011     obalový mat. pro sterilizaci (sk.V20)</t>
  </si>
  <si>
    <t>50117015     IT - spotřební materiál (sk. P37, 48)</t>
  </si>
  <si>
    <t>50117021     všeob.mat. - hosp.přístr.a nářadí (V32) od 1tis do 2999,99</t>
  </si>
  <si>
    <t>50117024     všeob.mat. - ostatní-vyjímky (V44) od 0,01 do 999,99</t>
  </si>
  <si>
    <t>50117190     technické plyny</t>
  </si>
  <si>
    <t>50118     Náhradní díly</t>
  </si>
  <si>
    <t>50118006     ND - ZVIT (sk.B63)</t>
  </si>
  <si>
    <t>50119     DDHM a textil</t>
  </si>
  <si>
    <t>50119077     OOPP a prádlo pro zaměstnance (sk.T14)</t>
  </si>
  <si>
    <t>50119100     jednorázové ochranné pomůcky (sk.T18A)</t>
  </si>
  <si>
    <t>50119102     jednorázové hygienické potřeby (sk.T18C)</t>
  </si>
  <si>
    <t>50210     Spotřeba energie</t>
  </si>
  <si>
    <t>50210071     elektřina</t>
  </si>
  <si>
    <t>50210072     vodné, stočné</t>
  </si>
  <si>
    <t>50210073     pára</t>
  </si>
  <si>
    <t>51     Služby</t>
  </si>
  <si>
    <t>51102     Technika a stavby</t>
  </si>
  <si>
    <t>51102023     opravy ostatní techniky</t>
  </si>
  <si>
    <t>51102024     opravy - správa budov</t>
  </si>
  <si>
    <t>51102025     opravy - hl.energetik</t>
  </si>
  <si>
    <t>51201     Cestovné zaměstnanců-tuzemské</t>
  </si>
  <si>
    <t>51201000     cestovné z mezd</t>
  </si>
  <si>
    <t>51201001     cestovné tuzemské - OUC</t>
  </si>
  <si>
    <t>51802     Spoje</t>
  </si>
  <si>
    <t>51802001     poštovné</t>
  </si>
  <si>
    <t>51802003     telekom.styk</t>
  </si>
  <si>
    <t>51804     Nájemné</t>
  </si>
  <si>
    <t>51804004     popl. za R a TV, veř. produkce</t>
  </si>
  <si>
    <t>51806     Úklid, odpad, desinf., deratizace</t>
  </si>
  <si>
    <t>51806001     úklid. služby - paušál</t>
  </si>
  <si>
    <t>51806005     odpad (spalovna)</t>
  </si>
  <si>
    <t>51808     Revize a smluvní servisy majetku</t>
  </si>
  <si>
    <t>51808007     revize, sml.servis - energetik</t>
  </si>
  <si>
    <t>51808008     revize, tech.kontroly, prev.prohl.- OHM</t>
  </si>
  <si>
    <t>51808013     revize - kalibrace - metrolog</t>
  </si>
  <si>
    <t>51874     Ostatní služby</t>
  </si>
  <si>
    <t>51874010     ostatní služby - zdravotní</t>
  </si>
  <si>
    <t>51874011     zkoušky kvality</t>
  </si>
  <si>
    <t>51874015     organ.rozvoj (certif., akred.)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</si>
  <si>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</si>
  <si>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</si>
  <si>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</si>
  <si>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</si>
  <si>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</si>
  <si>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</si>
  <si>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</si>
  <si>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</si>
  <si>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</si>
  <si>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</si>
  <si>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</si>
  <si>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</si>
  <si>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</si>
  <si>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</si>
  <si>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</si>
  <si>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</si>
  <si>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</si>
  <si>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</si>
  <si>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54910003     práce výrobní povahy(výroba klíčů,tabulek)</t>
  </si>
  <si>
    <t>54910009     školení, kongresové poplatky tuzemské - ost.zdrav.pracov.</t>
  </si>
  <si>
    <t>54910010     školení - nezdrav.pracov.</t>
  </si>
  <si>
    <t>54972     Školení, kongres.popl.tuzemské - lékaři (pouze OPMČ)</t>
  </si>
  <si>
    <t>54972000     školení, kongres.popl.tuzemské - lékaři 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</si>
  <si>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</si>
  <si>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</si>
  <si>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</si>
  <si>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</si>
  <si>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</si>
  <si>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6     Účtová třída 6 - Výnosy</t>
  </si>
  <si>
    <t>60     Tržby za vlastní výkony a zboží</t>
  </si>
  <si>
    <t>602     Výnosy z prodeje služeb</t>
  </si>
  <si>
    <t>60228     Zdr. výkony - VZP sledov.položky    OZPI</t>
  </si>
  <si>
    <t>60228191     výkony za cizince (mimo EHS)</t>
  </si>
  <si>
    <t>64     Jiné provozní výnosy</t>
  </si>
  <si>
    <t>649     Ostatní výnosy z činnosti</t>
  </si>
  <si>
    <t>64924     Ostatní služby - mimo zdrav.výkony  FAKTURACE</t>
  </si>
  <si>
    <t>64924442     telekom.služby, soukr. hovory</t>
  </si>
  <si>
    <t>64924449     ostatní provoz.sl.-hl.čin.</t>
  </si>
  <si>
    <t>7     Účtová třída 7 - Vnitropodnikové účetnictví - náklady</t>
  </si>
  <si>
    <t>79     Vnitropodnikové náklady</t>
  </si>
  <si>
    <t>79903     VPN - doprava</t>
  </si>
  <si>
    <t>79903002     výkony dopravy - osobní</t>
  </si>
  <si>
    <t>79903003     výkony dopravy - nákladní</t>
  </si>
  <si>
    <t>79906     VPN - prádelna</t>
  </si>
  <si>
    <t>79906000     výkony prádelny - praní prádla</t>
  </si>
  <si>
    <t>79910     VPN - informační technologie</t>
  </si>
  <si>
    <t>79910001     výkony IT - fixní náklady (z 9086)</t>
  </si>
  <si>
    <t>79920     VPN - mezistřediskové převody</t>
  </si>
  <si>
    <t>79920000     mezistřediskové převody</t>
  </si>
  <si>
    <t>79950     VPN - správní režie</t>
  </si>
  <si>
    <t>79950001     režie HTS</t>
  </si>
  <si>
    <t>54</t>
  </si>
  <si>
    <t>ONH: Oddělení nemocniční hygieny</t>
  </si>
  <si>
    <t/>
  </si>
  <si>
    <t>ONH: Oddělení nemocniční hygieny Celkem</t>
  </si>
  <si>
    <t>SumaKL</t>
  </si>
  <si>
    <t>5498</t>
  </si>
  <si>
    <t>SumaNS</t>
  </si>
  <si>
    <t>mezeraNS</t>
  </si>
  <si>
    <t>50113001</t>
  </si>
  <si>
    <t>O</t>
  </si>
  <si>
    <t>900321</t>
  </si>
  <si>
    <t>0</t>
  </si>
  <si>
    <t>KL PRIPRAVEK</t>
  </si>
  <si>
    <t>500979</t>
  </si>
  <si>
    <t>KL MS HYDROG.PEROX. 3% 500g</t>
  </si>
  <si>
    <t>Oddělení nemocniční hygieny</t>
  </si>
  <si>
    <t>Lékárna - léčiva</t>
  </si>
  <si>
    <t>54 - Oddělení nemocniční hygieny</t>
  </si>
  <si>
    <t>5498 - Oddělení nemocniční hygieny</t>
  </si>
  <si>
    <t>ZA604</t>
  </si>
  <si>
    <t>Tyčinka vatová sterilní jednotlivě balalená bal. á 1000 ks 5100/SG/CS</t>
  </si>
  <si>
    <t>ZM292</t>
  </si>
  <si>
    <t>Rukavice nitril sempercare bez p. M bal. á 200 ks 30803</t>
  </si>
  <si>
    <t>DC859</t>
  </si>
  <si>
    <t>COLUMBIA AGAR</t>
  </si>
  <si>
    <t>DD596</t>
  </si>
  <si>
    <t>Sabouraud agar s CMP</t>
  </si>
  <si>
    <t>DA999</t>
  </si>
  <si>
    <t>Půda s bromkresolem (kontrola sterility)</t>
  </si>
  <si>
    <t>DB001</t>
  </si>
  <si>
    <t>Glukózový bujon (5 ml)</t>
  </si>
  <si>
    <t>DD558</t>
  </si>
  <si>
    <t>ENDO AGAR</t>
  </si>
  <si>
    <t>DC521</t>
  </si>
  <si>
    <t>OXITEST</t>
  </si>
  <si>
    <t>DD143</t>
  </si>
  <si>
    <t>CINIDLO PRO TEST PYR</t>
  </si>
  <si>
    <t>DB423</t>
  </si>
  <si>
    <t>PYRATEST</t>
  </si>
  <si>
    <t>50115050</t>
  </si>
  <si>
    <t>502 SZM obvazový (112 02 040)</t>
  </si>
  <si>
    <t>50115067</t>
  </si>
  <si>
    <t>532 SZM Rukavice (112 02 108)</t>
  </si>
  <si>
    <t>50115020</t>
  </si>
  <si>
    <t>Lékárna - SZM diagnostika</t>
  </si>
  <si>
    <t>Spotřeba zdravotnického materiálu - orientační přehled</t>
  </si>
  <si>
    <t>ON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</si>
</sst>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71" formatCode="0.000"/>
    <numFmt numFmtId="173" formatCode="#,##0;\-#,##0;"/>
    <numFmt numFmtId="174" formatCode="General;\-General;"/>
    <numFmt numFmtId="175" formatCode="0%;\-0%;"/>
    <numFmt numFmtId="176" formatCode="#,##0%"/>
  </numFmts>
  <fonts count="57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0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98">
    <xf numFmtId="0" fontId="0" fillId="0" borderId="0"/>
    <xf numFmtId="0" fontId="25" fillId="0" borderId="0" applyNumberForma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404">
    <xf numFmtId="0" fontId="0" fillId="0" borderId="0" xfId="0"/>
    <xf numFmtId="0" fontId="27" fillId="2" borderId="16" xfId="81" applyFont="1" applyFill="1" applyBorder="1"/>
    <xf numFmtId="0" fontId="28" fillId="2" borderId="17" xfId="81" applyFont="1" applyFill="1" applyBorder="1"/>
    <xf numFmtId="3" fontId="28" fillId="2" borderId="18" xfId="81" applyNumberFormat="1" applyFont="1" applyFill="1" applyBorder="1"/>
    <xf numFmtId="0" fontId="28" fillId="4" borderId="17" xfId="81" applyFont="1" applyFill="1" applyBorder="1"/>
    <xf numFmtId="3" fontId="28" fillId="4" borderId="18" xfId="81" applyNumberFormat="1" applyFont="1" applyFill="1" applyBorder="1"/>
    <xf numFmtId="171" fontId="28" fillId="3" borderId="18" xfId="81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3" xfId="81" applyNumberFormat="1" applyFont="1" applyFill="1" applyBorder="1"/>
    <xf numFmtId="3" fontId="27" fillId="5" borderId="8" xfId="81" applyNumberFormat="1" applyFont="1" applyFill="1" applyBorder="1"/>
    <xf numFmtId="3" fontId="27" fillId="5" borderId="12" xfId="81" applyNumberFormat="1" applyFont="1" applyFill="1" applyBorder="1"/>
    <xf numFmtId="0" fontId="27" fillId="5" borderId="0" xfId="81" applyFont="1" applyFill="1"/>
    <xf numFmtId="10" fontId="27" fillId="5" borderId="0" xfId="81" applyNumberFormat="1" applyFont="1" applyFill="1"/>
    <xf numFmtId="0" fontId="37" fillId="2" borderId="32" xfId="0" applyFont="1" applyFill="1" applyBorder="1" applyAlignment="1">
      <alignment vertical="top"/>
    </xf>
    <xf numFmtId="0" fontId="37" fillId="2" borderId="33" xfId="0" applyFont="1" applyFill="1" applyBorder="1" applyAlignment="1">
      <alignment vertical="top"/>
    </xf>
    <xf numFmtId="0" fontId="34" fillId="2" borderId="33" xfId="0" applyFont="1" applyFill="1" applyBorder="1" applyAlignment="1">
      <alignment vertical="top"/>
    </xf>
    <xf numFmtId="0" fontId="38" fillId="2" borderId="33" xfId="0" applyFont="1" applyFill="1" applyBorder="1" applyAlignment="1">
      <alignment vertical="top"/>
    </xf>
    <xf numFmtId="0" fontId="36" fillId="2" borderId="33" xfId="0" applyFont="1" applyFill="1" applyBorder="1" applyAlignment="1">
      <alignment vertical="top"/>
    </xf>
    <xf numFmtId="0" fontId="34" fillId="2" borderId="34" xfId="0" applyFont="1" applyFill="1" applyBorder="1" applyAlignment="1">
      <alignment vertical="top"/>
    </xf>
    <xf numFmtId="0" fontId="37" fillId="2" borderId="8" xfId="0" applyFont="1" applyFill="1" applyBorder="1" applyAlignment="1">
      <alignment horizontal="center" vertical="center"/>
    </xf>
    <xf numFmtId="0" fontId="37" fillId="2" borderId="20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7" fillId="2" borderId="21" xfId="0" applyFont="1" applyFill="1" applyBorder="1" applyAlignment="1">
      <alignment horizontal="center" vertical="center"/>
    </xf>
    <xf numFmtId="0" fontId="38" fillId="2" borderId="20" xfId="0" applyFont="1" applyFill="1" applyBorder="1" applyAlignment="1">
      <alignment horizontal="center" vertical="center" wrapText="1"/>
    </xf>
    <xf numFmtId="0" fontId="38" fillId="2" borderId="22" xfId="0" applyFont="1" applyFill="1" applyBorder="1" applyAlignment="1">
      <alignment horizontal="center" vertical="center" wrapText="1"/>
    </xf>
    <xf numFmtId="0" fontId="36" fillId="2" borderId="22" xfId="0" applyFont="1" applyFill="1" applyBorder="1" applyAlignment="1">
      <alignment horizontal="center" vertical="center" wrapText="1"/>
    </xf>
    <xf numFmtId="3" fontId="27" fillId="5" borderId="4" xfId="81" applyNumberFormat="1" applyFont="1" applyFill="1" applyBorder="1"/>
    <xf numFmtId="3" fontId="27" fillId="5" borderId="28" xfId="81" applyNumberFormat="1" applyFont="1" applyFill="1" applyBorder="1"/>
    <xf numFmtId="3" fontId="27" fillId="5" borderId="24" xfId="81" applyNumberFormat="1" applyFont="1" applyFill="1" applyBorder="1"/>
    <xf numFmtId="3" fontId="27" fillId="5" borderId="9" xfId="81" applyNumberFormat="1" applyFont="1" applyFill="1" applyBorder="1"/>
    <xf numFmtId="3" fontId="27" fillId="5" borderId="10" xfId="81" applyNumberFormat="1" applyFont="1" applyFill="1" applyBorder="1"/>
    <xf numFmtId="3" fontId="27" fillId="5" borderId="13" xfId="81" applyNumberFormat="1" applyFont="1" applyFill="1" applyBorder="1"/>
    <xf numFmtId="3" fontId="27" fillId="5" borderId="14" xfId="81" applyNumberFormat="1" applyFont="1" applyFill="1" applyBorder="1"/>
    <xf numFmtId="3" fontId="28" fillId="2" borderId="26" xfId="81" applyNumberFormat="1" applyFont="1" applyFill="1" applyBorder="1"/>
    <xf numFmtId="3" fontId="28" fillId="2" borderId="19" xfId="81" applyNumberFormat="1" applyFont="1" applyFill="1" applyBorder="1"/>
    <xf numFmtId="3" fontId="28" fillId="4" borderId="26" xfId="81" applyNumberFormat="1" applyFont="1" applyFill="1" applyBorder="1"/>
    <xf numFmtId="3" fontId="28" fillId="4" borderId="19" xfId="81" applyNumberFormat="1" applyFont="1" applyFill="1" applyBorder="1"/>
    <xf numFmtId="171" fontId="28" fillId="3" borderId="26" xfId="81" applyNumberFormat="1" applyFont="1" applyFill="1" applyBorder="1"/>
    <xf numFmtId="171" fontId="28" fillId="3" borderId="19" xfId="81" applyNumberFormat="1" applyFont="1" applyFill="1" applyBorder="1"/>
    <xf numFmtId="0" fontId="31" fillId="2" borderId="24" xfId="81" applyFont="1" applyFill="1" applyBorder="1" applyAlignment="1">
      <alignment horizontal="center"/>
    </xf>
    <xf numFmtId="0" fontId="32" fillId="0" borderId="35" xfId="0" applyFont="1" applyFill="1" applyBorder="1" applyAlignment="1"/>
    <xf numFmtId="0" fontId="40" fillId="0" borderId="0" xfId="0" applyFont="1" applyFill="1" applyBorder="1" applyAlignment="1"/>
    <xf numFmtId="3" fontId="33" fillId="0" borderId="7" xfId="0" applyNumberFormat="1" applyFont="1" applyFill="1" applyBorder="1" applyAlignment="1">
      <alignment horizontal="right" vertical="top"/>
    </xf>
    <xf numFmtId="3" fontId="33" fillId="0" borderId="5" xfId="0" applyNumberFormat="1" applyFont="1" applyFill="1" applyBorder="1" applyAlignment="1">
      <alignment horizontal="right" vertical="top"/>
    </xf>
    <xf numFmtId="3" fontId="34" fillId="0" borderId="5" xfId="0" applyNumberFormat="1" applyFont="1" applyFill="1" applyBorder="1" applyAlignment="1">
      <alignment horizontal="right" vertical="top"/>
    </xf>
    <xf numFmtId="3" fontId="33" fillId="0" borderId="11" xfId="0" applyNumberFormat="1" applyFont="1" applyFill="1" applyBorder="1" applyAlignment="1">
      <alignment horizontal="right" vertical="top"/>
    </xf>
    <xf numFmtId="3" fontId="33" fillId="0" borderId="9" xfId="0" applyNumberFormat="1" applyFont="1" applyFill="1" applyBorder="1" applyAlignment="1">
      <alignment horizontal="right" vertical="top"/>
    </xf>
    <xf numFmtId="3" fontId="34" fillId="0" borderId="9" xfId="0" applyNumberFormat="1" applyFont="1" applyFill="1" applyBorder="1" applyAlignment="1">
      <alignment horizontal="right" vertical="top"/>
    </xf>
    <xf numFmtId="3" fontId="35" fillId="0" borderId="11" xfId="0" applyNumberFormat="1" applyFont="1" applyFill="1" applyBorder="1" applyAlignment="1">
      <alignment horizontal="right" vertical="top"/>
    </xf>
    <xf numFmtId="3" fontId="35" fillId="0" borderId="9" xfId="0" applyNumberFormat="1" applyFont="1" applyFill="1" applyBorder="1" applyAlignment="1">
      <alignment horizontal="right" vertical="top"/>
    </xf>
    <xf numFmtId="3" fontId="36" fillId="0" borderId="9" xfId="0" applyNumberFormat="1" applyFont="1" applyFill="1" applyBorder="1" applyAlignment="1">
      <alignment horizontal="right" vertical="top"/>
    </xf>
    <xf numFmtId="3" fontId="33" fillId="0" borderId="31" xfId="0" applyNumberFormat="1" applyFont="1" applyFill="1" applyBorder="1" applyAlignment="1">
      <alignment horizontal="right" vertical="top"/>
    </xf>
    <xf numFmtId="3" fontId="33" fillId="0" borderId="22" xfId="0" applyNumberFormat="1" applyFont="1" applyFill="1" applyBorder="1" applyAlignment="1">
      <alignment horizontal="right" vertical="top"/>
    </xf>
    <xf numFmtId="3" fontId="34" fillId="0" borderId="22" xfId="0" applyNumberFormat="1" applyFont="1" applyFill="1" applyBorder="1" applyAlignment="1">
      <alignment horizontal="right" vertical="top"/>
    </xf>
    <xf numFmtId="0" fontId="6" fillId="0" borderId="0" xfId="82" applyFont="1" applyFill="1"/>
    <xf numFmtId="0" fontId="8" fillId="0" borderId="35" xfId="82" applyFont="1" applyFill="1" applyBorder="1" applyAlignment="1"/>
    <xf numFmtId="0" fontId="29" fillId="0" borderId="0" xfId="49" applyFont="1" applyFill="1"/>
    <xf numFmtId="0" fontId="32" fillId="0" borderId="29" xfId="0" applyFont="1" applyFill="1" applyBorder="1" applyAlignment="1"/>
    <xf numFmtId="0" fontId="32" fillId="0" borderId="30" xfId="0" applyFont="1" applyFill="1" applyBorder="1" applyAlignment="1"/>
    <xf numFmtId="0" fontId="32" fillId="0" borderId="50" xfId="0" applyFont="1" applyFill="1" applyBorder="1" applyAlignment="1"/>
    <xf numFmtId="0" fontId="32" fillId="0" borderId="24" xfId="0" applyFont="1" applyBorder="1" applyAlignment="1"/>
    <xf numFmtId="0" fontId="32" fillId="5" borderId="6" xfId="0" applyFont="1" applyFill="1" applyBorder="1"/>
    <xf numFmtId="0" fontId="32" fillId="5" borderId="10" xfId="0" applyFont="1" applyFill="1" applyBorder="1"/>
    <xf numFmtId="0" fontId="32" fillId="5" borderId="21" xfId="0" applyFont="1" applyFill="1" applyBorder="1"/>
    <xf numFmtId="0" fontId="32" fillId="5" borderId="35" xfId="0" applyFont="1" applyFill="1" applyBorder="1"/>
    <xf numFmtId="0" fontId="32" fillId="5" borderId="43" xfId="0" applyFont="1" applyFill="1" applyBorder="1"/>
    <xf numFmtId="9" fontId="34" fillId="0" borderId="6" xfId="0" applyNumberFormat="1" applyFont="1" applyFill="1" applyBorder="1" applyAlignment="1">
      <alignment horizontal="right" vertical="top"/>
    </xf>
    <xf numFmtId="9" fontId="34" fillId="0" borderId="10" xfId="0" applyNumberFormat="1" applyFont="1" applyFill="1" applyBorder="1" applyAlignment="1">
      <alignment horizontal="right" vertical="top"/>
    </xf>
    <xf numFmtId="9" fontId="36" fillId="0" borderId="10" xfId="0" applyNumberFormat="1" applyFont="1" applyFill="1" applyBorder="1" applyAlignment="1">
      <alignment horizontal="right" vertical="top"/>
    </xf>
    <xf numFmtId="9" fontId="34" fillId="0" borderId="21" xfId="0" applyNumberFormat="1" applyFont="1" applyFill="1" applyBorder="1" applyAlignment="1">
      <alignment horizontal="right" vertical="top"/>
    </xf>
    <xf numFmtId="3" fontId="31" fillId="0" borderId="28" xfId="53" applyNumberFormat="1" applyFont="1" applyFill="1" applyBorder="1"/>
    <xf numFmtId="3" fontId="31" fillId="0" borderId="24" xfId="53" applyNumberFormat="1" applyFont="1" applyFill="1" applyBorder="1"/>
    <xf numFmtId="0" fontId="31" fillId="2" borderId="39" xfId="74" applyFont="1" applyFill="1" applyBorder="1" applyAlignment="1">
      <alignment horizontal="center"/>
    </xf>
    <xf numFmtId="0" fontId="27" fillId="5" borderId="35" xfId="81" applyFont="1" applyFill="1" applyBorder="1"/>
    <xf numFmtId="0" fontId="31" fillId="2" borderId="22" xfId="81" applyFont="1" applyFill="1" applyBorder="1" applyAlignment="1">
      <alignment horizontal="center"/>
    </xf>
    <xf numFmtId="0" fontId="31" fillId="2" borderId="21" xfId="81" applyFont="1" applyFill="1" applyBorder="1" applyAlignment="1">
      <alignment horizontal="center"/>
    </xf>
    <xf numFmtId="0" fontId="32" fillId="0" borderId="0" xfId="0" applyFont="1" applyFill="1" applyBorder="1" applyAlignment="1"/>
    <xf numFmtId="0" fontId="44" fillId="2" borderId="16" xfId="1" applyFont="1" applyFill="1" applyBorder="1"/>
    <xf numFmtId="0" fontId="45" fillId="0" borderId="0" xfId="0" applyFont="1" applyFill="1"/>
    <xf numFmtId="0" fontId="46" fillId="0" borderId="0" xfId="0" applyFont="1" applyFill="1"/>
    <xf numFmtId="0" fontId="46" fillId="0" borderId="0" xfId="0" applyFont="1" applyFill="1" applyBorder="1"/>
    <xf numFmtId="3" fontId="32" fillId="0" borderId="28" xfId="0" applyNumberFormat="1" applyFont="1" applyFill="1" applyBorder="1"/>
    <xf numFmtId="3" fontId="32" fillId="0" borderId="23" xfId="0" applyNumberFormat="1" applyFont="1" applyFill="1" applyBorder="1"/>
    <xf numFmtId="3" fontId="32" fillId="0" borderId="8" xfId="0" applyNumberFormat="1" applyFont="1" applyFill="1" applyBorder="1"/>
    <xf numFmtId="3" fontId="32" fillId="0" borderId="9" xfId="0" applyNumberFormat="1" applyFont="1" applyFill="1" applyBorder="1"/>
    <xf numFmtId="3" fontId="32" fillId="0" borderId="12" xfId="0" applyNumberFormat="1" applyFont="1" applyFill="1" applyBorder="1"/>
    <xf numFmtId="3" fontId="32" fillId="0" borderId="13" xfId="0" applyNumberFormat="1" applyFont="1" applyFill="1" applyBorder="1"/>
    <xf numFmtId="9" fontId="32" fillId="0" borderId="24" xfId="0" applyNumberFormat="1" applyFont="1" applyFill="1" applyBorder="1"/>
    <xf numFmtId="9" fontId="32" fillId="0" borderId="10" xfId="0" applyNumberFormat="1" applyFont="1" applyFill="1" applyBorder="1"/>
    <xf numFmtId="9" fontId="32" fillId="0" borderId="14" xfId="0" applyNumberFormat="1" applyFont="1" applyFill="1" applyBorder="1"/>
    <xf numFmtId="9" fontId="28" fillId="2" borderId="19" xfId="81" applyNumberFormat="1" applyFont="1" applyFill="1" applyBorder="1"/>
    <xf numFmtId="9" fontId="28" fillId="4" borderId="19" xfId="81" applyNumberFormat="1" applyFont="1" applyFill="1" applyBorder="1"/>
    <xf numFmtId="9" fontId="28" fillId="3" borderId="19" xfId="81" applyNumberFormat="1" applyFont="1" applyFill="1" applyBorder="1"/>
    <xf numFmtId="0" fontId="31" fillId="2" borderId="20" xfId="81" applyFont="1" applyFill="1" applyBorder="1" applyAlignment="1">
      <alignment horizontal="center"/>
    </xf>
    <xf numFmtId="0" fontId="32" fillId="0" borderId="0" xfId="0" applyFont="1" applyFill="1"/>
    <xf numFmtId="0" fontId="32" fillId="0" borderId="43" xfId="0" applyFont="1" applyFill="1" applyBorder="1" applyAlignment="1"/>
    <xf numFmtId="0" fontId="32" fillId="0" borderId="0" xfId="0" applyFont="1" applyFill="1" applyAlignment="1"/>
    <xf numFmtId="0" fontId="44" fillId="4" borderId="32" xfId="1" applyFont="1" applyFill="1" applyBorder="1"/>
    <xf numFmtId="0" fontId="44" fillId="4" borderId="16" xfId="1" applyFont="1" applyFill="1" applyBorder="1"/>
    <xf numFmtId="0" fontId="44" fillId="3" borderId="17" xfId="1" applyFont="1" applyFill="1" applyBorder="1"/>
    <xf numFmtId="0" fontId="47" fillId="0" borderId="0" xfId="0" applyFont="1" applyFill="1" applyBorder="1" applyAlignment="1">
      <alignment vertical="center"/>
    </xf>
    <xf numFmtId="0" fontId="47" fillId="0" borderId="0" xfId="0" applyFont="1" applyFill="1" applyAlignment="1">
      <alignment vertical="center"/>
    </xf>
    <xf numFmtId="0" fontId="32" fillId="2" borderId="28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24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164" fontId="31" fillId="2" borderId="23" xfId="53" applyNumberFormat="1" applyFont="1" applyFill="1" applyBorder="1" applyAlignment="1">
      <alignment horizontal="right"/>
    </xf>
    <xf numFmtId="0" fontId="44" fillId="3" borderId="8" xfId="1" applyFont="1" applyFill="1" applyBorder="1"/>
    <xf numFmtId="0" fontId="44" fillId="3" borderId="4" xfId="1" applyFont="1" applyFill="1" applyBorder="1"/>
    <xf numFmtId="0" fontId="44" fillId="6" borderId="4" xfId="1" applyFont="1" applyFill="1" applyBorder="1"/>
    <xf numFmtId="0" fontId="44" fillId="6" borderId="48" xfId="1" applyFont="1" applyFill="1" applyBorder="1"/>
    <xf numFmtId="0" fontId="44" fillId="2" borderId="4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4" xfId="0" applyNumberFormat="1" applyFont="1" applyFill="1" applyBorder="1"/>
    <xf numFmtId="3" fontId="39" fillId="2" borderId="45" xfId="0" applyNumberFormat="1" applyFont="1" applyFill="1" applyBorder="1"/>
    <xf numFmtId="9" fontId="39" fillId="2" borderId="49" xfId="0" applyNumberFormat="1" applyFont="1" applyFill="1" applyBorder="1"/>
    <xf numFmtId="0" fontId="48" fillId="2" borderId="17" xfId="1" applyFont="1" applyFill="1" applyBorder="1" applyAlignment="1"/>
    <xf numFmtId="0" fontId="32" fillId="2" borderId="27" xfId="0" applyFont="1" applyFill="1" applyBorder="1" applyAlignment="1"/>
    <xf numFmtId="3" fontId="32" fillId="2" borderId="26" xfId="0" applyNumberFormat="1" applyFont="1" applyFill="1" applyBorder="1" applyAlignment="1"/>
    <xf numFmtId="9" fontId="32" fillId="2" borderId="19" xfId="0" applyNumberFormat="1" applyFont="1" applyFill="1" applyBorder="1" applyAlignment="1"/>
    <xf numFmtId="0" fontId="39" fillId="2" borderId="46" xfId="0" applyFont="1" applyFill="1" applyBorder="1" applyAlignment="1"/>
    <xf numFmtId="0" fontId="32" fillId="0" borderId="7" xfId="0" applyFont="1" applyBorder="1" applyAlignment="1"/>
    <xf numFmtId="3" fontId="32" fillId="0" borderId="5" xfId="0" applyNumberFormat="1" applyFont="1" applyBorder="1" applyAlignment="1"/>
    <xf numFmtId="9" fontId="32" fillId="0" borderId="10" xfId="0" applyNumberFormat="1" applyFont="1" applyBorder="1" applyAlignment="1"/>
    <xf numFmtId="0" fontId="29" fillId="2" borderId="33" xfId="1" applyFont="1" applyFill="1" applyBorder="1" applyAlignment="1">
      <alignment horizontal="left" indent="2"/>
    </xf>
    <xf numFmtId="0" fontId="32" fillId="0" borderId="11" xfId="0" applyFont="1" applyBorder="1" applyAlignment="1"/>
    <xf numFmtId="3" fontId="32" fillId="0" borderId="9" xfId="0" applyNumberFormat="1" applyFont="1" applyBorder="1" applyAlignment="1"/>
    <xf numFmtId="0" fontId="32" fillId="2" borderId="33" xfId="0" applyFont="1" applyFill="1" applyBorder="1" applyAlignment="1">
      <alignment horizontal="left" indent="2"/>
    </xf>
    <xf numFmtId="0" fontId="31" fillId="2" borderId="33" xfId="1" applyFont="1" applyFill="1" applyBorder="1" applyAlignment="1"/>
    <xf numFmtId="0" fontId="44" fillId="2" borderId="33" xfId="1" applyFont="1" applyFill="1" applyBorder="1" applyAlignment="1">
      <alignment horizontal="left" indent="2"/>
    </xf>
    <xf numFmtId="0" fontId="48" fillId="2" borderId="33" xfId="1" applyFont="1" applyFill="1" applyBorder="1" applyAlignment="1"/>
    <xf numFmtId="0" fontId="32" fillId="0" borderId="31" xfId="0" applyFont="1" applyBorder="1" applyAlignment="1"/>
    <xf numFmtId="3" fontId="32" fillId="0" borderId="22" xfId="0" applyNumberFormat="1" applyFont="1" applyBorder="1" applyAlignment="1"/>
    <xf numFmtId="9" fontId="32" fillId="0" borderId="21" xfId="0" applyNumberFormat="1" applyFont="1" applyBorder="1" applyAlignment="1"/>
    <xf numFmtId="0" fontId="39" fillId="0" borderId="35" xfId="0" applyFont="1" applyFill="1" applyBorder="1" applyAlignment="1">
      <alignment horizontal="left" indent="2"/>
    </xf>
    <xf numFmtId="0" fontId="32" fillId="0" borderId="35" xfId="0" applyFont="1" applyBorder="1" applyAlignment="1"/>
    <xf numFmtId="3" fontId="32" fillId="0" borderId="35" xfId="0" applyNumberFormat="1" applyFont="1" applyBorder="1" applyAlignment="1"/>
    <xf numFmtId="9" fontId="32" fillId="0" borderId="35" xfId="0" applyNumberFormat="1" applyFont="1" applyBorder="1" applyAlignment="1"/>
    <xf numFmtId="0" fontId="48" fillId="4" borderId="17" xfId="1" applyFont="1" applyFill="1" applyBorder="1" applyAlignment="1">
      <alignment horizontal="left"/>
    </xf>
    <xf numFmtId="0" fontId="32" fillId="4" borderId="27" xfId="0" applyFont="1" applyFill="1" applyBorder="1" applyAlignment="1"/>
    <xf numFmtId="3" fontId="32" fillId="4" borderId="26" xfId="0" applyNumberFormat="1" applyFont="1" applyFill="1" applyBorder="1" applyAlignment="1"/>
    <xf numFmtId="9" fontId="32" fillId="4" borderId="19" xfId="0" applyNumberFormat="1" applyFont="1" applyFill="1" applyBorder="1" applyAlignment="1"/>
    <xf numFmtId="0" fontId="48" fillId="4" borderId="46" xfId="1" applyFont="1" applyFill="1" applyBorder="1" applyAlignment="1">
      <alignment horizontal="left"/>
    </xf>
    <xf numFmtId="0" fontId="48" fillId="4" borderId="33" xfId="1" applyFont="1" applyFill="1" applyBorder="1" applyAlignment="1">
      <alignment horizontal="left"/>
    </xf>
    <xf numFmtId="0" fontId="32" fillId="4" borderId="34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3" xfId="0" applyNumberFormat="1" applyFont="1" applyBorder="1" applyAlignment="1"/>
    <xf numFmtId="0" fontId="39" fillId="3" borderId="17" xfId="0" applyFont="1" applyFill="1" applyBorder="1" applyAlignment="1"/>
    <xf numFmtId="0" fontId="32" fillId="3" borderId="27" xfId="0" applyFont="1" applyFill="1" applyBorder="1" applyAlignment="1"/>
    <xf numFmtId="3" fontId="32" fillId="3" borderId="26" xfId="0" applyNumberFormat="1" applyFont="1" applyFill="1" applyBorder="1" applyAlignment="1"/>
    <xf numFmtId="9" fontId="32" fillId="3" borderId="19" xfId="0" applyNumberFormat="1" applyFont="1" applyFill="1" applyBorder="1" applyAlignment="1"/>
    <xf numFmtId="0" fontId="7" fillId="0" borderId="0" xfId="81" applyFont="1" applyFill="1"/>
    <xf numFmtId="0" fontId="49" fillId="0" borderId="35" xfId="81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4" fontId="32" fillId="0" borderId="0" xfId="0" applyNumberFormat="1" applyFont="1" applyFill="1"/>
    <xf numFmtId="9" fontId="32" fillId="0" borderId="0" xfId="0" applyNumberFormat="1" applyFont="1" applyFill="1"/>
    <xf numFmtId="164" fontId="27" fillId="0" borderId="0" xfId="78" applyNumberFormat="1" applyFont="1" applyFill="1" applyBorder="1" applyAlignment="1"/>
    <xf numFmtId="3" fontId="27" fillId="0" borderId="0" xfId="78" applyNumberFormat="1" applyFont="1" applyFill="1" applyBorder="1" applyAlignment="1"/>
    <xf numFmtId="164" fontId="32" fillId="0" borderId="0" xfId="0" applyNumberFormat="1" applyFont="1" applyFill="1" applyAlignment="1">
      <alignment horizontal="right"/>
    </xf>
    <xf numFmtId="3" fontId="6" fillId="0" borderId="0" xfId="78" applyNumberFormat="1" applyFont="1" applyFill="1" applyBorder="1" applyAlignment="1"/>
    <xf numFmtId="3" fontId="0" fillId="0" borderId="0" xfId="0" applyNumberFormat="1"/>
    <xf numFmtId="3" fontId="0" fillId="7" borderId="53" xfId="0" applyNumberFormat="1" applyFont="1" applyFill="1" applyBorder="1"/>
    <xf numFmtId="3" fontId="51" fillId="8" borderId="54" xfId="0" applyNumberFormat="1" applyFont="1" applyFill="1" applyBorder="1"/>
    <xf numFmtId="3" fontId="51" fillId="8" borderId="53" xfId="0" applyNumberFormat="1" applyFont="1" applyFill="1" applyBorder="1"/>
    <xf numFmtId="0" fontId="52" fillId="0" borderId="0" xfId="1" applyFont="1" applyFill="1"/>
    <xf numFmtId="3" fontId="50" fillId="0" borderId="0" xfId="26" applyNumberFormat="1" applyFont="1" applyFill="1" applyBorder="1" applyAlignment="1"/>
    <xf numFmtId="0" fontId="39" fillId="2" borderId="58" xfId="0" applyFont="1" applyFill="1" applyBorder="1" applyAlignment="1">
      <alignment horizontal="center" vertical="center"/>
    </xf>
    <xf numFmtId="0" fontId="39" fillId="2" borderId="59" xfId="0" applyFont="1" applyFill="1" applyBorder="1" applyAlignment="1">
      <alignment horizontal="center" vertical="center"/>
    </xf>
    <xf numFmtId="0" fontId="53" fillId="2" borderId="61" xfId="0" applyFont="1" applyFill="1" applyBorder="1" applyAlignment="1">
      <alignment horizontal="center" vertical="center" wrapText="1"/>
    </xf>
    <xf numFmtId="0" fontId="53" fillId="2" borderId="62" xfId="0" applyFont="1" applyFill="1" applyBorder="1" applyAlignment="1">
      <alignment horizontal="center" vertical="center" wrapText="1"/>
    </xf>
    <xf numFmtId="0" fontId="39" fillId="2" borderId="63" xfId="0" applyFont="1" applyFill="1" applyBorder="1" applyAlignment="1"/>
    <xf numFmtId="0" fontId="39" fillId="2" borderId="65" xfId="0" applyFont="1" applyFill="1" applyBorder="1" applyAlignment="1">
      <alignment horizontal="left" indent="1"/>
    </xf>
    <xf numFmtId="0" fontId="39" fillId="2" borderId="71" xfId="0" applyFont="1" applyFill="1" applyBorder="1" applyAlignment="1">
      <alignment horizontal="left" indent="1"/>
    </xf>
    <xf numFmtId="0" fontId="39" fillId="4" borderId="63" xfId="0" applyFont="1" applyFill="1" applyBorder="1" applyAlignment="1"/>
    <xf numFmtId="0" fontId="39" fillId="4" borderId="65" xfId="0" applyFont="1" applyFill="1" applyBorder="1" applyAlignment="1">
      <alignment horizontal="left" indent="1"/>
    </xf>
    <xf numFmtId="0" fontId="39" fillId="4" borderId="76" xfId="0" applyFont="1" applyFill="1" applyBorder="1" applyAlignment="1">
      <alignment horizontal="left" indent="1"/>
    </xf>
    <xf numFmtId="0" fontId="32" fillId="2" borderId="65" xfId="0" quotePrefix="1" applyFont="1" applyFill="1" applyBorder="1" applyAlignment="1">
      <alignment horizontal="left" indent="2"/>
    </xf>
    <xf numFmtId="0" fontId="32" fillId="2" borderId="71" xfId="0" quotePrefix="1" applyFont="1" applyFill="1" applyBorder="1" applyAlignment="1">
      <alignment horizontal="left" indent="2"/>
    </xf>
    <xf numFmtId="0" fontId="39" fillId="2" borderId="63" xfId="0" applyFont="1" applyFill="1" applyBorder="1" applyAlignment="1">
      <alignment horizontal="left" indent="1"/>
    </xf>
    <xf numFmtId="0" fontId="39" fillId="2" borderId="76" xfId="0" applyFont="1" applyFill="1" applyBorder="1" applyAlignment="1">
      <alignment horizontal="left" indent="1"/>
    </xf>
    <xf numFmtId="0" fontId="39" fillId="4" borderId="71" xfId="0" applyFont="1" applyFill="1" applyBorder="1" applyAlignment="1">
      <alignment horizontal="left" indent="1"/>
    </xf>
    <xf numFmtId="0" fontId="32" fillId="0" borderId="81" xfId="0" applyFont="1" applyBorder="1"/>
    <xf numFmtId="3" fontId="32" fillId="0" borderId="81" xfId="0" applyNumberFormat="1" applyFont="1" applyBorder="1"/>
    <xf numFmtId="0" fontId="39" fillId="4" borderId="55" xfId="0" applyFont="1" applyFill="1" applyBorder="1" applyAlignment="1">
      <alignment horizontal="center" vertical="center"/>
    </xf>
    <xf numFmtId="0" fontId="39" fillId="4" borderId="50" xfId="0" applyFont="1" applyFill="1" applyBorder="1" applyAlignment="1">
      <alignment horizontal="center" vertical="center"/>
    </xf>
    <xf numFmtId="0" fontId="0" fillId="0" borderId="0" xfId="0" applyNumberFormat="1"/>
    <xf numFmtId="3" fontId="39" fillId="2" borderId="80" xfId="0" applyNumberFormat="1" applyFont="1" applyFill="1" applyBorder="1" applyAlignment="1">
      <alignment horizontal="center" vertical="center"/>
    </xf>
    <xf numFmtId="3" fontId="53" fillId="2" borderId="78" xfId="0" applyNumberFormat="1" applyFont="1" applyFill="1" applyBorder="1" applyAlignment="1">
      <alignment horizontal="center" vertical="center" wrapText="1"/>
    </xf>
    <xf numFmtId="173" fontId="39" fillId="4" borderId="64" xfId="0" applyNumberFormat="1" applyFont="1" applyFill="1" applyBorder="1" applyAlignment="1"/>
    <xf numFmtId="173" fontId="39" fillId="4" borderId="58" xfId="0" applyNumberFormat="1" applyFont="1" applyFill="1" applyBorder="1" applyAlignment="1"/>
    <xf numFmtId="173" fontId="39" fillId="4" borderId="59" xfId="0" applyNumberFormat="1" applyFont="1" applyFill="1" applyBorder="1" applyAlignment="1"/>
    <xf numFmtId="173" fontId="39" fillId="0" borderId="66" xfId="0" applyNumberFormat="1" applyFont="1" applyBorder="1"/>
    <xf numFmtId="173" fontId="32" fillId="0" borderId="68" xfId="0" applyNumberFormat="1" applyFont="1" applyBorder="1"/>
    <xf numFmtId="173" fontId="32" fillId="0" borderId="69" xfId="0" applyNumberFormat="1" applyFont="1" applyBorder="1"/>
    <xf numFmtId="173" fontId="39" fillId="0" borderId="77" xfId="0" applyNumberFormat="1" applyFont="1" applyBorder="1"/>
    <xf numFmtId="173" fontId="32" fillId="0" borderId="61" xfId="0" applyNumberFormat="1" applyFont="1" applyBorder="1"/>
    <xf numFmtId="173" fontId="32" fillId="0" borderId="62" xfId="0" applyNumberFormat="1" applyFont="1" applyBorder="1"/>
    <xf numFmtId="173" fontId="39" fillId="2" borderId="79" xfId="0" applyNumberFormat="1" applyFont="1" applyFill="1" applyBorder="1" applyAlignment="1"/>
    <xf numFmtId="173" fontId="39" fillId="2" borderId="58" xfId="0" applyNumberFormat="1" applyFont="1" applyFill="1" applyBorder="1" applyAlignment="1"/>
    <xf numFmtId="173" fontId="39" fillId="2" borderId="59" xfId="0" applyNumberFormat="1" applyFont="1" applyFill="1" applyBorder="1" applyAlignment="1"/>
    <xf numFmtId="173" fontId="39" fillId="0" borderId="72" xfId="0" applyNumberFormat="1" applyFont="1" applyBorder="1"/>
    <xf numFmtId="173" fontId="32" fillId="0" borderId="74" xfId="0" applyNumberFormat="1" applyFont="1" applyBorder="1"/>
    <xf numFmtId="173" fontId="32" fillId="0" borderId="75" xfId="0" applyNumberFormat="1" applyFont="1" applyBorder="1"/>
    <xf numFmtId="174" fontId="39" fillId="2" borderId="64" xfId="0" applyNumberFormat="1" applyFont="1" applyFill="1" applyBorder="1" applyAlignment="1"/>
    <xf numFmtId="174" fontId="32" fillId="2" borderId="58" xfId="0" applyNumberFormat="1" applyFont="1" applyFill="1" applyBorder="1" applyAlignment="1"/>
    <xf numFmtId="174" fontId="32" fillId="2" borderId="59" xfId="0" applyNumberFormat="1" applyFont="1" applyFill="1" applyBorder="1" applyAlignment="1"/>
    <xf numFmtId="174" fontId="39" fillId="0" borderId="66" xfId="0" applyNumberFormat="1" applyFont="1" applyBorder="1"/>
    <xf numFmtId="174" fontId="32" fillId="0" borderId="68" xfId="0" applyNumberFormat="1" applyFont="1" applyBorder="1"/>
    <xf numFmtId="174" fontId="32" fillId="0" borderId="69" xfId="0" applyNumberFormat="1" applyFont="1" applyBorder="1"/>
    <xf numFmtId="174" fontId="39" fillId="0" borderId="72" xfId="0" applyNumberFormat="1" applyFont="1" applyBorder="1"/>
    <xf numFmtId="174" fontId="32" fillId="0" borderId="74" xfId="0" applyNumberFormat="1" applyFont="1" applyBorder="1"/>
    <xf numFmtId="174" fontId="32" fillId="0" borderId="75" xfId="0" applyNumberFormat="1" applyFont="1" applyBorder="1"/>
    <xf numFmtId="0" fontId="55" fillId="0" borderId="0" xfId="0" applyFont="1" applyAlignment="1">
      <alignment horizontal="left" vertical="center" indent="1"/>
    </xf>
    <xf numFmtId="0" fontId="55" fillId="0" borderId="0" xfId="0" applyFont="1" applyAlignment="1">
      <alignment vertical="center"/>
    </xf>
    <xf numFmtId="0" fontId="0" fillId="0" borderId="0" xfId="0" applyAlignment="1"/>
    <xf numFmtId="0" fontId="56" fillId="0" borderId="0" xfId="0" applyFont="1"/>
    <xf numFmtId="173" fontId="39" fillId="4" borderId="64" xfId="0" applyNumberFormat="1" applyFont="1" applyFill="1" applyBorder="1" applyAlignment="1">
      <alignment horizontal="center"/>
    </xf>
    <xf numFmtId="175" fontId="39" fillId="0" borderId="72" xfId="0" applyNumberFormat="1" applyFont="1" applyBorder="1"/>
    <xf numFmtId="0" fontId="31" fillId="2" borderId="84" xfId="74" applyFont="1" applyFill="1" applyBorder="1" applyAlignment="1">
      <alignment horizontal="center"/>
    </xf>
    <xf numFmtId="0" fontId="31" fillId="2" borderId="59" xfId="81" applyFont="1" applyFill="1" applyBorder="1" applyAlignment="1">
      <alignment horizontal="center"/>
    </xf>
    <xf numFmtId="0" fontId="31" fillId="2" borderId="60" xfId="81" applyFont="1" applyFill="1" applyBorder="1" applyAlignment="1">
      <alignment horizontal="center"/>
    </xf>
    <xf numFmtId="0" fontId="31" fillId="2" borderId="61" xfId="81" applyFont="1" applyFill="1" applyBorder="1" applyAlignment="1">
      <alignment horizontal="center"/>
    </xf>
    <xf numFmtId="0" fontId="31" fillId="2" borderId="62" xfId="81" applyFont="1" applyFill="1" applyBorder="1" applyAlignment="1">
      <alignment horizontal="center"/>
    </xf>
    <xf numFmtId="0" fontId="3" fillId="2" borderId="18" xfId="79" applyFont="1" applyFill="1" applyBorder="1" applyAlignment="1"/>
    <xf numFmtId="0" fontId="3" fillId="2" borderId="26" xfId="79" applyFont="1" applyFill="1" applyBorder="1" applyAlignment="1"/>
    <xf numFmtId="0" fontId="29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5" xfId="79" applyFont="1" applyFill="1" applyBorder="1" applyAlignment="1">
      <alignment horizontal="right"/>
    </xf>
    <xf numFmtId="9" fontId="32" fillId="0" borderId="26" xfId="0" applyNumberFormat="1" applyFont="1" applyFill="1" applyBorder="1"/>
    <xf numFmtId="9" fontId="32" fillId="0" borderId="19" xfId="0" applyNumberFormat="1" applyFont="1" applyFill="1" applyBorder="1"/>
    <xf numFmtId="9" fontId="32" fillId="0" borderId="27" xfId="0" applyNumberFormat="1" applyFont="1" applyFill="1" applyBorder="1"/>
    <xf numFmtId="3" fontId="6" fillId="0" borderId="18" xfId="78" applyNumberFormat="1" applyFont="1" applyFill="1" applyBorder="1" applyAlignment="1"/>
    <xf numFmtId="3" fontId="6" fillId="0" borderId="26" xfId="78" applyNumberFormat="1" applyFont="1" applyFill="1" applyBorder="1" applyAlignment="1"/>
    <xf numFmtId="3" fontId="6" fillId="0" borderId="19" xfId="78" applyNumberFormat="1" applyFont="1" applyFill="1" applyBorder="1" applyAlignment="1"/>
    <xf numFmtId="0" fontId="32" fillId="5" borderId="69" xfId="0" applyFont="1" applyFill="1" applyBorder="1"/>
    <xf numFmtId="0" fontId="32" fillId="0" borderId="70" xfId="0" applyFont="1" applyBorder="1" applyAlignment="1"/>
    <xf numFmtId="9" fontId="32" fillId="0" borderId="68" xfId="0" applyNumberFormat="1" applyFont="1" applyBorder="1" applyAlignment="1"/>
    <xf numFmtId="0" fontId="25" fillId="2" borderId="33" xfId="1" applyFill="1" applyBorder="1" applyAlignment="1">
      <alignment horizontal="left" indent="4"/>
    </xf>
    <xf numFmtId="0" fontId="39" fillId="0" borderId="0" xfId="0" applyFont="1" applyFill="1" applyAlignment="1">
      <alignment horizontal="left" indent="1"/>
    </xf>
    <xf numFmtId="9" fontId="32" fillId="0" borderId="68" xfId="0" applyNumberFormat="1" applyFont="1" applyBorder="1"/>
    <xf numFmtId="9" fontId="32" fillId="0" borderId="69" xfId="0" applyNumberFormat="1" applyFont="1" applyBorder="1"/>
    <xf numFmtId="49" fontId="37" fillId="2" borderId="68" xfId="0" quotePrefix="1" applyNumberFormat="1" applyFont="1" applyFill="1" applyBorder="1" applyAlignment="1">
      <alignment horizontal="center" vertical="center"/>
    </xf>
    <xf numFmtId="0" fontId="31" fillId="2" borderId="37" xfId="81" applyFont="1" applyFill="1" applyBorder="1" applyAlignment="1">
      <alignment horizontal="center"/>
    </xf>
    <xf numFmtId="0" fontId="31" fillId="2" borderId="38" xfId="81" applyFont="1" applyFill="1" applyBorder="1" applyAlignment="1">
      <alignment horizontal="center"/>
    </xf>
    <xf numFmtId="0" fontId="0" fillId="0" borderId="0" xfId="0" applyBorder="1"/>
    <xf numFmtId="0" fontId="31" fillId="2" borderId="23" xfId="74" applyFont="1" applyFill="1" applyBorder="1" applyAlignment="1">
      <alignment horizontal="center"/>
    </xf>
    <xf numFmtId="0" fontId="6" fillId="0" borderId="2" xfId="78" applyFont="1" applyFill="1" applyBorder="1" applyAlignment="1"/>
    <xf numFmtId="173" fontId="32" fillId="0" borderId="87" xfId="0" applyNumberFormat="1" applyFont="1" applyBorder="1"/>
    <xf numFmtId="173" fontId="32" fillId="0" borderId="88" xfId="0" applyNumberFormat="1" applyFont="1" applyBorder="1"/>
    <xf numFmtId="173" fontId="32" fillId="0" borderId="26" xfId="0" applyNumberFormat="1" applyFont="1" applyBorder="1"/>
    <xf numFmtId="173" fontId="32" fillId="0" borderId="19" xfId="0" applyNumberFormat="1" applyFont="1" applyBorder="1"/>
    <xf numFmtId="3" fontId="32" fillId="0" borderId="0" xfId="0" applyNumberFormat="1" applyFont="1" applyBorder="1"/>
    <xf numFmtId="173" fontId="32" fillId="0" borderId="67" xfId="0" applyNumberFormat="1" applyFont="1" applyBorder="1" applyAlignment="1"/>
    <xf numFmtId="173" fontId="32" fillId="0" borderId="68" xfId="0" applyNumberFormat="1" applyFont="1" applyBorder="1" applyAlignment="1"/>
    <xf numFmtId="173" fontId="32" fillId="0" borderId="69" xfId="0" applyNumberFormat="1" applyFont="1" applyBorder="1" applyAlignment="1"/>
    <xf numFmtId="175" fontId="32" fillId="0" borderId="67" xfId="0" applyNumberFormat="1" applyFont="1" applyBorder="1" applyAlignment="1"/>
    <xf numFmtId="175" fontId="32" fillId="0" borderId="68" xfId="0" applyNumberFormat="1" applyFont="1" applyBorder="1" applyAlignment="1"/>
    <xf numFmtId="175" fontId="32" fillId="0" borderId="69" xfId="0" applyNumberFormat="1" applyFont="1" applyBorder="1" applyAlignment="1"/>
    <xf numFmtId="173" fontId="32" fillId="0" borderId="60" xfId="0" applyNumberFormat="1" applyFont="1" applyBorder="1" applyAlignment="1"/>
    <xf numFmtId="173" fontId="32" fillId="0" borderId="61" xfId="0" applyNumberFormat="1" applyFont="1" applyBorder="1" applyAlignment="1"/>
    <xf numFmtId="173" fontId="32" fillId="0" borderId="62" xfId="0" applyNumberFormat="1" applyFont="1" applyBorder="1" applyAlignment="1"/>
    <xf numFmtId="173" fontId="39" fillId="4" borderId="23" xfId="0" applyNumberFormat="1" applyFont="1" applyFill="1" applyBorder="1" applyAlignment="1">
      <alignment horizontal="center"/>
    </xf>
    <xf numFmtId="173" fontId="39" fillId="4" borderId="28" xfId="0" applyNumberFormat="1" applyFont="1" applyFill="1" applyBorder="1" applyAlignment="1">
      <alignment horizontal="center"/>
    </xf>
    <xf numFmtId="173" fontId="39" fillId="4" borderId="24" xfId="0" applyNumberFormat="1" applyFont="1" applyFill="1" applyBorder="1" applyAlignment="1">
      <alignment horizontal="center"/>
    </xf>
    <xf numFmtId="173" fontId="32" fillId="0" borderId="17" xfId="0" applyNumberFormat="1" applyFont="1" applyBorder="1"/>
    <xf numFmtId="173" fontId="32" fillId="0" borderId="89" xfId="0" applyNumberFormat="1" applyFont="1" applyBorder="1"/>
    <xf numFmtId="9" fontId="32" fillId="0" borderId="65" xfId="0" applyNumberFormat="1" applyFont="1" applyBorder="1"/>
    <xf numFmtId="173" fontId="32" fillId="0" borderId="76" xfId="0" applyNumberFormat="1" applyFont="1" applyBorder="1"/>
    <xf numFmtId="0" fontId="0" fillId="0" borderId="1" xfId="0" applyBorder="1" applyAlignment="1"/>
    <xf numFmtId="0" fontId="39" fillId="3" borderId="25" xfId="0" applyFont="1" applyFill="1" applyBorder="1" applyAlignment="1"/>
    <xf numFmtId="0" fontId="32" fillId="0" borderId="36" xfId="0" applyFont="1" applyBorder="1" applyAlignment="1"/>
    <xf numFmtId="0" fontId="39" fillId="2" borderId="25" xfId="0" applyFont="1" applyFill="1" applyBorder="1" applyAlignment="1"/>
    <xf numFmtId="0" fontId="39" fillId="4" borderId="25" xfId="0" applyFont="1" applyFill="1" applyBorder="1" applyAlignment="1"/>
    <xf numFmtId="0" fontId="41" fillId="0" borderId="1" xfId="0" applyFont="1" applyFill="1" applyBorder="1" applyAlignment="1"/>
    <xf numFmtId="0" fontId="41" fillId="0" borderId="1" xfId="0" applyFont="1" applyBorder="1" applyAlignment="1"/>
    <xf numFmtId="0" fontId="30" fillId="5" borderId="15" xfId="81" applyFont="1" applyFill="1" applyBorder="1" applyAlignment="1">
      <alignment horizontal="center" vertical="center"/>
    </xf>
    <xf numFmtId="0" fontId="40" fillId="0" borderId="2" xfId="0" applyFont="1" applyBorder="1" applyAlignment="1">
      <alignment horizontal="center" vertical="center"/>
    </xf>
    <xf numFmtId="0" fontId="31" fillId="2" borderId="41" xfId="81" applyFont="1" applyFill="1" applyBorder="1" applyAlignment="1">
      <alignment horizontal="center"/>
    </xf>
    <xf numFmtId="0" fontId="31" fillId="2" borderId="42" xfId="81" applyFont="1" applyFill="1" applyBorder="1" applyAlignment="1">
      <alignment horizontal="center"/>
    </xf>
    <xf numFmtId="0" fontId="31" fillId="2" borderId="39" xfId="81" applyFont="1" applyFill="1" applyBorder="1" applyAlignment="1">
      <alignment horizontal="center"/>
    </xf>
    <xf numFmtId="0" fontId="31" fillId="2" borderId="52" xfId="81" applyFont="1" applyFill="1" applyBorder="1" applyAlignment="1">
      <alignment horizontal="center"/>
    </xf>
    <xf numFmtId="0" fontId="31" fillId="2" borderId="40" xfId="81" applyFont="1" applyFill="1" applyBorder="1" applyAlignment="1">
      <alignment horizontal="center"/>
    </xf>
    <xf numFmtId="0" fontId="31" fillId="2" borderId="84" xfId="81" applyFont="1" applyFill="1" applyBorder="1" applyAlignment="1">
      <alignment horizontal="center"/>
    </xf>
    <xf numFmtId="0" fontId="31" fillId="2" borderId="64" xfId="81" applyFont="1" applyFill="1" applyBorder="1" applyAlignment="1">
      <alignment horizontal="center"/>
    </xf>
    <xf numFmtId="0" fontId="41" fillId="0" borderId="1" xfId="0" applyFont="1" applyFill="1" applyBorder="1" applyAlignment="1">
      <alignment horizontal="center"/>
    </xf>
    <xf numFmtId="0" fontId="2" fillId="0" borderId="1" xfId="0" applyFont="1" applyFill="1" applyBorder="1" applyAlignment="1"/>
    <xf numFmtId="0" fontId="38" fillId="2" borderId="23" xfId="0" applyFont="1" applyFill="1" applyBorder="1" applyAlignment="1">
      <alignment horizontal="center" vertical="center"/>
    </xf>
    <xf numFmtId="0" fontId="32" fillId="2" borderId="28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10" xfId="0" applyFont="1" applyFill="1" applyBorder="1" applyAlignment="1">
      <alignment horizontal="center" vertical="center"/>
    </xf>
    <xf numFmtId="0" fontId="5" fillId="0" borderId="1" xfId="0" applyFont="1" applyFill="1" applyBorder="1" applyAlignment="1"/>
    <xf numFmtId="0" fontId="32" fillId="2" borderId="8" xfId="0" applyFont="1" applyFill="1" applyBorder="1" applyAlignment="1">
      <alignment horizontal="center" vertical="center"/>
    </xf>
    <xf numFmtId="0" fontId="32" fillId="2" borderId="9" xfId="0" applyFont="1" applyFill="1" applyBorder="1" applyAlignment="1">
      <alignment horizontal="center" vertical="center"/>
    </xf>
    <xf numFmtId="0" fontId="38" fillId="2" borderId="28" xfId="0" applyFont="1" applyFill="1" applyBorder="1" applyAlignment="1">
      <alignment horizontal="center" vertical="center"/>
    </xf>
    <xf numFmtId="0" fontId="32" fillId="2" borderId="24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0" fontId="32" fillId="2" borderId="22" xfId="0" applyFont="1" applyFill="1" applyBorder="1" applyAlignment="1">
      <alignment horizontal="center" vertical="center" wrapText="1"/>
    </xf>
    <xf numFmtId="0" fontId="36" fillId="2" borderId="9" xfId="0" applyFont="1" applyFill="1" applyBorder="1" applyAlignment="1">
      <alignment horizontal="center" vertical="center" wrapText="1"/>
    </xf>
    <xf numFmtId="0" fontId="36" fillId="2" borderId="10" xfId="0" applyFont="1" applyFill="1" applyBorder="1" applyAlignment="1">
      <alignment horizontal="center" vertical="center" wrapText="1"/>
    </xf>
    <xf numFmtId="0" fontId="32" fillId="2" borderId="21" xfId="0" applyFont="1" applyFill="1" applyBorder="1" applyAlignment="1">
      <alignment horizontal="center" vertical="center" wrapText="1"/>
    </xf>
    <xf numFmtId="0" fontId="31" fillId="2" borderId="82" xfId="81" applyFont="1" applyFill="1" applyBorder="1" applyAlignment="1">
      <alignment horizontal="center"/>
    </xf>
    <xf numFmtId="0" fontId="31" fillId="2" borderId="83" xfId="81" applyFont="1" applyFill="1" applyBorder="1" applyAlignment="1">
      <alignment horizontal="center"/>
    </xf>
    <xf numFmtId="0" fontId="31" fillId="2" borderId="77" xfId="81" applyFont="1" applyFill="1" applyBorder="1" applyAlignment="1">
      <alignment horizontal="center"/>
    </xf>
    <xf numFmtId="0" fontId="2" fillId="0" borderId="1" xfId="14" applyFont="1" applyFill="1" applyBorder="1" applyAlignment="1"/>
    <xf numFmtId="0" fontId="41" fillId="0" borderId="1" xfId="14" applyFont="1" applyFill="1" applyBorder="1" applyAlignment="1"/>
    <xf numFmtId="0" fontId="0" fillId="0" borderId="1" xfId="0" applyBorder="1" applyAlignment="1"/>
    <xf numFmtId="164" fontId="31" fillId="0" borderId="0" xfId="53" applyNumberFormat="1" applyFont="1" applyFill="1" applyBorder="1" applyAlignment="1">
      <alignment horizontal="center"/>
    </xf>
    <xf numFmtId="164" fontId="29" fillId="0" borderId="0" xfId="79" applyNumberFormat="1" applyFont="1" applyFill="1" applyBorder="1" applyAlignment="1">
      <alignment horizontal="center"/>
    </xf>
    <xf numFmtId="164" fontId="31" fillId="2" borderId="23" xfId="53" applyNumberFormat="1" applyFont="1" applyFill="1" applyBorder="1" applyAlignment="1">
      <alignment horizontal="right"/>
    </xf>
    <xf numFmtId="164" fontId="29" fillId="2" borderId="28" xfId="79" applyNumberFormat="1" applyFont="1" applyFill="1" applyBorder="1" applyAlignment="1">
      <alignment horizontal="right"/>
    </xf>
    <xf numFmtId="164" fontId="42" fillId="0" borderId="1" xfId="14" applyNumberFormat="1" applyFont="1" applyFill="1" applyBorder="1" applyAlignment="1"/>
    <xf numFmtId="0" fontId="5" fillId="0" borderId="1" xfId="14" applyFont="1" applyFill="1" applyBorder="1" applyAlignment="1"/>
    <xf numFmtId="9" fontId="3" fillId="2" borderId="86" xfId="80" applyNumberFormat="1" applyFont="1" applyFill="1" applyBorder="1" applyAlignment="1">
      <alignment horizontal="left"/>
    </xf>
    <xf numFmtId="9" fontId="3" fillId="2" borderId="5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3" fontId="3" fillId="2" borderId="3" xfId="80" applyNumberFormat="1" applyFont="1" applyFill="1" applyBorder="1" applyAlignment="1">
      <alignment horizontal="left"/>
    </xf>
    <xf numFmtId="3" fontId="3" fillId="2" borderId="85" xfId="80" applyNumberFormat="1" applyFont="1" applyFill="1" applyBorder="1" applyAlignment="1">
      <alignment horizontal="left"/>
    </xf>
    <xf numFmtId="3" fontId="3" fillId="2" borderId="79" xfId="80" applyNumberFormat="1" applyFont="1" applyFill="1" applyBorder="1" applyAlignment="1">
      <alignment horizontal="left"/>
    </xf>
    <xf numFmtId="166" fontId="39" fillId="2" borderId="56" xfId="0" applyNumberFormat="1" applyFont="1" applyFill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0" fontId="2" fillId="0" borderId="1" xfId="26" applyFont="1" applyFill="1" applyBorder="1" applyAlignment="1">
      <alignment horizontal="left"/>
    </xf>
    <xf numFmtId="3" fontId="33" fillId="9" borderId="91" xfId="0" applyNumberFormat="1" applyFont="1" applyFill="1" applyBorder="1" applyAlignment="1">
      <alignment horizontal="right" vertical="top"/>
    </xf>
    <xf numFmtId="3" fontId="33" fillId="9" borderId="92" xfId="0" applyNumberFormat="1" applyFont="1" applyFill="1" applyBorder="1" applyAlignment="1">
      <alignment horizontal="right" vertical="top"/>
    </xf>
    <xf numFmtId="176" fontId="33" fillId="9" borderId="93" xfId="0" applyNumberFormat="1" applyFont="1" applyFill="1" applyBorder="1" applyAlignment="1">
      <alignment horizontal="right" vertical="top"/>
    </xf>
    <xf numFmtId="3" fontId="33" fillId="0" borderId="91" xfId="0" applyNumberFormat="1" applyFont="1" applyBorder="1" applyAlignment="1">
      <alignment horizontal="right" vertical="top"/>
    </xf>
    <xf numFmtId="176" fontId="33" fillId="9" borderId="94" xfId="0" applyNumberFormat="1" applyFont="1" applyFill="1" applyBorder="1" applyAlignment="1">
      <alignment horizontal="right" vertical="top"/>
    </xf>
    <xf numFmtId="3" fontId="35" fillId="9" borderId="96" xfId="0" applyNumberFormat="1" applyFont="1" applyFill="1" applyBorder="1" applyAlignment="1">
      <alignment horizontal="right" vertical="top"/>
    </xf>
    <xf numFmtId="3" fontId="35" fillId="9" borderId="97" xfId="0" applyNumberFormat="1" applyFont="1" applyFill="1" applyBorder="1" applyAlignment="1">
      <alignment horizontal="right" vertical="top"/>
    </xf>
    <xf numFmtId="176" fontId="35" fillId="9" borderId="98" xfId="0" applyNumberFormat="1" applyFont="1" applyFill="1" applyBorder="1" applyAlignment="1">
      <alignment horizontal="right" vertical="top"/>
    </xf>
    <xf numFmtId="3" fontId="35" fillId="0" borderId="96" xfId="0" applyNumberFormat="1" applyFont="1" applyBorder="1" applyAlignment="1">
      <alignment horizontal="right" vertical="top"/>
    </xf>
    <xf numFmtId="176" fontId="35" fillId="9" borderId="99" xfId="0" applyNumberFormat="1" applyFont="1" applyFill="1" applyBorder="1" applyAlignment="1">
      <alignment horizontal="right" vertical="top"/>
    </xf>
    <xf numFmtId="0" fontId="33" fillId="9" borderId="94" xfId="0" applyFont="1" applyFill="1" applyBorder="1" applyAlignment="1">
      <alignment horizontal="right" vertical="top"/>
    </xf>
    <xf numFmtId="0" fontId="33" fillId="9" borderId="93" xfId="0" applyFont="1" applyFill="1" applyBorder="1" applyAlignment="1">
      <alignment horizontal="right" vertical="top"/>
    </xf>
    <xf numFmtId="0" fontId="35" fillId="9" borderId="99" xfId="0" applyFont="1" applyFill="1" applyBorder="1" applyAlignment="1">
      <alignment horizontal="right" vertical="top"/>
    </xf>
    <xf numFmtId="0" fontId="35" fillId="9" borderId="98" xfId="0" applyFont="1" applyFill="1" applyBorder="1" applyAlignment="1">
      <alignment horizontal="right" vertical="top"/>
    </xf>
    <xf numFmtId="3" fontId="35" fillId="0" borderId="100" xfId="0" applyNumberFormat="1" applyFont="1" applyBorder="1" applyAlignment="1">
      <alignment horizontal="right" vertical="top"/>
    </xf>
    <xf numFmtId="3" fontId="35" fillId="0" borderId="101" xfId="0" applyNumberFormat="1" applyFont="1" applyBorder="1" applyAlignment="1">
      <alignment horizontal="right" vertical="top"/>
    </xf>
    <xf numFmtId="3" fontId="35" fillId="0" borderId="102" xfId="0" applyNumberFormat="1" applyFont="1" applyBorder="1" applyAlignment="1">
      <alignment horizontal="right" vertical="top"/>
    </xf>
    <xf numFmtId="176" fontId="35" fillId="9" borderId="103" xfId="0" applyNumberFormat="1" applyFont="1" applyFill="1" applyBorder="1" applyAlignment="1">
      <alignment horizontal="right" vertical="top"/>
    </xf>
    <xf numFmtId="0" fontId="37" fillId="10" borderId="90" xfId="0" applyFont="1" applyFill="1" applyBorder="1" applyAlignment="1">
      <alignment vertical="top"/>
    </xf>
    <xf numFmtId="0" fontId="37" fillId="10" borderId="90" xfId="0" applyFont="1" applyFill="1" applyBorder="1" applyAlignment="1">
      <alignment vertical="top" indent="2"/>
    </xf>
    <xf numFmtId="0" fontId="37" fillId="10" borderId="90" xfId="0" applyFont="1" applyFill="1" applyBorder="1" applyAlignment="1">
      <alignment vertical="top" indent="4"/>
    </xf>
    <xf numFmtId="0" fontId="38" fillId="10" borderId="95" xfId="0" applyFont="1" applyFill="1" applyBorder="1" applyAlignment="1">
      <alignment vertical="top" indent="6"/>
    </xf>
    <xf numFmtId="0" fontId="37" fillId="10" borderId="90" xfId="0" applyFont="1" applyFill="1" applyBorder="1" applyAlignment="1">
      <alignment vertical="top" indent="8"/>
    </xf>
    <xf numFmtId="0" fontId="38" fillId="10" borderId="95" xfId="0" applyFont="1" applyFill="1" applyBorder="1" applyAlignment="1">
      <alignment vertical="top" indent="2"/>
    </xf>
    <xf numFmtId="0" fontId="37" fillId="10" borderId="90" xfId="0" applyFont="1" applyFill="1" applyBorder="1" applyAlignment="1">
      <alignment vertical="top" indent="6"/>
    </xf>
    <xf numFmtId="0" fontId="38" fillId="10" borderId="95" xfId="0" applyFont="1" applyFill="1" applyBorder="1" applyAlignment="1">
      <alignment vertical="top" indent="4"/>
    </xf>
    <xf numFmtId="0" fontId="32" fillId="10" borderId="90" xfId="0" applyFont="1" applyFill="1" applyBorder="1"/>
    <xf numFmtId="0" fontId="38" fillId="10" borderId="17" xfId="0" applyFont="1" applyFill="1" applyBorder="1" applyAlignment="1">
      <alignment vertical="top"/>
    </xf>
    <xf numFmtId="0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right"/>
    </xf>
    <xf numFmtId="9" fontId="29" fillId="0" borderId="0" xfId="0" applyNumberFormat="1" applyFont="1" applyFill="1" applyBorder="1" applyAlignment="1">
      <alignment horizontal="right"/>
    </xf>
    <xf numFmtId="3" fontId="29" fillId="0" borderId="0" xfId="0" applyNumberFormat="1" applyFont="1" applyFill="1" applyBorder="1"/>
    <xf numFmtId="164" fontId="31" fillId="2" borderId="104" xfId="53" applyNumberFormat="1" applyFont="1" applyFill="1" applyBorder="1" applyAlignment="1">
      <alignment horizontal="left"/>
    </xf>
    <xf numFmtId="164" fontId="31" fillId="2" borderId="105" xfId="53" applyNumberFormat="1" applyFont="1" applyFill="1" applyBorder="1" applyAlignment="1">
      <alignment horizontal="left"/>
    </xf>
    <xf numFmtId="164" fontId="31" fillId="2" borderId="47" xfId="53" applyNumberFormat="1" applyFont="1" applyFill="1" applyBorder="1" applyAlignment="1">
      <alignment horizontal="left"/>
    </xf>
    <xf numFmtId="3" fontId="31" fillId="2" borderId="47" xfId="53" applyNumberFormat="1" applyFont="1" applyFill="1" applyBorder="1" applyAlignment="1">
      <alignment horizontal="left"/>
    </xf>
    <xf numFmtId="3" fontId="31" fillId="2" borderId="51" xfId="53" applyNumberFormat="1" applyFont="1" applyFill="1" applyBorder="1" applyAlignment="1">
      <alignment horizontal="left"/>
    </xf>
    <xf numFmtId="0" fontId="32" fillId="0" borderId="57" xfId="0" applyFont="1" applyFill="1" applyBorder="1"/>
    <xf numFmtId="0" fontId="32" fillId="0" borderId="58" xfId="0" applyFont="1" applyFill="1" applyBorder="1"/>
    <xf numFmtId="164" fontId="32" fillId="0" borderId="58" xfId="0" applyNumberFormat="1" applyFont="1" applyFill="1" applyBorder="1"/>
    <xf numFmtId="164" fontId="32" fillId="0" borderId="58" xfId="0" applyNumberFormat="1" applyFont="1" applyFill="1" applyBorder="1" applyAlignment="1">
      <alignment horizontal="right"/>
    </xf>
    <xf numFmtId="3" fontId="32" fillId="0" borderId="58" xfId="0" applyNumberFormat="1" applyFont="1" applyFill="1" applyBorder="1"/>
    <xf numFmtId="3" fontId="32" fillId="0" borderId="59" xfId="0" applyNumberFormat="1" applyFont="1" applyFill="1" applyBorder="1"/>
    <xf numFmtId="0" fontId="32" fillId="0" borderId="60" xfId="0" applyFont="1" applyFill="1" applyBorder="1"/>
    <xf numFmtId="0" fontId="32" fillId="0" borderId="61" xfId="0" applyFont="1" applyFill="1" applyBorder="1"/>
    <xf numFmtId="164" fontId="32" fillId="0" borderId="61" xfId="0" applyNumberFormat="1" applyFont="1" applyFill="1" applyBorder="1"/>
    <xf numFmtId="164" fontId="32" fillId="0" borderId="61" xfId="0" applyNumberFormat="1" applyFont="1" applyFill="1" applyBorder="1" applyAlignment="1">
      <alignment horizontal="right"/>
    </xf>
    <xf numFmtId="3" fontId="32" fillId="0" borderId="61" xfId="0" applyNumberFormat="1" applyFont="1" applyFill="1" applyBorder="1"/>
    <xf numFmtId="3" fontId="32" fillId="0" borderId="62" xfId="0" applyNumberFormat="1" applyFont="1" applyFill="1" applyBorder="1"/>
    <xf numFmtId="0" fontId="3" fillId="2" borderId="104" xfId="79" applyFont="1" applyFill="1" applyBorder="1" applyAlignment="1">
      <alignment horizontal="left"/>
    </xf>
    <xf numFmtId="3" fontId="3" fillId="2" borderId="74" xfId="80" applyNumberFormat="1" applyFont="1" applyFill="1" applyBorder="1"/>
    <xf numFmtId="3" fontId="3" fillId="2" borderId="75" xfId="80" applyNumberFormat="1" applyFont="1" applyFill="1" applyBorder="1"/>
    <xf numFmtId="9" fontId="3" fillId="2" borderId="73" xfId="80" applyNumberFormat="1" applyFont="1" applyFill="1" applyBorder="1"/>
    <xf numFmtId="9" fontId="3" fillId="2" borderId="74" xfId="80" applyNumberFormat="1" applyFont="1" applyFill="1" applyBorder="1"/>
    <xf numFmtId="9" fontId="3" fillId="2" borderId="75" xfId="80" applyNumberFormat="1" applyFont="1" applyFill="1" applyBorder="1"/>
    <xf numFmtId="9" fontId="32" fillId="0" borderId="58" xfId="0" applyNumberFormat="1" applyFont="1" applyFill="1" applyBorder="1"/>
    <xf numFmtId="9" fontId="32" fillId="0" borderId="59" xfId="0" applyNumberFormat="1" applyFont="1" applyFill="1" applyBorder="1"/>
    <xf numFmtId="9" fontId="32" fillId="0" borderId="61" xfId="0" applyNumberFormat="1" applyFont="1" applyFill="1" applyBorder="1"/>
    <xf numFmtId="9" fontId="32" fillId="0" borderId="62" xfId="0" applyNumberFormat="1" applyFont="1" applyFill="1" applyBorder="1"/>
    <xf numFmtId="0" fontId="39" fillId="0" borderId="84" xfId="0" applyFont="1" applyFill="1" applyBorder="1"/>
    <xf numFmtId="0" fontId="39" fillId="0" borderId="83" xfId="0" applyFont="1" applyFill="1" applyBorder="1" applyAlignment="1">
      <alignment horizontal="left" indent="1"/>
    </xf>
    <xf numFmtId="9" fontId="32" fillId="0" borderId="80" xfId="0" applyNumberFormat="1" applyFont="1" applyFill="1" applyBorder="1"/>
    <xf numFmtId="9" fontId="32" fillId="0" borderId="78" xfId="0" applyNumberFormat="1" applyFont="1" applyFill="1" applyBorder="1"/>
    <xf numFmtId="3" fontId="32" fillId="0" borderId="57" xfId="0" applyNumberFormat="1" applyFont="1" applyFill="1" applyBorder="1"/>
    <xf numFmtId="3" fontId="32" fillId="0" borderId="60" xfId="0" applyNumberFormat="1" applyFont="1" applyFill="1" applyBorder="1"/>
    <xf numFmtId="9" fontId="32" fillId="0" borderId="106" xfId="0" applyNumberFormat="1" applyFont="1" applyFill="1" applyBorder="1"/>
    <xf numFmtId="9" fontId="32" fillId="0" borderId="107" xfId="0" applyNumberFormat="1" applyFont="1" applyFill="1" applyBorder="1"/>
    <xf numFmtId="0" fontId="32" fillId="0" borderId="67" xfId="0" applyFont="1" applyFill="1" applyBorder="1"/>
    <xf numFmtId="0" fontId="32" fillId="0" borderId="68" xfId="0" applyFont="1" applyFill="1" applyBorder="1"/>
    <xf numFmtId="164" fontId="32" fillId="0" borderId="68" xfId="0" applyNumberFormat="1" applyFont="1" applyFill="1" applyBorder="1"/>
    <xf numFmtId="164" fontId="32" fillId="0" borderId="68" xfId="0" applyNumberFormat="1" applyFont="1" applyFill="1" applyBorder="1" applyAlignment="1">
      <alignment horizontal="right"/>
    </xf>
    <xf numFmtId="3" fontId="32" fillId="0" borderId="68" xfId="0" applyNumberFormat="1" applyFont="1" applyFill="1" applyBorder="1"/>
    <xf numFmtId="3" fontId="32" fillId="0" borderId="69" xfId="0" applyNumberFormat="1" applyFont="1" applyFill="1" applyBorder="1"/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58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17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95" bestFit="1" customWidth="1"/>
    <col min="2" max="2" width="102.21875" style="95" bestFit="1" customWidth="1"/>
    <col min="3" max="3" width="16.109375" style="42" hidden="1" customWidth="1"/>
    <col min="4" max="16384" width="8.88671875" style="95"/>
  </cols>
  <sheetData>
    <row r="1" spans="1:3" ht="18.600000000000001" customHeight="1" thickBot="1" x14ac:dyDescent="0.4">
      <c r="A1" s="282" t="s">
        <v>63</v>
      </c>
      <c r="B1" s="282"/>
    </row>
    <row r="2" spans="1:3" ht="14.4" customHeight="1" thickBot="1" x14ac:dyDescent="0.35">
      <c r="A2" s="173" t="s">
        <v>178</v>
      </c>
      <c r="B2" s="41"/>
    </row>
    <row r="3" spans="1:3" ht="14.4" customHeight="1" thickBot="1" x14ac:dyDescent="0.35">
      <c r="A3" s="278" t="s">
        <v>79</v>
      </c>
      <c r="B3" s="279"/>
    </row>
    <row r="4" spans="1:3" ht="14.4" customHeight="1" x14ac:dyDescent="0.3">
      <c r="A4" s="108" t="str">
        <f t="shared" ref="A4:A7" si="0">HYPERLINK("#'"&amp;C4&amp;"'!A1",C4)</f>
        <v>Motivace</v>
      </c>
      <c r="B4" s="61" t="s">
        <v>73</v>
      </c>
      <c r="C4" s="42" t="s">
        <v>74</v>
      </c>
    </row>
    <row r="5" spans="1:3" ht="14.4" customHeight="1" x14ac:dyDescent="0.3">
      <c r="A5" s="109" t="str">
        <f t="shared" si="0"/>
        <v>HI</v>
      </c>
      <c r="B5" s="62" t="s">
        <v>76</v>
      </c>
      <c r="C5" s="42" t="s">
        <v>66</v>
      </c>
    </row>
    <row r="6" spans="1:3" ht="14.4" customHeight="1" x14ac:dyDescent="0.3">
      <c r="A6" s="110" t="str">
        <f t="shared" si="0"/>
        <v>Man Tab</v>
      </c>
      <c r="B6" s="63" t="s">
        <v>180</v>
      </c>
      <c r="C6" s="42" t="s">
        <v>67</v>
      </c>
    </row>
    <row r="7" spans="1:3" ht="14.4" customHeight="1" thickBot="1" x14ac:dyDescent="0.35">
      <c r="A7" s="111" t="str">
        <f t="shared" si="0"/>
        <v>HV</v>
      </c>
      <c r="B7" s="64" t="s">
        <v>45</v>
      </c>
      <c r="C7" s="42" t="s">
        <v>50</v>
      </c>
    </row>
    <row r="8" spans="1:3" ht="14.4" customHeight="1" thickBot="1" x14ac:dyDescent="0.35">
      <c r="A8" s="65"/>
      <c r="B8" s="65"/>
    </row>
    <row r="9" spans="1:3" ht="14.4" customHeight="1" thickBot="1" x14ac:dyDescent="0.35">
      <c r="A9" s="280" t="s">
        <v>64</v>
      </c>
      <c r="B9" s="279"/>
    </row>
    <row r="10" spans="1:3" ht="14.4" customHeight="1" x14ac:dyDescent="0.3">
      <c r="A10" s="112" t="str">
        <f t="shared" ref="A10" si="1">HYPERLINK("#'"&amp;C10&amp;"'!A1",C10)</f>
        <v>Léky Žádanky</v>
      </c>
      <c r="B10" s="62" t="s">
        <v>77</v>
      </c>
      <c r="C10" s="42" t="s">
        <v>68</v>
      </c>
    </row>
    <row r="11" spans="1:3" ht="14.4" customHeight="1" x14ac:dyDescent="0.3">
      <c r="A11" s="110" t="str">
        <f t="shared" ref="A11:A15" si="2">HYPERLINK("#'"&amp;C11&amp;"'!A1",C11)</f>
        <v>LŽ Detail</v>
      </c>
      <c r="B11" s="63" t="s">
        <v>93</v>
      </c>
      <c r="C11" s="42" t="s">
        <v>69</v>
      </c>
    </row>
    <row r="12" spans="1:3" ht="14.4" customHeight="1" x14ac:dyDescent="0.3">
      <c r="A12" s="110" t="str">
        <f t="shared" si="2"/>
        <v>LŽ Statim</v>
      </c>
      <c r="B12" s="243" t="s">
        <v>134</v>
      </c>
      <c r="C12" s="42" t="s">
        <v>144</v>
      </c>
    </row>
    <row r="13" spans="1:3" ht="14.4" customHeight="1" x14ac:dyDescent="0.3">
      <c r="A13" s="112" t="str">
        <f t="shared" ref="A13" si="3">HYPERLINK("#'"&amp;C13&amp;"'!A1",C13)</f>
        <v>Materiál Žádanky</v>
      </c>
      <c r="B13" s="63" t="s">
        <v>78</v>
      </c>
      <c r="C13" s="42" t="s">
        <v>70</v>
      </c>
    </row>
    <row r="14" spans="1:3" ht="14.4" customHeight="1" x14ac:dyDescent="0.3">
      <c r="A14" s="110" t="str">
        <f t="shared" si="2"/>
        <v>MŽ Detail</v>
      </c>
      <c r="B14" s="63" t="s">
        <v>332</v>
      </c>
      <c r="C14" s="42" t="s">
        <v>71</v>
      </c>
    </row>
    <row r="15" spans="1:3" ht="14.4" customHeight="1" thickBot="1" x14ac:dyDescent="0.35">
      <c r="A15" s="112" t="str">
        <f t="shared" si="2"/>
        <v>Osobní náklady</v>
      </c>
      <c r="B15" s="63" t="s">
        <v>61</v>
      </c>
      <c r="C15" s="42" t="s">
        <v>72</v>
      </c>
    </row>
    <row r="16" spans="1:3" ht="14.4" customHeight="1" thickBot="1" x14ac:dyDescent="0.35">
      <c r="A16" s="66"/>
      <c r="B16" s="66"/>
    </row>
    <row r="17" spans="1:2" ht="14.4" customHeight="1" thickBot="1" x14ac:dyDescent="0.35">
      <c r="A17" s="281" t="s">
        <v>65</v>
      </c>
      <c r="B17" s="279"/>
    </row>
  </sheetData>
  <mergeCells count="4">
    <mergeCell ref="A3:B3"/>
    <mergeCell ref="A9:B9"/>
    <mergeCell ref="A17:B17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14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95" hidden="1" customWidth="1" outlineLevel="1"/>
    <col min="2" max="2" width="28.33203125" style="95" hidden="1" customWidth="1" outlineLevel="1"/>
    <col min="3" max="3" width="5.33203125" style="163" bestFit="1" customWidth="1" collapsed="1"/>
    <col min="4" max="4" width="18.77734375" style="167" customWidth="1"/>
    <col min="5" max="5" width="9" style="163" bestFit="1" customWidth="1"/>
    <col min="6" max="6" width="18.77734375" style="167" customWidth="1"/>
    <col min="7" max="7" width="12.44140625" style="163" hidden="1" customWidth="1" outlineLevel="1"/>
    <col min="8" max="8" width="25.77734375" style="163" customWidth="1" collapsed="1"/>
    <col min="9" max="9" width="7.77734375" style="161" customWidth="1"/>
    <col min="10" max="10" width="10" style="161" customWidth="1"/>
    <col min="11" max="11" width="11.109375" style="161" customWidth="1"/>
    <col min="12" max="16384" width="8.88671875" style="95"/>
  </cols>
  <sheetData>
    <row r="1" spans="1:11" ht="18.600000000000001" customHeight="1" thickBot="1" x14ac:dyDescent="0.4">
      <c r="A1" s="319" t="s">
        <v>332</v>
      </c>
      <c r="B1" s="283"/>
      <c r="C1" s="283"/>
      <c r="D1" s="283"/>
      <c r="E1" s="283"/>
      <c r="F1" s="283"/>
      <c r="G1" s="283"/>
      <c r="H1" s="283"/>
      <c r="I1" s="283"/>
      <c r="J1" s="283"/>
      <c r="K1" s="283"/>
    </row>
    <row r="2" spans="1:11" ht="14.4" customHeight="1" thickBot="1" x14ac:dyDescent="0.35">
      <c r="A2" s="173" t="s">
        <v>178</v>
      </c>
      <c r="B2" s="57"/>
      <c r="C2" s="165"/>
      <c r="D2" s="165"/>
      <c r="E2" s="165"/>
      <c r="F2" s="165"/>
      <c r="G2" s="165"/>
      <c r="H2" s="165"/>
      <c r="I2" s="166"/>
      <c r="J2" s="166"/>
      <c r="K2" s="166"/>
    </row>
    <row r="3" spans="1:11" ht="14.4" customHeight="1" thickBot="1" x14ac:dyDescent="0.35">
      <c r="A3" s="57"/>
      <c r="B3" s="57"/>
      <c r="C3" s="315"/>
      <c r="D3" s="316"/>
      <c r="E3" s="316"/>
      <c r="F3" s="316"/>
      <c r="G3" s="316"/>
      <c r="H3" s="107" t="s">
        <v>75</v>
      </c>
      <c r="I3" s="71">
        <f>IF(J3&lt;&gt;0,K3/J3,0)</f>
        <v>6.6861117256637179</v>
      </c>
      <c r="J3" s="71">
        <f>SUBTOTAL(9,J5:J1048576)</f>
        <v>3616</v>
      </c>
      <c r="K3" s="72">
        <f>SUBTOTAL(9,K5:K1048576)</f>
        <v>24176.980000000003</v>
      </c>
    </row>
    <row r="4" spans="1:11" s="162" customFormat="1" ht="14.4" customHeight="1" thickBot="1" x14ac:dyDescent="0.35">
      <c r="A4" s="363" t="s">
        <v>3</v>
      </c>
      <c r="B4" s="364" t="s">
        <v>4</v>
      </c>
      <c r="C4" s="364" t="s">
        <v>0</v>
      </c>
      <c r="D4" s="364" t="s">
        <v>5</v>
      </c>
      <c r="E4" s="364" t="s">
        <v>6</v>
      </c>
      <c r="F4" s="364" t="s">
        <v>1</v>
      </c>
      <c r="G4" s="364" t="s">
        <v>54</v>
      </c>
      <c r="H4" s="365" t="s">
        <v>10</v>
      </c>
      <c r="I4" s="366" t="s">
        <v>81</v>
      </c>
      <c r="J4" s="366" t="s">
        <v>12</v>
      </c>
      <c r="K4" s="367" t="s">
        <v>89</v>
      </c>
    </row>
    <row r="5" spans="1:11" ht="14.4" customHeight="1" x14ac:dyDescent="0.3">
      <c r="A5" s="368" t="s">
        <v>287</v>
      </c>
      <c r="B5" s="369" t="s">
        <v>302</v>
      </c>
      <c r="C5" s="370" t="s">
        <v>292</v>
      </c>
      <c r="D5" s="371" t="s">
        <v>288</v>
      </c>
      <c r="E5" s="370" t="s">
        <v>326</v>
      </c>
      <c r="F5" s="371" t="s">
        <v>327</v>
      </c>
      <c r="G5" s="370" t="s">
        <v>306</v>
      </c>
      <c r="H5" s="370" t="s">
        <v>307</v>
      </c>
      <c r="I5" s="372">
        <v>1.21</v>
      </c>
      <c r="J5" s="372">
        <v>2000</v>
      </c>
      <c r="K5" s="373">
        <v>2420</v>
      </c>
    </row>
    <row r="6" spans="1:11" ht="14.4" customHeight="1" x14ac:dyDescent="0.3">
      <c r="A6" s="398" t="s">
        <v>287</v>
      </c>
      <c r="B6" s="399" t="s">
        <v>302</v>
      </c>
      <c r="C6" s="400" t="s">
        <v>292</v>
      </c>
      <c r="D6" s="401" t="s">
        <v>288</v>
      </c>
      <c r="E6" s="400" t="s">
        <v>328</v>
      </c>
      <c r="F6" s="401" t="s">
        <v>329</v>
      </c>
      <c r="G6" s="400" t="s">
        <v>308</v>
      </c>
      <c r="H6" s="400" t="s">
        <v>309</v>
      </c>
      <c r="I6" s="402">
        <v>0.69</v>
      </c>
      <c r="J6" s="402">
        <v>400</v>
      </c>
      <c r="K6" s="403">
        <v>276</v>
      </c>
    </row>
    <row r="7" spans="1:11" ht="14.4" customHeight="1" x14ac:dyDescent="0.3">
      <c r="A7" s="398" t="s">
        <v>287</v>
      </c>
      <c r="B7" s="399" t="s">
        <v>302</v>
      </c>
      <c r="C7" s="400" t="s">
        <v>292</v>
      </c>
      <c r="D7" s="401" t="s">
        <v>288</v>
      </c>
      <c r="E7" s="400" t="s">
        <v>330</v>
      </c>
      <c r="F7" s="401" t="s">
        <v>331</v>
      </c>
      <c r="G7" s="400" t="s">
        <v>310</v>
      </c>
      <c r="H7" s="400" t="s">
        <v>311</v>
      </c>
      <c r="I7" s="402">
        <v>12.307500000000001</v>
      </c>
      <c r="J7" s="402">
        <v>180</v>
      </c>
      <c r="K7" s="403">
        <v>2214.79</v>
      </c>
    </row>
    <row r="8" spans="1:11" ht="14.4" customHeight="1" x14ac:dyDescent="0.3">
      <c r="A8" s="398" t="s">
        <v>287</v>
      </c>
      <c r="B8" s="399" t="s">
        <v>302</v>
      </c>
      <c r="C8" s="400" t="s">
        <v>292</v>
      </c>
      <c r="D8" s="401" t="s">
        <v>288</v>
      </c>
      <c r="E8" s="400" t="s">
        <v>330</v>
      </c>
      <c r="F8" s="401" t="s">
        <v>331</v>
      </c>
      <c r="G8" s="400" t="s">
        <v>312</v>
      </c>
      <c r="H8" s="400" t="s">
        <v>313</v>
      </c>
      <c r="I8" s="402">
        <v>17.544999999999998</v>
      </c>
      <c r="J8" s="402">
        <v>120</v>
      </c>
      <c r="K8" s="403">
        <v>2105.6</v>
      </c>
    </row>
    <row r="9" spans="1:11" ht="14.4" customHeight="1" x14ac:dyDescent="0.3">
      <c r="A9" s="398" t="s">
        <v>287</v>
      </c>
      <c r="B9" s="399" t="s">
        <v>302</v>
      </c>
      <c r="C9" s="400" t="s">
        <v>292</v>
      </c>
      <c r="D9" s="401" t="s">
        <v>288</v>
      </c>
      <c r="E9" s="400" t="s">
        <v>330</v>
      </c>
      <c r="F9" s="401" t="s">
        <v>331</v>
      </c>
      <c r="G9" s="400" t="s">
        <v>314</v>
      </c>
      <c r="H9" s="400" t="s">
        <v>315</v>
      </c>
      <c r="I9" s="402">
        <v>18.149999999999999</v>
      </c>
      <c r="J9" s="402">
        <v>40</v>
      </c>
      <c r="K9" s="403">
        <v>726</v>
      </c>
    </row>
    <row r="10" spans="1:11" ht="14.4" customHeight="1" x14ac:dyDescent="0.3">
      <c r="A10" s="398" t="s">
        <v>287</v>
      </c>
      <c r="B10" s="399" t="s">
        <v>302</v>
      </c>
      <c r="C10" s="400" t="s">
        <v>292</v>
      </c>
      <c r="D10" s="401" t="s">
        <v>288</v>
      </c>
      <c r="E10" s="400" t="s">
        <v>330</v>
      </c>
      <c r="F10" s="401" t="s">
        <v>331</v>
      </c>
      <c r="G10" s="400" t="s">
        <v>316</v>
      </c>
      <c r="H10" s="400" t="s">
        <v>317</v>
      </c>
      <c r="I10" s="402">
        <v>15.81</v>
      </c>
      <c r="J10" s="402">
        <v>750</v>
      </c>
      <c r="K10" s="403">
        <v>11860.8</v>
      </c>
    </row>
    <row r="11" spans="1:11" ht="14.4" customHeight="1" x14ac:dyDescent="0.3">
      <c r="A11" s="398" t="s">
        <v>287</v>
      </c>
      <c r="B11" s="399" t="s">
        <v>302</v>
      </c>
      <c r="C11" s="400" t="s">
        <v>292</v>
      </c>
      <c r="D11" s="401" t="s">
        <v>288</v>
      </c>
      <c r="E11" s="400" t="s">
        <v>330</v>
      </c>
      <c r="F11" s="401" t="s">
        <v>331</v>
      </c>
      <c r="G11" s="400" t="s">
        <v>318</v>
      </c>
      <c r="H11" s="400" t="s">
        <v>319</v>
      </c>
      <c r="I11" s="402">
        <v>15.550000000000002</v>
      </c>
      <c r="J11" s="402">
        <v>120</v>
      </c>
      <c r="K11" s="403">
        <v>1865.8100000000002</v>
      </c>
    </row>
    <row r="12" spans="1:11" ht="14.4" customHeight="1" x14ac:dyDescent="0.3">
      <c r="A12" s="398" t="s">
        <v>287</v>
      </c>
      <c r="B12" s="399" t="s">
        <v>302</v>
      </c>
      <c r="C12" s="400" t="s">
        <v>292</v>
      </c>
      <c r="D12" s="401" t="s">
        <v>288</v>
      </c>
      <c r="E12" s="400" t="s">
        <v>330</v>
      </c>
      <c r="F12" s="401" t="s">
        <v>331</v>
      </c>
      <c r="G12" s="400" t="s">
        <v>320</v>
      </c>
      <c r="H12" s="400" t="s">
        <v>321</v>
      </c>
      <c r="I12" s="402">
        <v>151.25</v>
      </c>
      <c r="J12" s="402">
        <v>2</v>
      </c>
      <c r="K12" s="403">
        <v>302.5</v>
      </c>
    </row>
    <row r="13" spans="1:11" ht="14.4" customHeight="1" x14ac:dyDescent="0.3">
      <c r="A13" s="398" t="s">
        <v>287</v>
      </c>
      <c r="B13" s="399" t="s">
        <v>302</v>
      </c>
      <c r="C13" s="400" t="s">
        <v>292</v>
      </c>
      <c r="D13" s="401" t="s">
        <v>288</v>
      </c>
      <c r="E13" s="400" t="s">
        <v>330</v>
      </c>
      <c r="F13" s="401" t="s">
        <v>331</v>
      </c>
      <c r="G13" s="400" t="s">
        <v>322</v>
      </c>
      <c r="H13" s="400" t="s">
        <v>323</v>
      </c>
      <c r="I13" s="402">
        <v>482.79</v>
      </c>
      <c r="J13" s="402">
        <v>2</v>
      </c>
      <c r="K13" s="403">
        <v>965.58</v>
      </c>
    </row>
    <row r="14" spans="1:11" ht="14.4" customHeight="1" thickBot="1" x14ac:dyDescent="0.35">
      <c r="A14" s="374" t="s">
        <v>287</v>
      </c>
      <c r="B14" s="375" t="s">
        <v>302</v>
      </c>
      <c r="C14" s="376" t="s">
        <v>292</v>
      </c>
      <c r="D14" s="377" t="s">
        <v>288</v>
      </c>
      <c r="E14" s="376" t="s">
        <v>330</v>
      </c>
      <c r="F14" s="377" t="s">
        <v>331</v>
      </c>
      <c r="G14" s="376" t="s">
        <v>324</v>
      </c>
      <c r="H14" s="376" t="s">
        <v>325</v>
      </c>
      <c r="I14" s="378">
        <v>719.95</v>
      </c>
      <c r="J14" s="378">
        <v>2</v>
      </c>
      <c r="K14" s="379">
        <v>1439.9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AT37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B1"/>
    </sheetView>
  </sheetViews>
  <sheetFormatPr defaultRowHeight="14.4" outlineLevelRow="1" x14ac:dyDescent="0.3"/>
  <cols>
    <col min="1" max="1" width="37.21875" customWidth="1"/>
    <col min="2" max="45" width="13.109375" customWidth="1"/>
  </cols>
  <sheetData>
    <row r="1" spans="1:7" ht="18.600000000000001" thickBot="1" x14ac:dyDescent="0.4">
      <c r="A1" s="329" t="s">
        <v>61</v>
      </c>
      <c r="B1" s="329"/>
      <c r="C1" s="277"/>
      <c r="D1" s="277"/>
      <c r="E1" s="277"/>
      <c r="F1" s="277"/>
      <c r="G1" s="253"/>
    </row>
    <row r="2" spans="1:7" ht="15" thickBot="1" x14ac:dyDescent="0.35">
      <c r="A2" s="173" t="s">
        <v>178</v>
      </c>
      <c r="B2" s="174"/>
      <c r="C2" s="174"/>
      <c r="D2" s="174"/>
      <c r="E2" s="174"/>
      <c r="G2" s="253"/>
    </row>
    <row r="3" spans="1:7" x14ac:dyDescent="0.3">
      <c r="A3" s="192" t="s">
        <v>124</v>
      </c>
      <c r="B3" s="327" t="s">
        <v>108</v>
      </c>
      <c r="C3" s="195">
        <v>101</v>
      </c>
      <c r="D3" s="195">
        <v>409</v>
      </c>
      <c r="E3" s="175">
        <v>528</v>
      </c>
      <c r="F3" s="176">
        <v>746</v>
      </c>
      <c r="G3" s="253"/>
    </row>
    <row r="4" spans="1:7" ht="36.6" outlineLevel="1" thickBot="1" x14ac:dyDescent="0.35">
      <c r="A4" s="193">
        <v>2017</v>
      </c>
      <c r="B4" s="328"/>
      <c r="C4" s="196" t="s">
        <v>146</v>
      </c>
      <c r="D4" s="196" t="s">
        <v>130</v>
      </c>
      <c r="E4" s="177" t="s">
        <v>132</v>
      </c>
      <c r="F4" s="178" t="s">
        <v>131</v>
      </c>
      <c r="G4" s="253"/>
    </row>
    <row r="5" spans="1:7" x14ac:dyDescent="0.3">
      <c r="A5" s="179" t="s">
        <v>109</v>
      </c>
      <c r="B5" s="212"/>
      <c r="C5" s="213"/>
      <c r="D5" s="213"/>
      <c r="E5" s="213"/>
      <c r="F5" s="214"/>
      <c r="G5" s="253"/>
    </row>
    <row r="6" spans="1:7" ht="15" collapsed="1" thickBot="1" x14ac:dyDescent="0.35">
      <c r="A6" s="180" t="s">
        <v>55</v>
      </c>
      <c r="B6" s="215">
        <f xml:space="preserve">
TRUNC(IF($A$4&lt;=12,SUMIFS('ON Data'!F:F,'ON Data'!$D:$D,$A$4,'ON Data'!$E:$E,1),SUMIFS('ON Data'!F:F,'ON Data'!$E:$E,1)/'ON Data'!$D$3),1)</f>
        <v>4</v>
      </c>
      <c r="C6" s="216">
        <f xml:space="preserve">
TRUNC(IF($A$4&lt;=12,SUMIFS('ON Data'!L:L,'ON Data'!$D:$D,$A$4,'ON Data'!$E:$E,1),SUMIFS('ON Data'!L:L,'ON Data'!$E:$E,1)/'ON Data'!$D$3),1)</f>
        <v>2</v>
      </c>
      <c r="D6" s="216">
        <f xml:space="preserve">
TRUNC(IF($A$4&lt;=12,SUMIFS('ON Data'!W:W,'ON Data'!$D:$D,$A$4,'ON Data'!$E:$E,1),SUMIFS('ON Data'!W:W,'ON Data'!$E:$E,1)/'ON Data'!$D$3),1)</f>
        <v>1</v>
      </c>
      <c r="E6" s="216">
        <f xml:space="preserve">
TRUNC(IF($A$4&lt;=12,SUMIFS('ON Data'!AN:AN,'ON Data'!$D:$D,$A$4,'ON Data'!$E:$E,1),SUMIFS('ON Data'!AN:AN,'ON Data'!$E:$E,1)/'ON Data'!$D$3),1)</f>
        <v>1</v>
      </c>
      <c r="F6" s="217">
        <f xml:space="preserve">
TRUNC(IF($A$4&lt;=12,SUMIFS('ON Data'!AW:AW,'ON Data'!$D:$D,$A$4,'ON Data'!$E:$E,1),SUMIFS('ON Data'!AW:AW,'ON Data'!$E:$E,1)/'ON Data'!$D$3),1)</f>
        <v>0</v>
      </c>
      <c r="G6" s="253"/>
    </row>
    <row r="7" spans="1:7" ht="15" hidden="1" outlineLevel="1" thickBot="1" x14ac:dyDescent="0.35">
      <c r="A7" s="180" t="s">
        <v>62</v>
      </c>
      <c r="B7" s="215"/>
      <c r="C7" s="216"/>
      <c r="D7" s="216"/>
      <c r="E7" s="216"/>
      <c r="F7" s="217"/>
      <c r="G7" s="253"/>
    </row>
    <row r="8" spans="1:7" ht="15" hidden="1" outlineLevel="1" thickBot="1" x14ac:dyDescent="0.35">
      <c r="A8" s="180" t="s">
        <v>57</v>
      </c>
      <c r="B8" s="215"/>
      <c r="C8" s="216"/>
      <c r="D8" s="216"/>
      <c r="E8" s="216"/>
      <c r="F8" s="217"/>
      <c r="G8" s="253"/>
    </row>
    <row r="9" spans="1:7" ht="15" hidden="1" outlineLevel="1" thickBot="1" x14ac:dyDescent="0.35">
      <c r="A9" s="181" t="s">
        <v>52</v>
      </c>
      <c r="B9" s="218"/>
      <c r="C9" s="219"/>
      <c r="D9" s="219"/>
      <c r="E9" s="219"/>
      <c r="F9" s="220"/>
      <c r="G9" s="253"/>
    </row>
    <row r="10" spans="1:7" x14ac:dyDescent="0.3">
      <c r="A10" s="182" t="s">
        <v>110</v>
      </c>
      <c r="B10" s="197"/>
      <c r="C10" s="198"/>
      <c r="D10" s="198"/>
      <c r="E10" s="198"/>
      <c r="F10" s="199"/>
      <c r="G10" s="253"/>
    </row>
    <row r="11" spans="1:7" x14ac:dyDescent="0.3">
      <c r="A11" s="183" t="s">
        <v>111</v>
      </c>
      <c r="B11" s="200">
        <f xml:space="preserve">
IF($A$4&lt;=12,SUMIFS('ON Data'!F:F,'ON Data'!$D:$D,$A$4,'ON Data'!$E:$E,2),SUMIFS('ON Data'!F:F,'ON Data'!$E:$E,2))</f>
        <v>2000</v>
      </c>
      <c r="C11" s="201">
        <f xml:space="preserve">
IF($A$4&lt;=12,SUMIFS('ON Data'!L:L,'ON Data'!$D:$D,$A$4,'ON Data'!$E:$E,2),SUMIFS('ON Data'!L:L,'ON Data'!$E:$E,2))</f>
        <v>1016</v>
      </c>
      <c r="D11" s="201">
        <f xml:space="preserve">
IF($A$4&lt;=12,SUMIFS('ON Data'!W:W,'ON Data'!$D:$D,$A$4,'ON Data'!$E:$E,2),SUMIFS('ON Data'!W:W,'ON Data'!$E:$E,2))</f>
        <v>512</v>
      </c>
      <c r="E11" s="201">
        <f xml:space="preserve">
IF($A$4&lt;=12,SUMIFS('ON Data'!AN:AN,'ON Data'!$D:$D,$A$4,'ON Data'!$E:$E,2),SUMIFS('ON Data'!AN:AN,'ON Data'!$E:$E,2))</f>
        <v>472</v>
      </c>
      <c r="F11" s="202">
        <f xml:space="preserve">
IF($A$4&lt;=12,SUMIFS('ON Data'!AW:AW,'ON Data'!$D:$D,$A$4,'ON Data'!$E:$E,2),SUMIFS('ON Data'!AW:AW,'ON Data'!$E:$E,2))</f>
        <v>0</v>
      </c>
      <c r="G11" s="253"/>
    </row>
    <row r="12" spans="1:7" x14ac:dyDescent="0.3">
      <c r="A12" s="183" t="s">
        <v>112</v>
      </c>
      <c r="B12" s="200">
        <f xml:space="preserve">
IF($A$4&lt;=12,SUMIFS('ON Data'!F:F,'ON Data'!$D:$D,$A$4,'ON Data'!$E:$E,3),SUMIFS('ON Data'!F:F,'ON Data'!$E:$E,3))</f>
        <v>0</v>
      </c>
      <c r="C12" s="201">
        <f xml:space="preserve">
IF($A$4&lt;=12,SUMIFS('ON Data'!L:L,'ON Data'!$D:$D,$A$4,'ON Data'!$E:$E,3),SUMIFS('ON Data'!L:L,'ON Data'!$E:$E,3))</f>
        <v>0</v>
      </c>
      <c r="D12" s="201">
        <f xml:space="preserve">
IF($A$4&lt;=12,SUMIFS('ON Data'!W:W,'ON Data'!$D:$D,$A$4,'ON Data'!$E:$E,3),SUMIFS('ON Data'!W:W,'ON Data'!$E:$E,3))</f>
        <v>0</v>
      </c>
      <c r="E12" s="201">
        <f xml:space="preserve">
IF($A$4&lt;=12,SUMIFS('ON Data'!AN:AN,'ON Data'!$D:$D,$A$4,'ON Data'!$E:$E,3),SUMIFS('ON Data'!AN:AN,'ON Data'!$E:$E,3))</f>
        <v>0</v>
      </c>
      <c r="F12" s="202">
        <f xml:space="preserve">
IF($A$4&lt;=12,SUMIFS('ON Data'!AW:AW,'ON Data'!$D:$D,$A$4,'ON Data'!$E:$E,3),SUMIFS('ON Data'!AW:AW,'ON Data'!$E:$E,3))</f>
        <v>0</v>
      </c>
      <c r="G12" s="253"/>
    </row>
    <row r="13" spans="1:7" x14ac:dyDescent="0.3">
      <c r="A13" s="183" t="s">
        <v>119</v>
      </c>
      <c r="B13" s="200">
        <f xml:space="preserve">
IF($A$4&lt;=12,SUMIFS('ON Data'!F:F,'ON Data'!$D:$D,$A$4,'ON Data'!$E:$E,4),SUMIFS('ON Data'!F:F,'ON Data'!$E:$E,4))</f>
        <v>0</v>
      </c>
      <c r="C13" s="201">
        <f xml:space="preserve">
IF($A$4&lt;=12,SUMIFS('ON Data'!L:L,'ON Data'!$D:$D,$A$4,'ON Data'!$E:$E,4),SUMIFS('ON Data'!L:L,'ON Data'!$E:$E,4))</f>
        <v>0</v>
      </c>
      <c r="D13" s="201">
        <f xml:space="preserve">
IF($A$4&lt;=12,SUMIFS('ON Data'!W:W,'ON Data'!$D:$D,$A$4,'ON Data'!$E:$E,4),SUMIFS('ON Data'!W:W,'ON Data'!$E:$E,4))</f>
        <v>0</v>
      </c>
      <c r="E13" s="201">
        <f xml:space="preserve">
IF($A$4&lt;=12,SUMIFS('ON Data'!AN:AN,'ON Data'!$D:$D,$A$4,'ON Data'!$E:$E,4),SUMIFS('ON Data'!AN:AN,'ON Data'!$E:$E,4))</f>
        <v>0</v>
      </c>
      <c r="F13" s="202">
        <f xml:space="preserve">
IF($A$4&lt;=12,SUMIFS('ON Data'!AW:AW,'ON Data'!$D:$D,$A$4,'ON Data'!$E:$E,4),SUMIFS('ON Data'!AW:AW,'ON Data'!$E:$E,4))</f>
        <v>0</v>
      </c>
      <c r="G13" s="253"/>
    </row>
    <row r="14" spans="1:7" ht="15" thickBot="1" x14ac:dyDescent="0.35">
      <c r="A14" s="184" t="s">
        <v>113</v>
      </c>
      <c r="B14" s="203">
        <f xml:space="preserve">
IF($A$4&lt;=12,SUMIFS('ON Data'!F:F,'ON Data'!$D:$D,$A$4,'ON Data'!$E:$E,5),SUMIFS('ON Data'!F:F,'ON Data'!$E:$E,5))</f>
        <v>60</v>
      </c>
      <c r="C14" s="204">
        <f xml:space="preserve">
IF($A$4&lt;=12,SUMIFS('ON Data'!L:L,'ON Data'!$D:$D,$A$4,'ON Data'!$E:$E,5),SUMIFS('ON Data'!L:L,'ON Data'!$E:$E,5))</f>
        <v>60</v>
      </c>
      <c r="D14" s="204">
        <f xml:space="preserve">
IF($A$4&lt;=12,SUMIFS('ON Data'!W:W,'ON Data'!$D:$D,$A$4,'ON Data'!$E:$E,5),SUMIFS('ON Data'!W:W,'ON Data'!$E:$E,5))</f>
        <v>0</v>
      </c>
      <c r="E14" s="204">
        <f xml:space="preserve">
IF($A$4&lt;=12,SUMIFS('ON Data'!AN:AN,'ON Data'!$D:$D,$A$4,'ON Data'!$E:$E,5),SUMIFS('ON Data'!AN:AN,'ON Data'!$E:$E,5))</f>
        <v>0</v>
      </c>
      <c r="F14" s="205">
        <f xml:space="preserve">
IF($A$4&lt;=12,SUMIFS('ON Data'!AW:AW,'ON Data'!$D:$D,$A$4,'ON Data'!$E:$E,5),SUMIFS('ON Data'!AW:AW,'ON Data'!$E:$E,5))</f>
        <v>0</v>
      </c>
      <c r="G14" s="253"/>
    </row>
    <row r="15" spans="1:7" x14ac:dyDescent="0.3">
      <c r="A15" s="125" t="s">
        <v>123</v>
      </c>
      <c r="B15" s="206"/>
      <c r="C15" s="207"/>
      <c r="D15" s="207"/>
      <c r="E15" s="207"/>
      <c r="F15" s="208"/>
      <c r="G15" s="253"/>
    </row>
    <row r="16" spans="1:7" x14ac:dyDescent="0.3">
      <c r="A16" s="185" t="s">
        <v>114</v>
      </c>
      <c r="B16" s="200">
        <f xml:space="preserve">
IF($A$4&lt;=12,SUMIFS('ON Data'!F:F,'ON Data'!$D:$D,$A$4,'ON Data'!$E:$E,7),SUMIFS('ON Data'!F:F,'ON Data'!$E:$E,7))</f>
        <v>0</v>
      </c>
      <c r="C16" s="201">
        <f xml:space="preserve">
IF($A$4&lt;=12,SUMIFS('ON Data'!L:L,'ON Data'!$D:$D,$A$4,'ON Data'!$E:$E,7),SUMIFS('ON Data'!L:L,'ON Data'!$E:$E,7))</f>
        <v>0</v>
      </c>
      <c r="D16" s="201">
        <f xml:space="preserve">
IF($A$4&lt;=12,SUMIFS('ON Data'!W:W,'ON Data'!$D:$D,$A$4,'ON Data'!$E:$E,7),SUMIFS('ON Data'!W:W,'ON Data'!$E:$E,7))</f>
        <v>0</v>
      </c>
      <c r="E16" s="201">
        <f xml:space="preserve">
IF($A$4&lt;=12,SUMIFS('ON Data'!AN:AN,'ON Data'!$D:$D,$A$4,'ON Data'!$E:$E,7),SUMIFS('ON Data'!AN:AN,'ON Data'!$E:$E,7))</f>
        <v>0</v>
      </c>
      <c r="F16" s="202">
        <f xml:space="preserve">
IF($A$4&lt;=12,SUMIFS('ON Data'!AW:AW,'ON Data'!$D:$D,$A$4,'ON Data'!$E:$E,7),SUMIFS('ON Data'!AW:AW,'ON Data'!$E:$E,7))</f>
        <v>0</v>
      </c>
      <c r="G16" s="253"/>
    </row>
    <row r="17" spans="1:46" x14ac:dyDescent="0.3">
      <c r="A17" s="185" t="s">
        <v>115</v>
      </c>
      <c r="B17" s="200">
        <f xml:space="preserve">
IF($A$4&lt;=12,SUMIFS('ON Data'!F:F,'ON Data'!$D:$D,$A$4,'ON Data'!$E:$E,8),SUMIFS('ON Data'!F:F,'ON Data'!$E:$E,8))</f>
        <v>0</v>
      </c>
      <c r="C17" s="201">
        <f xml:space="preserve">
IF($A$4&lt;=12,SUMIFS('ON Data'!L:L,'ON Data'!$D:$D,$A$4,'ON Data'!$E:$E,8),SUMIFS('ON Data'!L:L,'ON Data'!$E:$E,8))</f>
        <v>0</v>
      </c>
      <c r="D17" s="201">
        <f xml:space="preserve">
IF($A$4&lt;=12,SUMIFS('ON Data'!W:W,'ON Data'!$D:$D,$A$4,'ON Data'!$E:$E,8),SUMIFS('ON Data'!W:W,'ON Data'!$E:$E,8))</f>
        <v>0</v>
      </c>
      <c r="E17" s="201">
        <f xml:space="preserve">
IF($A$4&lt;=12,SUMIFS('ON Data'!AN:AN,'ON Data'!$D:$D,$A$4,'ON Data'!$E:$E,8),SUMIFS('ON Data'!AN:AN,'ON Data'!$E:$E,8))</f>
        <v>0</v>
      </c>
      <c r="F17" s="202">
        <f xml:space="preserve">
IF($A$4&lt;=12,SUMIFS('ON Data'!AW:AW,'ON Data'!$D:$D,$A$4,'ON Data'!$E:$E,8),SUMIFS('ON Data'!AW:AW,'ON Data'!$E:$E,8))</f>
        <v>0</v>
      </c>
      <c r="G17" s="253"/>
    </row>
    <row r="18" spans="1:46" x14ac:dyDescent="0.3">
      <c r="A18" s="185" t="s">
        <v>116</v>
      </c>
      <c r="B18" s="200">
        <f xml:space="preserve">
B19-B16-B17</f>
        <v>10000</v>
      </c>
      <c r="C18" s="201">
        <f t="shared" ref="C18" si="0" xml:space="preserve">
C19-C16-C17</f>
        <v>10000</v>
      </c>
      <c r="D18" s="201">
        <f t="shared" ref="D18:E18" si="1" xml:space="preserve">
D19-D16-D17</f>
        <v>0</v>
      </c>
      <c r="E18" s="201">
        <f t="shared" si="1"/>
        <v>0</v>
      </c>
      <c r="F18" s="202">
        <f t="shared" ref="F18" si="2" xml:space="preserve">
F19-F16-F17</f>
        <v>0</v>
      </c>
      <c r="G18" s="253"/>
    </row>
    <row r="19" spans="1:46" ht="15" thickBot="1" x14ac:dyDescent="0.35">
      <c r="A19" s="186" t="s">
        <v>117</v>
      </c>
      <c r="B19" s="209">
        <f xml:space="preserve">
IF($A$4&lt;=12,SUMIFS('ON Data'!F:F,'ON Data'!$D:$D,$A$4,'ON Data'!$E:$E,9),SUMIFS('ON Data'!F:F,'ON Data'!$E:$E,9))</f>
        <v>10000</v>
      </c>
      <c r="C19" s="210">
        <f xml:space="preserve">
IF($A$4&lt;=12,SUMIFS('ON Data'!L:L,'ON Data'!$D:$D,$A$4,'ON Data'!$E:$E,9),SUMIFS('ON Data'!L:L,'ON Data'!$E:$E,9))</f>
        <v>10000</v>
      </c>
      <c r="D19" s="210">
        <f xml:space="preserve">
IF($A$4&lt;=12,SUMIFS('ON Data'!W:W,'ON Data'!$D:$D,$A$4,'ON Data'!$E:$E,9),SUMIFS('ON Data'!W:W,'ON Data'!$E:$E,9))</f>
        <v>0</v>
      </c>
      <c r="E19" s="210">
        <f xml:space="preserve">
IF($A$4&lt;=12,SUMIFS('ON Data'!AN:AN,'ON Data'!$D:$D,$A$4,'ON Data'!$E:$E,9),SUMIFS('ON Data'!AN:AN,'ON Data'!$E:$E,9))</f>
        <v>0</v>
      </c>
      <c r="F19" s="211">
        <f xml:space="preserve">
IF($A$4&lt;=12,SUMIFS('ON Data'!AW:AW,'ON Data'!$D:$D,$A$4,'ON Data'!$E:$E,9),SUMIFS('ON Data'!AW:AW,'ON Data'!$E:$E,9))</f>
        <v>0</v>
      </c>
      <c r="G19" s="253"/>
    </row>
    <row r="20" spans="1:46" ht="15" collapsed="1" thickBot="1" x14ac:dyDescent="0.35">
      <c r="A20" s="187" t="s">
        <v>55</v>
      </c>
      <c r="B20" s="273">
        <f xml:space="preserve">
IF($A$4&lt;=12,SUMIFS('ON Data'!F:F,'ON Data'!$D:$D,$A$4,'ON Data'!$E:$E,6),SUMIFS('ON Data'!F:F,'ON Data'!$E:$E,6))</f>
        <v>568929</v>
      </c>
      <c r="C20" s="258">
        <f xml:space="preserve">
IF($A$4&lt;=12,SUMIFS('ON Data'!L:L,'ON Data'!$D:$D,$A$4,'ON Data'!$E:$E,6),SUMIFS('ON Data'!L:L,'ON Data'!$E:$E,6))</f>
        <v>389541</v>
      </c>
      <c r="D20" s="258">
        <f xml:space="preserve">
IF($A$4&lt;=12,SUMIFS('ON Data'!W:W,'ON Data'!$D:$D,$A$4,'ON Data'!$E:$E,6),SUMIFS('ON Data'!W:W,'ON Data'!$E:$E,6))</f>
        <v>87189</v>
      </c>
      <c r="E20" s="258">
        <f xml:space="preserve">
IF($A$4&lt;=12,SUMIFS('ON Data'!AN:AN,'ON Data'!$D:$D,$A$4,'ON Data'!$E:$E,6),SUMIFS('ON Data'!AN:AN,'ON Data'!$E:$E,6))</f>
        <v>90399</v>
      </c>
      <c r="F20" s="259">
        <f xml:space="preserve">
IF($A$4&lt;=12,SUMIFS('ON Data'!AW:AW,'ON Data'!$D:$D,$A$4,'ON Data'!$E:$E,6),SUMIFS('ON Data'!AW:AW,'ON Data'!$E:$E,6))</f>
        <v>1800</v>
      </c>
      <c r="G20" s="253"/>
    </row>
    <row r="21" spans="1:46" ht="15" hidden="1" outlineLevel="1" thickBot="1" x14ac:dyDescent="0.35">
      <c r="A21" s="180" t="s">
        <v>62</v>
      </c>
      <c r="B21" s="274">
        <f xml:space="preserve">
IF($A$4&lt;=12,SUMIFS('ON Data'!F:F,'ON Data'!$D:$D,$A$4,'ON Data'!$E:$E,12),SUMIFS('ON Data'!F:F,'ON Data'!$E:$E,12))</f>
        <v>0</v>
      </c>
      <c r="C21" s="256">
        <f xml:space="preserve">
IF($A$4&lt;=12,SUMIFS('ON Data'!L:L,'ON Data'!$D:$D,$A$4,'ON Data'!$E:$E,12),SUMIFS('ON Data'!L:L,'ON Data'!$E:$E,12))</f>
        <v>0</v>
      </c>
      <c r="D21" s="256">
        <f xml:space="preserve">
IF($A$4&lt;=12,SUMIFS('ON Data'!W:W,'ON Data'!$D:$D,$A$4,'ON Data'!$E:$E,12),SUMIFS('ON Data'!W:W,'ON Data'!$E:$E,12))</f>
        <v>0</v>
      </c>
      <c r="E21" s="256">
        <f xml:space="preserve">
IF($A$4&lt;=12,SUMIFS('ON Data'!AN:AN,'ON Data'!$D:$D,$A$4,'ON Data'!$E:$E,12),SUMIFS('ON Data'!AN:AN,'ON Data'!$E:$E,12))</f>
        <v>0</v>
      </c>
      <c r="F21" s="257"/>
      <c r="G21" s="253"/>
    </row>
    <row r="22" spans="1:46" ht="15" hidden="1" outlineLevel="1" thickBot="1" x14ac:dyDescent="0.35">
      <c r="A22" s="180" t="s">
        <v>57</v>
      </c>
      <c r="B22" s="275" t="str">
        <f xml:space="preserve">
IF(OR(B21="",B21=0),"",B20/B21)</f>
        <v/>
      </c>
      <c r="C22" s="248" t="str">
        <f t="shared" ref="C22" si="3" xml:space="preserve">
IF(OR(C21="",C21=0),"",C20/C21)</f>
        <v/>
      </c>
      <c r="D22" s="248" t="str">
        <f t="shared" ref="D22:E22" si="4" xml:space="preserve">
IF(OR(D21="",D21=0),"",D20/D21)</f>
        <v/>
      </c>
      <c r="E22" s="248" t="str">
        <f t="shared" si="4"/>
        <v/>
      </c>
      <c r="F22" s="249"/>
      <c r="G22" s="253"/>
    </row>
    <row r="23" spans="1:46" ht="15" hidden="1" outlineLevel="1" thickBot="1" x14ac:dyDescent="0.35">
      <c r="A23" s="188" t="s">
        <v>52</v>
      </c>
      <c r="B23" s="276">
        <f xml:space="preserve">
IF(B21="","",B20-B21)</f>
        <v>568929</v>
      </c>
      <c r="C23" s="204">
        <f t="shared" ref="C23" si="5" xml:space="preserve">
IF(C21="","",C20-C21)</f>
        <v>389541</v>
      </c>
      <c r="D23" s="204">
        <f t="shared" ref="D23:E23" si="6" xml:space="preserve">
IF(D21="","",D20-D21)</f>
        <v>87189</v>
      </c>
      <c r="E23" s="204">
        <f t="shared" si="6"/>
        <v>90399</v>
      </c>
      <c r="F23" s="205"/>
      <c r="G23" s="253"/>
    </row>
    <row r="24" spans="1:46" x14ac:dyDescent="0.3">
      <c r="A24" s="182" t="s">
        <v>118</v>
      </c>
      <c r="B24" s="225" t="s">
        <v>2</v>
      </c>
      <c r="C24" s="270" t="s">
        <v>175</v>
      </c>
      <c r="D24" s="271" t="s">
        <v>176</v>
      </c>
      <c r="E24" s="271" t="s">
        <v>177</v>
      </c>
      <c r="F24" s="272" t="s">
        <v>128</v>
      </c>
      <c r="AT24" s="253"/>
    </row>
    <row r="25" spans="1:46" x14ac:dyDescent="0.3">
      <c r="A25" s="183" t="s">
        <v>55</v>
      </c>
      <c r="B25" s="200">
        <f xml:space="preserve">
SUM(C25:F25)</f>
        <v>8500</v>
      </c>
      <c r="C25" s="261">
        <f xml:space="preserve">
IF($A$4&lt;=12,SUMIFS('ON Data'!$G:$G,'ON Data'!$D:$D,$A$4,'ON Data'!$E:$E,10),SUMIFS('ON Data'!$G:$G,'ON Data'!$E:$E,10))</f>
        <v>0</v>
      </c>
      <c r="D25" s="262">
        <f xml:space="preserve">
IF($A$4&lt;=12,SUMIFS('ON Data'!$J:$J,'ON Data'!$D:$D,$A$4,'ON Data'!$E:$E,10),SUMIFS('ON Data'!$J:$J,'ON Data'!$E:$E,10))</f>
        <v>8500</v>
      </c>
      <c r="E25" s="262">
        <f xml:space="preserve">
IF($A$4&lt;=12,SUMIFS('ON Data'!$H:$H,'ON Data'!$D:$D,$A$4,'ON Data'!$E:$E,10),SUMIFS('ON Data'!$H:$H,'ON Data'!$E:$E,10))</f>
        <v>0</v>
      </c>
      <c r="F25" s="263">
        <f xml:space="preserve">
IF($A$4&lt;=12,SUMIFS('ON Data'!$I:$I,'ON Data'!$D:$D,$A$4,'ON Data'!$E:$E,10),SUMIFS('ON Data'!$I:$I,'ON Data'!$E:$E,10))</f>
        <v>0</v>
      </c>
    </row>
    <row r="26" spans="1:46" x14ac:dyDescent="0.3">
      <c r="A26" s="189" t="s">
        <v>127</v>
      </c>
      <c r="B26" s="209">
        <f xml:space="preserve">
SUM(C26:F26)</f>
        <v>2058.4389024811248</v>
      </c>
      <c r="C26" s="261">
        <f xml:space="preserve">
IF($A$4&lt;=12,SUMIFS('ON Data'!$G:$G,'ON Data'!$D:$D,$A$4,'ON Data'!$E:$E,11),SUMIFS('ON Data'!$G:$G,'ON Data'!$E:$E,11))</f>
        <v>1433.4389024811248</v>
      </c>
      <c r="D26" s="262">
        <f xml:space="preserve">
IF($A$4&lt;=12,SUMIFS('ON Data'!$J:$J,'ON Data'!$D:$D,$A$4,'ON Data'!$E:$E,11),SUMIFS('ON Data'!$J:$J,'ON Data'!$E:$E,11))</f>
        <v>625</v>
      </c>
      <c r="E26" s="262">
        <f xml:space="preserve">
IF($A$4&lt;=12,SUMIFS('ON Data'!$H:$H,'ON Data'!$D:$D,$A$4,'ON Data'!$E:$E,11),SUMIFS('ON Data'!$H:$H,'ON Data'!$E:$E,11))</f>
        <v>0</v>
      </c>
      <c r="F26" s="263">
        <f xml:space="preserve">
IF($A$4&lt;=12,SUMIFS('ON Data'!$I:$I,'ON Data'!$D:$D,$A$4,'ON Data'!$E:$E,11),SUMIFS('ON Data'!$I:$I,'ON Data'!$E:$E,11))</f>
        <v>0</v>
      </c>
    </row>
    <row r="27" spans="1:46" x14ac:dyDescent="0.3">
      <c r="A27" s="189" t="s">
        <v>57</v>
      </c>
      <c r="B27" s="226">
        <f xml:space="preserve">
IF(B26=0,0,B25/B26)</f>
        <v>4.1293428674295773</v>
      </c>
      <c r="C27" s="264">
        <f xml:space="preserve">
IF(C26=0,0,C25/C26)</f>
        <v>0</v>
      </c>
      <c r="D27" s="265">
        <f t="shared" ref="D27:E27" si="7" xml:space="preserve">
IF(D26=0,0,D25/D26)</f>
        <v>13.6</v>
      </c>
      <c r="E27" s="265">
        <f t="shared" si="7"/>
        <v>0</v>
      </c>
      <c r="F27" s="266">
        <f xml:space="preserve">
IF(F26=0,0,F25/F26)</f>
        <v>0</v>
      </c>
    </row>
    <row r="28" spans="1:46" ht="15" thickBot="1" x14ac:dyDescent="0.35">
      <c r="A28" s="189" t="s">
        <v>126</v>
      </c>
      <c r="B28" s="209">
        <f xml:space="preserve">
SUM(C28:F28)</f>
        <v>-6441.5610975188756</v>
      </c>
      <c r="C28" s="267">
        <f xml:space="preserve">
C26-C25</f>
        <v>1433.4389024811248</v>
      </c>
      <c r="D28" s="268">
        <f t="shared" ref="D28:E28" si="8" xml:space="preserve">
D26-D25</f>
        <v>-7875</v>
      </c>
      <c r="E28" s="268">
        <f t="shared" si="8"/>
        <v>0</v>
      </c>
      <c r="F28" s="269">
        <f xml:space="preserve">
F26-F25</f>
        <v>0</v>
      </c>
      <c r="G28" s="253"/>
      <c r="H28" s="253"/>
      <c r="I28" s="253"/>
      <c r="J28" s="253"/>
      <c r="K28" s="253"/>
      <c r="L28" s="253"/>
      <c r="M28" s="253"/>
      <c r="N28" s="253"/>
      <c r="O28" s="253"/>
      <c r="P28" s="253"/>
      <c r="Q28" s="253"/>
      <c r="R28" s="253"/>
      <c r="S28" s="253"/>
      <c r="T28" s="253"/>
      <c r="U28" s="253"/>
      <c r="V28" s="253"/>
      <c r="W28" s="253"/>
      <c r="X28" s="253"/>
      <c r="Y28" s="253"/>
      <c r="Z28" s="253"/>
      <c r="AA28" s="253"/>
      <c r="AB28" s="253"/>
      <c r="AC28" s="253"/>
      <c r="AD28" s="253"/>
      <c r="AE28" s="253"/>
      <c r="AF28" s="253"/>
      <c r="AG28" s="253"/>
      <c r="AH28" s="253"/>
      <c r="AI28" s="253"/>
      <c r="AJ28" s="253"/>
      <c r="AK28" s="253"/>
      <c r="AL28" s="253"/>
      <c r="AM28" s="253"/>
      <c r="AN28" s="253"/>
      <c r="AO28" s="253"/>
      <c r="AP28" s="253"/>
      <c r="AQ28" s="253"/>
      <c r="AR28" s="253"/>
      <c r="AS28" s="253"/>
    </row>
    <row r="29" spans="1:46" x14ac:dyDescent="0.3">
      <c r="A29" s="190"/>
      <c r="B29" s="190"/>
      <c r="C29" s="191"/>
      <c r="D29" s="190"/>
      <c r="E29" s="190"/>
      <c r="F29" s="190"/>
      <c r="G29" s="260"/>
      <c r="H29" s="260"/>
      <c r="I29" s="260"/>
      <c r="J29" s="260"/>
      <c r="K29" s="260"/>
      <c r="L29" s="260"/>
      <c r="M29" s="260"/>
      <c r="N29" s="260"/>
      <c r="O29" s="260"/>
      <c r="P29" s="260"/>
      <c r="Q29" s="260"/>
      <c r="R29" s="260"/>
      <c r="S29" s="260"/>
      <c r="T29" s="260"/>
      <c r="U29" s="260"/>
      <c r="V29" s="260"/>
      <c r="W29" s="260"/>
      <c r="X29" s="260"/>
      <c r="Y29" s="260"/>
      <c r="Z29" s="260"/>
      <c r="AA29" s="260"/>
      <c r="AB29" s="260"/>
      <c r="AC29" s="260"/>
      <c r="AD29" s="260"/>
      <c r="AE29" s="260"/>
      <c r="AF29" s="260"/>
      <c r="AG29" s="260"/>
      <c r="AH29" s="260"/>
      <c r="AI29" s="117"/>
      <c r="AJ29" s="117"/>
      <c r="AK29" s="117"/>
      <c r="AL29" s="117"/>
      <c r="AM29" s="117"/>
    </row>
    <row r="30" spans="1:46" x14ac:dyDescent="0.3">
      <c r="A30" s="79" t="s">
        <v>90</v>
      </c>
      <c r="B30" s="95"/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5"/>
      <c r="P30" s="95"/>
      <c r="Q30" s="95"/>
      <c r="R30" s="95"/>
      <c r="S30" s="95"/>
      <c r="T30" s="95"/>
      <c r="U30" s="95"/>
      <c r="V30" s="95"/>
      <c r="W30" s="95"/>
      <c r="X30" s="95"/>
      <c r="Y30" s="95"/>
      <c r="Z30" s="95"/>
      <c r="AA30" s="95"/>
      <c r="AB30" s="95"/>
      <c r="AC30" s="95"/>
      <c r="AD30" s="95"/>
      <c r="AE30" s="95"/>
      <c r="AF30" s="95"/>
      <c r="AG30" s="95"/>
      <c r="AH30" s="95"/>
      <c r="AI30" s="95"/>
      <c r="AJ30" s="95"/>
      <c r="AK30" s="113"/>
      <c r="AL30" s="113"/>
      <c r="AM30" s="113"/>
    </row>
    <row r="31" spans="1:46" x14ac:dyDescent="0.3">
      <c r="A31" s="80" t="s">
        <v>125</v>
      </c>
      <c r="B31" s="95"/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5"/>
      <c r="P31" s="95"/>
      <c r="Q31" s="95"/>
      <c r="R31" s="95"/>
      <c r="S31" s="95"/>
      <c r="T31" s="95"/>
      <c r="U31" s="95"/>
      <c r="V31" s="95"/>
      <c r="W31" s="95"/>
      <c r="X31" s="95"/>
      <c r="Y31" s="95"/>
      <c r="Z31" s="95"/>
      <c r="AA31" s="95"/>
      <c r="AB31" s="95"/>
      <c r="AC31" s="95"/>
      <c r="AD31" s="95"/>
      <c r="AE31" s="95"/>
      <c r="AF31" s="95"/>
      <c r="AG31" s="95"/>
      <c r="AH31" s="95"/>
      <c r="AI31" s="95"/>
      <c r="AJ31" s="95"/>
      <c r="AK31" s="113"/>
      <c r="AL31" s="113"/>
      <c r="AM31" s="113"/>
    </row>
    <row r="32" spans="1:46" ht="14.4" customHeight="1" x14ac:dyDescent="0.3">
      <c r="A32" s="222" t="s">
        <v>122</v>
      </c>
      <c r="B32" s="223"/>
      <c r="C32" s="223"/>
      <c r="D32" s="223"/>
      <c r="E32" s="223"/>
      <c r="F32" s="223"/>
      <c r="G32" s="223"/>
      <c r="H32" s="223"/>
      <c r="I32" s="223"/>
      <c r="J32" s="223"/>
      <c r="K32" s="223"/>
      <c r="L32" s="223"/>
      <c r="M32" s="223"/>
      <c r="N32" s="223"/>
      <c r="O32" s="223"/>
      <c r="P32" s="223"/>
      <c r="Q32" s="223"/>
      <c r="R32" s="223"/>
      <c r="S32" s="223"/>
      <c r="T32" s="223"/>
      <c r="U32" s="223"/>
      <c r="V32" s="223"/>
      <c r="W32" s="223"/>
      <c r="X32" s="223"/>
      <c r="Y32" s="223"/>
      <c r="Z32" s="223"/>
      <c r="AA32" s="223"/>
      <c r="AB32" s="223"/>
      <c r="AC32" s="223"/>
      <c r="AD32" s="223"/>
      <c r="AE32" s="223"/>
      <c r="AF32" s="223"/>
      <c r="AG32" s="223"/>
      <c r="AH32" s="223"/>
      <c r="AI32" s="223"/>
      <c r="AJ32" s="223"/>
    </row>
    <row r="33" spans="1:1" x14ac:dyDescent="0.3">
      <c r="A33" s="224" t="s">
        <v>171</v>
      </c>
    </row>
    <row r="34" spans="1:1" x14ac:dyDescent="0.3">
      <c r="A34" s="224" t="s">
        <v>172</v>
      </c>
    </row>
    <row r="35" spans="1:1" x14ac:dyDescent="0.3">
      <c r="A35" s="224" t="s">
        <v>173</v>
      </c>
    </row>
    <row r="36" spans="1:1" x14ac:dyDescent="0.3">
      <c r="A36" s="224" t="s">
        <v>174</v>
      </c>
    </row>
    <row r="37" spans="1:1" x14ac:dyDescent="0.3">
      <c r="A37" s="224" t="s">
        <v>129</v>
      </c>
    </row>
  </sheetData>
  <mergeCells count="2">
    <mergeCell ref="B3:B4"/>
    <mergeCell ref="A1:B1"/>
  </mergeCells>
  <conditionalFormatting sqref="C27">
    <cfRule type="cellIs" dxfId="9" priority="17" operator="greaterThan">
      <formula>1</formula>
    </cfRule>
  </conditionalFormatting>
  <conditionalFormatting sqref="C28">
    <cfRule type="cellIs" dxfId="8" priority="16" operator="lessThan">
      <formula>0</formula>
    </cfRule>
  </conditionalFormatting>
  <conditionalFormatting sqref="B22:F22">
    <cfRule type="cellIs" dxfId="7" priority="15" operator="greaterThan">
      <formula>1</formula>
    </cfRule>
  </conditionalFormatting>
  <conditionalFormatting sqref="B23:F23">
    <cfRule type="cellIs" dxfId="6" priority="14" operator="greaterThan">
      <formula>0</formula>
    </cfRule>
  </conditionalFormatting>
  <conditionalFormatting sqref="F27">
    <cfRule type="cellIs" dxfId="5" priority="9" operator="greaterThan">
      <formula>1</formula>
    </cfRule>
  </conditionalFormatting>
  <conditionalFormatting sqref="F28">
    <cfRule type="cellIs" dxfId="4" priority="8" operator="lessThan">
      <formula>0</formula>
    </cfRule>
  </conditionalFormatting>
  <conditionalFormatting sqref="E28">
    <cfRule type="cellIs" dxfId="3" priority="1" operator="lessThan">
      <formula>0</formula>
    </cfRule>
  </conditionalFormatting>
  <conditionalFormatting sqref="D28">
    <cfRule type="cellIs" dxfId="2" priority="3" operator="lessThan">
      <formula>0</formula>
    </cfRule>
  </conditionalFormatting>
  <conditionalFormatting sqref="D27">
    <cfRule type="cellIs" dxfId="1" priority="4" operator="greaterThan">
      <formula>1</formula>
    </cfRule>
  </conditionalFormatting>
  <conditionalFormatting sqref="E27">
    <cfRule type="cellIs" dxfId="0" priority="2" operator="greaterThan">
      <formula>1</formula>
    </cfRule>
  </conditionalFormatting>
  <dataValidations disablePrompts="1" count="1">
    <dataValidation type="list" allowBlank="1" showInputMessage="1" showErrorMessage="1" sqref="A4">
      <formula1>Obdobi</formula1>
    </dataValidation>
  </dataValidations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W23"/>
  <sheetViews>
    <sheetView showGridLines="0" workbookViewId="0"/>
  </sheetViews>
  <sheetFormatPr defaultRowHeight="14.4" x14ac:dyDescent="0.3"/>
  <cols>
    <col min="1" max="16384" width="8.88671875" style="169"/>
  </cols>
  <sheetData>
    <row r="1" spans="1:49" x14ac:dyDescent="0.3">
      <c r="A1" s="169" t="s">
        <v>333</v>
      </c>
    </row>
    <row r="2" spans="1:49" x14ac:dyDescent="0.3">
      <c r="A2" s="173" t="s">
        <v>178</v>
      </c>
    </row>
    <row r="3" spans="1:49" x14ac:dyDescent="0.3">
      <c r="A3" s="169" t="s">
        <v>95</v>
      </c>
      <c r="B3" s="194">
        <v>2017</v>
      </c>
      <c r="D3" s="170">
        <f>MAX(D5:D1048576)</f>
        <v>3</v>
      </c>
      <c r="F3" s="170">
        <f>SUMIF($E5:$E1048576,"&lt;10",F5:F1048576)</f>
        <v>581001</v>
      </c>
      <c r="G3" s="170">
        <f t="shared" ref="G3:AW3" si="0">SUMIF($E5:$E1048576,"&lt;10",G5:G1048576)</f>
        <v>0</v>
      </c>
      <c r="H3" s="170">
        <f t="shared" si="0"/>
        <v>0</v>
      </c>
      <c r="I3" s="170">
        <f t="shared" si="0"/>
        <v>0</v>
      </c>
      <c r="J3" s="170">
        <f t="shared" si="0"/>
        <v>0</v>
      </c>
      <c r="K3" s="170">
        <f t="shared" si="0"/>
        <v>0</v>
      </c>
      <c r="L3" s="170">
        <f t="shared" si="0"/>
        <v>400623</v>
      </c>
      <c r="M3" s="170">
        <f t="shared" si="0"/>
        <v>0</v>
      </c>
      <c r="N3" s="170">
        <f t="shared" si="0"/>
        <v>0</v>
      </c>
      <c r="O3" s="170">
        <f t="shared" si="0"/>
        <v>0</v>
      </c>
      <c r="P3" s="170">
        <f t="shared" si="0"/>
        <v>0</v>
      </c>
      <c r="Q3" s="170">
        <f t="shared" si="0"/>
        <v>0</v>
      </c>
      <c r="R3" s="170">
        <f t="shared" si="0"/>
        <v>0</v>
      </c>
      <c r="S3" s="170">
        <f t="shared" si="0"/>
        <v>0</v>
      </c>
      <c r="T3" s="170">
        <f t="shared" si="0"/>
        <v>0</v>
      </c>
      <c r="U3" s="170">
        <f t="shared" si="0"/>
        <v>0</v>
      </c>
      <c r="V3" s="170">
        <f t="shared" si="0"/>
        <v>0</v>
      </c>
      <c r="W3" s="170">
        <f t="shared" si="0"/>
        <v>87704</v>
      </c>
      <c r="X3" s="170">
        <f t="shared" si="0"/>
        <v>0</v>
      </c>
      <c r="Y3" s="170">
        <f t="shared" si="0"/>
        <v>0</v>
      </c>
      <c r="Z3" s="170">
        <f t="shared" si="0"/>
        <v>0</v>
      </c>
      <c r="AA3" s="170">
        <f t="shared" si="0"/>
        <v>0</v>
      </c>
      <c r="AB3" s="170">
        <f t="shared" si="0"/>
        <v>0</v>
      </c>
      <c r="AC3" s="170">
        <f t="shared" si="0"/>
        <v>0</v>
      </c>
      <c r="AD3" s="170">
        <f t="shared" si="0"/>
        <v>0</v>
      </c>
      <c r="AE3" s="170">
        <f t="shared" si="0"/>
        <v>0</v>
      </c>
      <c r="AF3" s="170">
        <f t="shared" si="0"/>
        <v>0</v>
      </c>
      <c r="AG3" s="170">
        <f t="shared" si="0"/>
        <v>0</v>
      </c>
      <c r="AH3" s="170">
        <f t="shared" si="0"/>
        <v>0</v>
      </c>
      <c r="AI3" s="170">
        <f t="shared" si="0"/>
        <v>0</v>
      </c>
      <c r="AJ3" s="170">
        <f t="shared" si="0"/>
        <v>0</v>
      </c>
      <c r="AK3" s="170">
        <f t="shared" si="0"/>
        <v>0</v>
      </c>
      <c r="AL3" s="170">
        <f t="shared" si="0"/>
        <v>0</v>
      </c>
      <c r="AM3" s="170">
        <f t="shared" si="0"/>
        <v>0</v>
      </c>
      <c r="AN3" s="170">
        <f t="shared" si="0"/>
        <v>90874</v>
      </c>
      <c r="AO3" s="170">
        <f t="shared" si="0"/>
        <v>0</v>
      </c>
      <c r="AP3" s="170">
        <f t="shared" si="0"/>
        <v>0</v>
      </c>
      <c r="AQ3" s="170">
        <f t="shared" si="0"/>
        <v>0</v>
      </c>
      <c r="AR3" s="170">
        <f t="shared" si="0"/>
        <v>0</v>
      </c>
      <c r="AS3" s="170">
        <f t="shared" si="0"/>
        <v>0</v>
      </c>
      <c r="AT3" s="170">
        <f t="shared" si="0"/>
        <v>0</v>
      </c>
      <c r="AU3" s="170">
        <f t="shared" si="0"/>
        <v>0</v>
      </c>
      <c r="AV3" s="170">
        <f t="shared" si="0"/>
        <v>0</v>
      </c>
      <c r="AW3" s="170">
        <f t="shared" si="0"/>
        <v>1800</v>
      </c>
    </row>
    <row r="4" spans="1:49" x14ac:dyDescent="0.3">
      <c r="A4" s="169" t="s">
        <v>96</v>
      </c>
      <c r="B4" s="194">
        <v>1</v>
      </c>
      <c r="C4" s="171" t="s">
        <v>4</v>
      </c>
      <c r="D4" s="172" t="s">
        <v>51</v>
      </c>
      <c r="E4" s="172" t="s">
        <v>94</v>
      </c>
      <c r="F4" s="172" t="s">
        <v>2</v>
      </c>
      <c r="G4" s="172">
        <v>0</v>
      </c>
      <c r="H4" s="172">
        <v>25</v>
      </c>
      <c r="I4" s="172">
        <v>30</v>
      </c>
      <c r="J4" s="172">
        <v>99</v>
      </c>
      <c r="K4" s="172">
        <v>100</v>
      </c>
      <c r="L4" s="172">
        <v>101</v>
      </c>
      <c r="M4" s="172">
        <v>102</v>
      </c>
      <c r="N4" s="172">
        <v>103</v>
      </c>
      <c r="O4" s="172">
        <v>203</v>
      </c>
      <c r="P4" s="172">
        <v>302</v>
      </c>
      <c r="Q4" s="172">
        <v>303</v>
      </c>
      <c r="R4" s="172">
        <v>304</v>
      </c>
      <c r="S4" s="172">
        <v>305</v>
      </c>
      <c r="T4" s="172">
        <v>306</v>
      </c>
      <c r="U4" s="172">
        <v>407</v>
      </c>
      <c r="V4" s="172">
        <v>408</v>
      </c>
      <c r="W4" s="172">
        <v>409</v>
      </c>
      <c r="X4" s="172">
        <v>410</v>
      </c>
      <c r="Y4" s="172">
        <v>415</v>
      </c>
      <c r="Z4" s="172">
        <v>416</v>
      </c>
      <c r="AA4" s="172">
        <v>418</v>
      </c>
      <c r="AB4" s="172">
        <v>419</v>
      </c>
      <c r="AC4" s="172">
        <v>420</v>
      </c>
      <c r="AD4" s="172">
        <v>421</v>
      </c>
      <c r="AE4" s="172">
        <v>422</v>
      </c>
      <c r="AF4" s="172">
        <v>520</v>
      </c>
      <c r="AG4" s="172">
        <v>521</v>
      </c>
      <c r="AH4" s="172">
        <v>522</v>
      </c>
      <c r="AI4" s="172">
        <v>523</v>
      </c>
      <c r="AJ4" s="172">
        <v>524</v>
      </c>
      <c r="AK4" s="172">
        <v>525</v>
      </c>
      <c r="AL4" s="172">
        <v>526</v>
      </c>
      <c r="AM4" s="172">
        <v>527</v>
      </c>
      <c r="AN4" s="172">
        <v>528</v>
      </c>
      <c r="AO4" s="172">
        <v>629</v>
      </c>
      <c r="AP4" s="172">
        <v>630</v>
      </c>
      <c r="AQ4" s="172">
        <v>636</v>
      </c>
      <c r="AR4" s="172">
        <v>637</v>
      </c>
      <c r="AS4" s="172">
        <v>640</v>
      </c>
      <c r="AT4" s="172">
        <v>642</v>
      </c>
      <c r="AU4" s="172">
        <v>743</v>
      </c>
      <c r="AV4" s="172">
        <v>745</v>
      </c>
      <c r="AW4" s="172">
        <v>746</v>
      </c>
    </row>
    <row r="5" spans="1:49" x14ac:dyDescent="0.3">
      <c r="A5" s="169" t="s">
        <v>97</v>
      </c>
      <c r="B5" s="194">
        <v>2</v>
      </c>
      <c r="C5" s="169">
        <v>54</v>
      </c>
      <c r="D5" s="169">
        <v>1</v>
      </c>
      <c r="E5" s="169">
        <v>1</v>
      </c>
      <c r="F5" s="169">
        <v>4</v>
      </c>
      <c r="G5" s="169">
        <v>0</v>
      </c>
      <c r="H5" s="169">
        <v>0</v>
      </c>
      <c r="I5" s="169">
        <v>0</v>
      </c>
      <c r="J5" s="169">
        <v>0</v>
      </c>
      <c r="K5" s="169">
        <v>0</v>
      </c>
      <c r="L5" s="169">
        <v>2</v>
      </c>
      <c r="M5" s="169">
        <v>0</v>
      </c>
      <c r="N5" s="169">
        <v>0</v>
      </c>
      <c r="O5" s="169">
        <v>0</v>
      </c>
      <c r="P5" s="169">
        <v>0</v>
      </c>
      <c r="Q5" s="169">
        <v>0</v>
      </c>
      <c r="R5" s="169">
        <v>0</v>
      </c>
      <c r="S5" s="169">
        <v>0</v>
      </c>
      <c r="T5" s="169">
        <v>0</v>
      </c>
      <c r="U5" s="169">
        <v>0</v>
      </c>
      <c r="V5" s="169">
        <v>0</v>
      </c>
      <c r="W5" s="169">
        <v>1</v>
      </c>
      <c r="X5" s="169">
        <v>0</v>
      </c>
      <c r="Y5" s="169">
        <v>0</v>
      </c>
      <c r="Z5" s="169">
        <v>0</v>
      </c>
      <c r="AA5" s="169">
        <v>0</v>
      </c>
      <c r="AB5" s="169">
        <v>0</v>
      </c>
      <c r="AC5" s="169">
        <v>0</v>
      </c>
      <c r="AD5" s="169">
        <v>0</v>
      </c>
      <c r="AE5" s="169">
        <v>0</v>
      </c>
      <c r="AF5" s="169">
        <v>0</v>
      </c>
      <c r="AG5" s="169">
        <v>0</v>
      </c>
      <c r="AH5" s="169">
        <v>0</v>
      </c>
      <c r="AI5" s="169">
        <v>0</v>
      </c>
      <c r="AJ5" s="169">
        <v>0</v>
      </c>
      <c r="AK5" s="169">
        <v>0</v>
      </c>
      <c r="AL5" s="169">
        <v>0</v>
      </c>
      <c r="AM5" s="169">
        <v>0</v>
      </c>
      <c r="AN5" s="169">
        <v>1</v>
      </c>
      <c r="AO5" s="169">
        <v>0</v>
      </c>
      <c r="AP5" s="169">
        <v>0</v>
      </c>
      <c r="AQ5" s="169">
        <v>0</v>
      </c>
      <c r="AR5" s="169">
        <v>0</v>
      </c>
      <c r="AS5" s="169">
        <v>0</v>
      </c>
      <c r="AT5" s="169">
        <v>0</v>
      </c>
      <c r="AU5" s="169">
        <v>0</v>
      </c>
      <c r="AV5" s="169">
        <v>0</v>
      </c>
      <c r="AW5" s="169">
        <v>0</v>
      </c>
    </row>
    <row r="6" spans="1:49" x14ac:dyDescent="0.3">
      <c r="A6" s="169" t="s">
        <v>98</v>
      </c>
      <c r="B6" s="194">
        <v>3</v>
      </c>
      <c r="C6" s="169">
        <v>54</v>
      </c>
      <c r="D6" s="169">
        <v>1</v>
      </c>
      <c r="E6" s="169">
        <v>2</v>
      </c>
      <c r="F6" s="169">
        <v>688</v>
      </c>
      <c r="G6" s="169">
        <v>0</v>
      </c>
      <c r="H6" s="169">
        <v>0</v>
      </c>
      <c r="I6" s="169">
        <v>0</v>
      </c>
      <c r="J6" s="169">
        <v>0</v>
      </c>
      <c r="K6" s="169">
        <v>0</v>
      </c>
      <c r="L6" s="169">
        <v>344</v>
      </c>
      <c r="M6" s="169">
        <v>0</v>
      </c>
      <c r="N6" s="169">
        <v>0</v>
      </c>
      <c r="O6" s="169">
        <v>0</v>
      </c>
      <c r="P6" s="169">
        <v>0</v>
      </c>
      <c r="Q6" s="169">
        <v>0</v>
      </c>
      <c r="R6" s="169">
        <v>0</v>
      </c>
      <c r="S6" s="169">
        <v>0</v>
      </c>
      <c r="T6" s="169">
        <v>0</v>
      </c>
      <c r="U6" s="169">
        <v>0</v>
      </c>
      <c r="V6" s="169">
        <v>0</v>
      </c>
      <c r="W6" s="169">
        <v>168</v>
      </c>
      <c r="X6" s="169">
        <v>0</v>
      </c>
      <c r="Y6" s="169">
        <v>0</v>
      </c>
      <c r="Z6" s="169">
        <v>0</v>
      </c>
      <c r="AA6" s="169">
        <v>0</v>
      </c>
      <c r="AB6" s="169">
        <v>0</v>
      </c>
      <c r="AC6" s="169">
        <v>0</v>
      </c>
      <c r="AD6" s="169">
        <v>0</v>
      </c>
      <c r="AE6" s="169">
        <v>0</v>
      </c>
      <c r="AF6" s="169">
        <v>0</v>
      </c>
      <c r="AG6" s="169">
        <v>0</v>
      </c>
      <c r="AH6" s="169">
        <v>0</v>
      </c>
      <c r="AI6" s="169">
        <v>0</v>
      </c>
      <c r="AJ6" s="169">
        <v>0</v>
      </c>
      <c r="AK6" s="169">
        <v>0</v>
      </c>
      <c r="AL6" s="169">
        <v>0</v>
      </c>
      <c r="AM6" s="169">
        <v>0</v>
      </c>
      <c r="AN6" s="169">
        <v>176</v>
      </c>
      <c r="AO6" s="169">
        <v>0</v>
      </c>
      <c r="AP6" s="169">
        <v>0</v>
      </c>
      <c r="AQ6" s="169">
        <v>0</v>
      </c>
      <c r="AR6" s="169">
        <v>0</v>
      </c>
      <c r="AS6" s="169">
        <v>0</v>
      </c>
      <c r="AT6" s="169">
        <v>0</v>
      </c>
      <c r="AU6" s="169">
        <v>0</v>
      </c>
      <c r="AV6" s="169">
        <v>0</v>
      </c>
      <c r="AW6" s="169">
        <v>0</v>
      </c>
    </row>
    <row r="7" spans="1:49" x14ac:dyDescent="0.3">
      <c r="A7" s="169" t="s">
        <v>99</v>
      </c>
      <c r="B7" s="194">
        <v>4</v>
      </c>
      <c r="C7" s="169">
        <v>54</v>
      </c>
      <c r="D7" s="169">
        <v>1</v>
      </c>
      <c r="E7" s="169">
        <v>5</v>
      </c>
      <c r="F7" s="169">
        <v>20</v>
      </c>
      <c r="G7" s="169">
        <v>0</v>
      </c>
      <c r="H7" s="169">
        <v>0</v>
      </c>
      <c r="I7" s="169">
        <v>0</v>
      </c>
      <c r="J7" s="169">
        <v>0</v>
      </c>
      <c r="K7" s="169">
        <v>0</v>
      </c>
      <c r="L7" s="169">
        <v>20</v>
      </c>
      <c r="M7" s="169">
        <v>0</v>
      </c>
      <c r="N7" s="169">
        <v>0</v>
      </c>
      <c r="O7" s="169">
        <v>0</v>
      </c>
      <c r="P7" s="169">
        <v>0</v>
      </c>
      <c r="Q7" s="169">
        <v>0</v>
      </c>
      <c r="R7" s="169">
        <v>0</v>
      </c>
      <c r="S7" s="169">
        <v>0</v>
      </c>
      <c r="T7" s="169">
        <v>0</v>
      </c>
      <c r="U7" s="169">
        <v>0</v>
      </c>
      <c r="V7" s="169">
        <v>0</v>
      </c>
      <c r="W7" s="169">
        <v>0</v>
      </c>
      <c r="X7" s="169">
        <v>0</v>
      </c>
      <c r="Y7" s="169">
        <v>0</v>
      </c>
      <c r="Z7" s="169">
        <v>0</v>
      </c>
      <c r="AA7" s="169">
        <v>0</v>
      </c>
      <c r="AB7" s="169">
        <v>0</v>
      </c>
      <c r="AC7" s="169">
        <v>0</v>
      </c>
      <c r="AD7" s="169">
        <v>0</v>
      </c>
      <c r="AE7" s="169">
        <v>0</v>
      </c>
      <c r="AF7" s="169">
        <v>0</v>
      </c>
      <c r="AG7" s="169">
        <v>0</v>
      </c>
      <c r="AH7" s="169">
        <v>0</v>
      </c>
      <c r="AI7" s="169">
        <v>0</v>
      </c>
      <c r="AJ7" s="169">
        <v>0</v>
      </c>
      <c r="AK7" s="169">
        <v>0</v>
      </c>
      <c r="AL7" s="169">
        <v>0</v>
      </c>
      <c r="AM7" s="169">
        <v>0</v>
      </c>
      <c r="AN7" s="169">
        <v>0</v>
      </c>
      <c r="AO7" s="169">
        <v>0</v>
      </c>
      <c r="AP7" s="169">
        <v>0</v>
      </c>
      <c r="AQ7" s="169">
        <v>0</v>
      </c>
      <c r="AR7" s="169">
        <v>0</v>
      </c>
      <c r="AS7" s="169">
        <v>0</v>
      </c>
      <c r="AT7" s="169">
        <v>0</v>
      </c>
      <c r="AU7" s="169">
        <v>0</v>
      </c>
      <c r="AV7" s="169">
        <v>0</v>
      </c>
      <c r="AW7" s="169">
        <v>0</v>
      </c>
    </row>
    <row r="8" spans="1:49" x14ac:dyDescent="0.3">
      <c r="A8" s="169" t="s">
        <v>100</v>
      </c>
      <c r="B8" s="194">
        <v>5</v>
      </c>
      <c r="C8" s="169">
        <v>54</v>
      </c>
      <c r="D8" s="169">
        <v>1</v>
      </c>
      <c r="E8" s="169">
        <v>6</v>
      </c>
      <c r="F8" s="169">
        <v>185687</v>
      </c>
      <c r="G8" s="169">
        <v>0</v>
      </c>
      <c r="H8" s="169">
        <v>0</v>
      </c>
      <c r="I8" s="169">
        <v>0</v>
      </c>
      <c r="J8" s="169">
        <v>0</v>
      </c>
      <c r="K8" s="169">
        <v>0</v>
      </c>
      <c r="L8" s="169">
        <v>126408</v>
      </c>
      <c r="M8" s="169">
        <v>0</v>
      </c>
      <c r="N8" s="169">
        <v>0</v>
      </c>
      <c r="O8" s="169">
        <v>0</v>
      </c>
      <c r="P8" s="169">
        <v>0</v>
      </c>
      <c r="Q8" s="169">
        <v>0</v>
      </c>
      <c r="R8" s="169">
        <v>0</v>
      </c>
      <c r="S8" s="169">
        <v>0</v>
      </c>
      <c r="T8" s="169">
        <v>0</v>
      </c>
      <c r="U8" s="169">
        <v>0</v>
      </c>
      <c r="V8" s="169">
        <v>0</v>
      </c>
      <c r="W8" s="169">
        <v>29109</v>
      </c>
      <c r="X8" s="169">
        <v>0</v>
      </c>
      <c r="Y8" s="169">
        <v>0</v>
      </c>
      <c r="Z8" s="169">
        <v>0</v>
      </c>
      <c r="AA8" s="169">
        <v>0</v>
      </c>
      <c r="AB8" s="169">
        <v>0</v>
      </c>
      <c r="AC8" s="169">
        <v>0</v>
      </c>
      <c r="AD8" s="169">
        <v>0</v>
      </c>
      <c r="AE8" s="169">
        <v>0</v>
      </c>
      <c r="AF8" s="169">
        <v>0</v>
      </c>
      <c r="AG8" s="169">
        <v>0</v>
      </c>
      <c r="AH8" s="169">
        <v>0</v>
      </c>
      <c r="AI8" s="169">
        <v>0</v>
      </c>
      <c r="AJ8" s="169">
        <v>0</v>
      </c>
      <c r="AK8" s="169">
        <v>0</v>
      </c>
      <c r="AL8" s="169">
        <v>0</v>
      </c>
      <c r="AM8" s="169">
        <v>0</v>
      </c>
      <c r="AN8" s="169">
        <v>29570</v>
      </c>
      <c r="AO8" s="169">
        <v>0</v>
      </c>
      <c r="AP8" s="169">
        <v>0</v>
      </c>
      <c r="AQ8" s="169">
        <v>0</v>
      </c>
      <c r="AR8" s="169">
        <v>0</v>
      </c>
      <c r="AS8" s="169">
        <v>0</v>
      </c>
      <c r="AT8" s="169">
        <v>0</v>
      </c>
      <c r="AU8" s="169">
        <v>0</v>
      </c>
      <c r="AV8" s="169">
        <v>0</v>
      </c>
      <c r="AW8" s="169">
        <v>600</v>
      </c>
    </row>
    <row r="9" spans="1:49" x14ac:dyDescent="0.3">
      <c r="A9" s="169" t="s">
        <v>101</v>
      </c>
      <c r="B9" s="194">
        <v>6</v>
      </c>
      <c r="C9" s="169">
        <v>54</v>
      </c>
      <c r="D9" s="169">
        <v>1</v>
      </c>
      <c r="E9" s="169">
        <v>10</v>
      </c>
      <c r="F9" s="169">
        <v>3940</v>
      </c>
      <c r="G9" s="169">
        <v>0</v>
      </c>
      <c r="H9" s="169">
        <v>0</v>
      </c>
      <c r="I9" s="169">
        <v>0</v>
      </c>
      <c r="J9" s="169">
        <v>3940</v>
      </c>
      <c r="K9" s="169">
        <v>0</v>
      </c>
      <c r="L9" s="169">
        <v>0</v>
      </c>
      <c r="M9" s="169">
        <v>0</v>
      </c>
      <c r="N9" s="169">
        <v>0</v>
      </c>
      <c r="O9" s="169">
        <v>0</v>
      </c>
      <c r="P9" s="169">
        <v>0</v>
      </c>
      <c r="Q9" s="169">
        <v>0</v>
      </c>
      <c r="R9" s="169">
        <v>0</v>
      </c>
      <c r="S9" s="169">
        <v>0</v>
      </c>
      <c r="T9" s="169">
        <v>0</v>
      </c>
      <c r="U9" s="169">
        <v>0</v>
      </c>
      <c r="V9" s="169">
        <v>0</v>
      </c>
      <c r="W9" s="169">
        <v>0</v>
      </c>
      <c r="X9" s="169">
        <v>0</v>
      </c>
      <c r="Y9" s="169">
        <v>0</v>
      </c>
      <c r="Z9" s="169">
        <v>0</v>
      </c>
      <c r="AA9" s="169">
        <v>0</v>
      </c>
      <c r="AB9" s="169">
        <v>0</v>
      </c>
      <c r="AC9" s="169">
        <v>0</v>
      </c>
      <c r="AD9" s="169">
        <v>0</v>
      </c>
      <c r="AE9" s="169">
        <v>0</v>
      </c>
      <c r="AF9" s="169">
        <v>0</v>
      </c>
      <c r="AG9" s="169">
        <v>0</v>
      </c>
      <c r="AH9" s="169">
        <v>0</v>
      </c>
      <c r="AI9" s="169">
        <v>0</v>
      </c>
      <c r="AJ9" s="169">
        <v>0</v>
      </c>
      <c r="AK9" s="169">
        <v>0</v>
      </c>
      <c r="AL9" s="169">
        <v>0</v>
      </c>
      <c r="AM9" s="169">
        <v>0</v>
      </c>
      <c r="AN9" s="169">
        <v>0</v>
      </c>
      <c r="AO9" s="169">
        <v>0</v>
      </c>
      <c r="AP9" s="169">
        <v>0</v>
      </c>
      <c r="AQ9" s="169">
        <v>0</v>
      </c>
      <c r="AR9" s="169">
        <v>0</v>
      </c>
      <c r="AS9" s="169">
        <v>0</v>
      </c>
      <c r="AT9" s="169">
        <v>0</v>
      </c>
      <c r="AU9" s="169">
        <v>0</v>
      </c>
      <c r="AV9" s="169">
        <v>0</v>
      </c>
      <c r="AW9" s="169">
        <v>0</v>
      </c>
    </row>
    <row r="10" spans="1:49" x14ac:dyDescent="0.3">
      <c r="A10" s="169" t="s">
        <v>102</v>
      </c>
      <c r="B10" s="194">
        <v>7</v>
      </c>
      <c r="C10" s="169">
        <v>54</v>
      </c>
      <c r="D10" s="169">
        <v>1</v>
      </c>
      <c r="E10" s="169">
        <v>11</v>
      </c>
      <c r="F10" s="169">
        <v>686.14630082704161</v>
      </c>
      <c r="G10" s="169">
        <v>477.8129674937083</v>
      </c>
      <c r="H10" s="169">
        <v>0</v>
      </c>
      <c r="I10" s="169">
        <v>0</v>
      </c>
      <c r="J10" s="169">
        <v>208.33333333333334</v>
      </c>
      <c r="K10" s="169">
        <v>0</v>
      </c>
      <c r="L10" s="169">
        <v>0</v>
      </c>
      <c r="M10" s="169">
        <v>0</v>
      </c>
      <c r="N10" s="169">
        <v>0</v>
      </c>
      <c r="O10" s="169">
        <v>0</v>
      </c>
      <c r="P10" s="169">
        <v>0</v>
      </c>
      <c r="Q10" s="169">
        <v>0</v>
      </c>
      <c r="R10" s="169">
        <v>0</v>
      </c>
      <c r="S10" s="169">
        <v>0</v>
      </c>
      <c r="T10" s="169">
        <v>0</v>
      </c>
      <c r="U10" s="169">
        <v>0</v>
      </c>
      <c r="V10" s="169">
        <v>0</v>
      </c>
      <c r="W10" s="169">
        <v>0</v>
      </c>
      <c r="X10" s="169">
        <v>0</v>
      </c>
      <c r="Y10" s="169">
        <v>0</v>
      </c>
      <c r="Z10" s="169">
        <v>0</v>
      </c>
      <c r="AA10" s="169">
        <v>0</v>
      </c>
      <c r="AB10" s="169">
        <v>0</v>
      </c>
      <c r="AC10" s="169">
        <v>0</v>
      </c>
      <c r="AD10" s="169">
        <v>0</v>
      </c>
      <c r="AE10" s="169">
        <v>0</v>
      </c>
      <c r="AF10" s="169">
        <v>0</v>
      </c>
      <c r="AG10" s="169">
        <v>0</v>
      </c>
      <c r="AH10" s="169">
        <v>0</v>
      </c>
      <c r="AI10" s="169">
        <v>0</v>
      </c>
      <c r="AJ10" s="169">
        <v>0</v>
      </c>
      <c r="AK10" s="169">
        <v>0</v>
      </c>
      <c r="AL10" s="169">
        <v>0</v>
      </c>
      <c r="AM10" s="169">
        <v>0</v>
      </c>
      <c r="AN10" s="169">
        <v>0</v>
      </c>
      <c r="AO10" s="169">
        <v>0</v>
      </c>
      <c r="AP10" s="169">
        <v>0</v>
      </c>
      <c r="AQ10" s="169">
        <v>0</v>
      </c>
      <c r="AR10" s="169">
        <v>0</v>
      </c>
      <c r="AS10" s="169">
        <v>0</v>
      </c>
      <c r="AT10" s="169">
        <v>0</v>
      </c>
      <c r="AU10" s="169">
        <v>0</v>
      </c>
      <c r="AV10" s="169">
        <v>0</v>
      </c>
      <c r="AW10" s="169">
        <v>0</v>
      </c>
    </row>
    <row r="11" spans="1:49" x14ac:dyDescent="0.3">
      <c r="A11" s="169" t="s">
        <v>103</v>
      </c>
      <c r="B11" s="194">
        <v>8</v>
      </c>
      <c r="C11" s="169">
        <v>54</v>
      </c>
      <c r="D11" s="169">
        <v>2</v>
      </c>
      <c r="E11" s="169">
        <v>1</v>
      </c>
      <c r="F11" s="169">
        <v>4</v>
      </c>
      <c r="G11" s="169">
        <v>0</v>
      </c>
      <c r="H11" s="169">
        <v>0</v>
      </c>
      <c r="I11" s="169">
        <v>0</v>
      </c>
      <c r="J11" s="169">
        <v>0</v>
      </c>
      <c r="K11" s="169">
        <v>0</v>
      </c>
      <c r="L11" s="169">
        <v>2</v>
      </c>
      <c r="M11" s="169">
        <v>0</v>
      </c>
      <c r="N11" s="169">
        <v>0</v>
      </c>
      <c r="O11" s="169">
        <v>0</v>
      </c>
      <c r="P11" s="169">
        <v>0</v>
      </c>
      <c r="Q11" s="169">
        <v>0</v>
      </c>
      <c r="R11" s="169">
        <v>0</v>
      </c>
      <c r="S11" s="169">
        <v>0</v>
      </c>
      <c r="T11" s="169">
        <v>0</v>
      </c>
      <c r="U11" s="169">
        <v>0</v>
      </c>
      <c r="V11" s="169">
        <v>0</v>
      </c>
      <c r="W11" s="169">
        <v>1</v>
      </c>
      <c r="X11" s="169">
        <v>0</v>
      </c>
      <c r="Y11" s="169">
        <v>0</v>
      </c>
      <c r="Z11" s="169">
        <v>0</v>
      </c>
      <c r="AA11" s="169">
        <v>0</v>
      </c>
      <c r="AB11" s="169">
        <v>0</v>
      </c>
      <c r="AC11" s="169">
        <v>0</v>
      </c>
      <c r="AD11" s="169">
        <v>0</v>
      </c>
      <c r="AE11" s="169">
        <v>0</v>
      </c>
      <c r="AF11" s="169">
        <v>0</v>
      </c>
      <c r="AG11" s="169">
        <v>0</v>
      </c>
      <c r="AH11" s="169">
        <v>0</v>
      </c>
      <c r="AI11" s="169">
        <v>0</v>
      </c>
      <c r="AJ11" s="169">
        <v>0</v>
      </c>
      <c r="AK11" s="169">
        <v>0</v>
      </c>
      <c r="AL11" s="169">
        <v>0</v>
      </c>
      <c r="AM11" s="169">
        <v>0</v>
      </c>
      <c r="AN11" s="169">
        <v>1</v>
      </c>
      <c r="AO11" s="169">
        <v>0</v>
      </c>
      <c r="AP11" s="169">
        <v>0</v>
      </c>
      <c r="AQ11" s="169">
        <v>0</v>
      </c>
      <c r="AR11" s="169">
        <v>0</v>
      </c>
      <c r="AS11" s="169">
        <v>0</v>
      </c>
      <c r="AT11" s="169">
        <v>0</v>
      </c>
      <c r="AU11" s="169">
        <v>0</v>
      </c>
      <c r="AV11" s="169">
        <v>0</v>
      </c>
      <c r="AW11" s="169">
        <v>0</v>
      </c>
    </row>
    <row r="12" spans="1:49" x14ac:dyDescent="0.3">
      <c r="A12" s="169" t="s">
        <v>104</v>
      </c>
      <c r="B12" s="194">
        <v>9</v>
      </c>
      <c r="C12" s="169">
        <v>54</v>
      </c>
      <c r="D12" s="169">
        <v>2</v>
      </c>
      <c r="E12" s="169">
        <v>2</v>
      </c>
      <c r="F12" s="169">
        <v>624</v>
      </c>
      <c r="G12" s="169">
        <v>0</v>
      </c>
      <c r="H12" s="169">
        <v>0</v>
      </c>
      <c r="I12" s="169">
        <v>0</v>
      </c>
      <c r="J12" s="169">
        <v>0</v>
      </c>
      <c r="K12" s="169">
        <v>0</v>
      </c>
      <c r="L12" s="169">
        <v>312</v>
      </c>
      <c r="M12" s="169">
        <v>0</v>
      </c>
      <c r="N12" s="169">
        <v>0</v>
      </c>
      <c r="O12" s="169">
        <v>0</v>
      </c>
      <c r="P12" s="169">
        <v>0</v>
      </c>
      <c r="Q12" s="169">
        <v>0</v>
      </c>
      <c r="R12" s="169">
        <v>0</v>
      </c>
      <c r="S12" s="169">
        <v>0</v>
      </c>
      <c r="T12" s="169">
        <v>0</v>
      </c>
      <c r="U12" s="169">
        <v>0</v>
      </c>
      <c r="V12" s="169">
        <v>0</v>
      </c>
      <c r="W12" s="169">
        <v>160</v>
      </c>
      <c r="X12" s="169">
        <v>0</v>
      </c>
      <c r="Y12" s="169">
        <v>0</v>
      </c>
      <c r="Z12" s="169">
        <v>0</v>
      </c>
      <c r="AA12" s="169">
        <v>0</v>
      </c>
      <c r="AB12" s="169">
        <v>0</v>
      </c>
      <c r="AC12" s="169">
        <v>0</v>
      </c>
      <c r="AD12" s="169">
        <v>0</v>
      </c>
      <c r="AE12" s="169">
        <v>0</v>
      </c>
      <c r="AF12" s="169">
        <v>0</v>
      </c>
      <c r="AG12" s="169">
        <v>0</v>
      </c>
      <c r="AH12" s="169">
        <v>0</v>
      </c>
      <c r="AI12" s="169">
        <v>0</v>
      </c>
      <c r="AJ12" s="169">
        <v>0</v>
      </c>
      <c r="AK12" s="169">
        <v>0</v>
      </c>
      <c r="AL12" s="169">
        <v>0</v>
      </c>
      <c r="AM12" s="169">
        <v>0</v>
      </c>
      <c r="AN12" s="169">
        <v>152</v>
      </c>
      <c r="AO12" s="169">
        <v>0</v>
      </c>
      <c r="AP12" s="169">
        <v>0</v>
      </c>
      <c r="AQ12" s="169">
        <v>0</v>
      </c>
      <c r="AR12" s="169">
        <v>0</v>
      </c>
      <c r="AS12" s="169">
        <v>0</v>
      </c>
      <c r="AT12" s="169">
        <v>0</v>
      </c>
      <c r="AU12" s="169">
        <v>0</v>
      </c>
      <c r="AV12" s="169">
        <v>0</v>
      </c>
      <c r="AW12" s="169">
        <v>0</v>
      </c>
    </row>
    <row r="13" spans="1:49" x14ac:dyDescent="0.3">
      <c r="A13" s="169" t="s">
        <v>105</v>
      </c>
      <c r="B13" s="194">
        <v>10</v>
      </c>
      <c r="C13" s="169">
        <v>54</v>
      </c>
      <c r="D13" s="169">
        <v>2</v>
      </c>
      <c r="E13" s="169">
        <v>5</v>
      </c>
      <c r="F13" s="169">
        <v>20</v>
      </c>
      <c r="G13" s="169">
        <v>0</v>
      </c>
      <c r="H13" s="169">
        <v>0</v>
      </c>
      <c r="I13" s="169">
        <v>0</v>
      </c>
      <c r="J13" s="169">
        <v>0</v>
      </c>
      <c r="K13" s="169">
        <v>0</v>
      </c>
      <c r="L13" s="169">
        <v>20</v>
      </c>
      <c r="M13" s="169">
        <v>0</v>
      </c>
      <c r="N13" s="169">
        <v>0</v>
      </c>
      <c r="O13" s="169">
        <v>0</v>
      </c>
      <c r="P13" s="169">
        <v>0</v>
      </c>
      <c r="Q13" s="169">
        <v>0</v>
      </c>
      <c r="R13" s="169">
        <v>0</v>
      </c>
      <c r="S13" s="169">
        <v>0</v>
      </c>
      <c r="T13" s="169">
        <v>0</v>
      </c>
      <c r="U13" s="169">
        <v>0</v>
      </c>
      <c r="V13" s="169">
        <v>0</v>
      </c>
      <c r="W13" s="169">
        <v>0</v>
      </c>
      <c r="X13" s="169">
        <v>0</v>
      </c>
      <c r="Y13" s="169">
        <v>0</v>
      </c>
      <c r="Z13" s="169">
        <v>0</v>
      </c>
      <c r="AA13" s="169">
        <v>0</v>
      </c>
      <c r="AB13" s="169">
        <v>0</v>
      </c>
      <c r="AC13" s="169">
        <v>0</v>
      </c>
      <c r="AD13" s="169">
        <v>0</v>
      </c>
      <c r="AE13" s="169">
        <v>0</v>
      </c>
      <c r="AF13" s="169">
        <v>0</v>
      </c>
      <c r="AG13" s="169">
        <v>0</v>
      </c>
      <c r="AH13" s="169">
        <v>0</v>
      </c>
      <c r="AI13" s="169">
        <v>0</v>
      </c>
      <c r="AJ13" s="169">
        <v>0</v>
      </c>
      <c r="AK13" s="169">
        <v>0</v>
      </c>
      <c r="AL13" s="169">
        <v>0</v>
      </c>
      <c r="AM13" s="169">
        <v>0</v>
      </c>
      <c r="AN13" s="169">
        <v>0</v>
      </c>
      <c r="AO13" s="169">
        <v>0</v>
      </c>
      <c r="AP13" s="169">
        <v>0</v>
      </c>
      <c r="AQ13" s="169">
        <v>0</v>
      </c>
      <c r="AR13" s="169">
        <v>0</v>
      </c>
      <c r="AS13" s="169">
        <v>0</v>
      </c>
      <c r="AT13" s="169">
        <v>0</v>
      </c>
      <c r="AU13" s="169">
        <v>0</v>
      </c>
      <c r="AV13" s="169">
        <v>0</v>
      </c>
      <c r="AW13" s="169">
        <v>0</v>
      </c>
    </row>
    <row r="14" spans="1:49" x14ac:dyDescent="0.3">
      <c r="A14" s="169" t="s">
        <v>106</v>
      </c>
      <c r="B14" s="194">
        <v>11</v>
      </c>
      <c r="C14" s="169">
        <v>54</v>
      </c>
      <c r="D14" s="169">
        <v>2</v>
      </c>
      <c r="E14" s="169">
        <v>6</v>
      </c>
      <c r="F14" s="169">
        <v>185958</v>
      </c>
      <c r="G14" s="169">
        <v>0</v>
      </c>
      <c r="H14" s="169">
        <v>0</v>
      </c>
      <c r="I14" s="169">
        <v>0</v>
      </c>
      <c r="J14" s="169">
        <v>0</v>
      </c>
      <c r="K14" s="169">
        <v>0</v>
      </c>
      <c r="L14" s="169">
        <v>126627</v>
      </c>
      <c r="M14" s="169">
        <v>0</v>
      </c>
      <c r="N14" s="169">
        <v>0</v>
      </c>
      <c r="O14" s="169">
        <v>0</v>
      </c>
      <c r="P14" s="169">
        <v>0</v>
      </c>
      <c r="Q14" s="169">
        <v>0</v>
      </c>
      <c r="R14" s="169">
        <v>0</v>
      </c>
      <c r="S14" s="169">
        <v>0</v>
      </c>
      <c r="T14" s="169">
        <v>0</v>
      </c>
      <c r="U14" s="169">
        <v>0</v>
      </c>
      <c r="V14" s="169">
        <v>0</v>
      </c>
      <c r="W14" s="169">
        <v>29040</v>
      </c>
      <c r="X14" s="169">
        <v>0</v>
      </c>
      <c r="Y14" s="169">
        <v>0</v>
      </c>
      <c r="Z14" s="169">
        <v>0</v>
      </c>
      <c r="AA14" s="169">
        <v>0</v>
      </c>
      <c r="AB14" s="169">
        <v>0</v>
      </c>
      <c r="AC14" s="169">
        <v>0</v>
      </c>
      <c r="AD14" s="169">
        <v>0</v>
      </c>
      <c r="AE14" s="169">
        <v>0</v>
      </c>
      <c r="AF14" s="169">
        <v>0</v>
      </c>
      <c r="AG14" s="169">
        <v>0</v>
      </c>
      <c r="AH14" s="169">
        <v>0</v>
      </c>
      <c r="AI14" s="169">
        <v>0</v>
      </c>
      <c r="AJ14" s="169">
        <v>0</v>
      </c>
      <c r="AK14" s="169">
        <v>0</v>
      </c>
      <c r="AL14" s="169">
        <v>0</v>
      </c>
      <c r="AM14" s="169">
        <v>0</v>
      </c>
      <c r="AN14" s="169">
        <v>29691</v>
      </c>
      <c r="AO14" s="169">
        <v>0</v>
      </c>
      <c r="AP14" s="169">
        <v>0</v>
      </c>
      <c r="AQ14" s="169">
        <v>0</v>
      </c>
      <c r="AR14" s="169">
        <v>0</v>
      </c>
      <c r="AS14" s="169">
        <v>0</v>
      </c>
      <c r="AT14" s="169">
        <v>0</v>
      </c>
      <c r="AU14" s="169">
        <v>0</v>
      </c>
      <c r="AV14" s="169">
        <v>0</v>
      </c>
      <c r="AW14" s="169">
        <v>600</v>
      </c>
    </row>
    <row r="15" spans="1:49" x14ac:dyDescent="0.3">
      <c r="A15" s="169" t="s">
        <v>107</v>
      </c>
      <c r="B15" s="194">
        <v>12</v>
      </c>
      <c r="C15" s="169">
        <v>54</v>
      </c>
      <c r="D15" s="169">
        <v>2</v>
      </c>
      <c r="E15" s="169">
        <v>10</v>
      </c>
      <c r="F15" s="169">
        <v>3860</v>
      </c>
      <c r="G15" s="169">
        <v>0</v>
      </c>
      <c r="H15" s="169">
        <v>0</v>
      </c>
      <c r="I15" s="169">
        <v>0</v>
      </c>
      <c r="J15" s="169">
        <v>3860</v>
      </c>
      <c r="K15" s="169">
        <v>0</v>
      </c>
      <c r="L15" s="169">
        <v>0</v>
      </c>
      <c r="M15" s="169">
        <v>0</v>
      </c>
      <c r="N15" s="169">
        <v>0</v>
      </c>
      <c r="O15" s="169">
        <v>0</v>
      </c>
      <c r="P15" s="169">
        <v>0</v>
      </c>
      <c r="Q15" s="169">
        <v>0</v>
      </c>
      <c r="R15" s="169">
        <v>0</v>
      </c>
      <c r="S15" s="169">
        <v>0</v>
      </c>
      <c r="T15" s="169">
        <v>0</v>
      </c>
      <c r="U15" s="169">
        <v>0</v>
      </c>
      <c r="V15" s="169">
        <v>0</v>
      </c>
      <c r="W15" s="169">
        <v>0</v>
      </c>
      <c r="X15" s="169">
        <v>0</v>
      </c>
      <c r="Y15" s="169">
        <v>0</v>
      </c>
      <c r="Z15" s="169">
        <v>0</v>
      </c>
      <c r="AA15" s="169">
        <v>0</v>
      </c>
      <c r="AB15" s="169">
        <v>0</v>
      </c>
      <c r="AC15" s="169">
        <v>0</v>
      </c>
      <c r="AD15" s="169">
        <v>0</v>
      </c>
      <c r="AE15" s="169">
        <v>0</v>
      </c>
      <c r="AF15" s="169">
        <v>0</v>
      </c>
      <c r="AG15" s="169">
        <v>0</v>
      </c>
      <c r="AH15" s="169">
        <v>0</v>
      </c>
      <c r="AI15" s="169">
        <v>0</v>
      </c>
      <c r="AJ15" s="169">
        <v>0</v>
      </c>
      <c r="AK15" s="169">
        <v>0</v>
      </c>
      <c r="AL15" s="169">
        <v>0</v>
      </c>
      <c r="AM15" s="169">
        <v>0</v>
      </c>
      <c r="AN15" s="169">
        <v>0</v>
      </c>
      <c r="AO15" s="169">
        <v>0</v>
      </c>
      <c r="AP15" s="169">
        <v>0</v>
      </c>
      <c r="AQ15" s="169">
        <v>0</v>
      </c>
      <c r="AR15" s="169">
        <v>0</v>
      </c>
      <c r="AS15" s="169">
        <v>0</v>
      </c>
      <c r="AT15" s="169">
        <v>0</v>
      </c>
      <c r="AU15" s="169">
        <v>0</v>
      </c>
      <c r="AV15" s="169">
        <v>0</v>
      </c>
      <c r="AW15" s="169">
        <v>0</v>
      </c>
    </row>
    <row r="16" spans="1:49" x14ac:dyDescent="0.3">
      <c r="A16" s="169" t="s">
        <v>95</v>
      </c>
      <c r="B16" s="194">
        <v>2017</v>
      </c>
      <c r="C16" s="169">
        <v>54</v>
      </c>
      <c r="D16" s="169">
        <v>2</v>
      </c>
      <c r="E16" s="169">
        <v>11</v>
      </c>
      <c r="F16" s="169">
        <v>686.14630082704161</v>
      </c>
      <c r="G16" s="169">
        <v>477.8129674937083</v>
      </c>
      <c r="H16" s="169">
        <v>0</v>
      </c>
      <c r="I16" s="169">
        <v>0</v>
      </c>
      <c r="J16" s="169">
        <v>208.33333333333334</v>
      </c>
      <c r="K16" s="169">
        <v>0</v>
      </c>
      <c r="L16" s="169">
        <v>0</v>
      </c>
      <c r="M16" s="169">
        <v>0</v>
      </c>
      <c r="N16" s="169">
        <v>0</v>
      </c>
      <c r="O16" s="169">
        <v>0</v>
      </c>
      <c r="P16" s="169">
        <v>0</v>
      </c>
      <c r="Q16" s="169">
        <v>0</v>
      </c>
      <c r="R16" s="169">
        <v>0</v>
      </c>
      <c r="S16" s="169">
        <v>0</v>
      </c>
      <c r="T16" s="169">
        <v>0</v>
      </c>
      <c r="U16" s="169">
        <v>0</v>
      </c>
      <c r="V16" s="169">
        <v>0</v>
      </c>
      <c r="W16" s="169">
        <v>0</v>
      </c>
      <c r="X16" s="169">
        <v>0</v>
      </c>
      <c r="Y16" s="169">
        <v>0</v>
      </c>
      <c r="Z16" s="169">
        <v>0</v>
      </c>
      <c r="AA16" s="169">
        <v>0</v>
      </c>
      <c r="AB16" s="169">
        <v>0</v>
      </c>
      <c r="AC16" s="169">
        <v>0</v>
      </c>
      <c r="AD16" s="169">
        <v>0</v>
      </c>
      <c r="AE16" s="169">
        <v>0</v>
      </c>
      <c r="AF16" s="169">
        <v>0</v>
      </c>
      <c r="AG16" s="169">
        <v>0</v>
      </c>
      <c r="AH16" s="169">
        <v>0</v>
      </c>
      <c r="AI16" s="169">
        <v>0</v>
      </c>
      <c r="AJ16" s="169">
        <v>0</v>
      </c>
      <c r="AK16" s="169">
        <v>0</v>
      </c>
      <c r="AL16" s="169">
        <v>0</v>
      </c>
      <c r="AM16" s="169">
        <v>0</v>
      </c>
      <c r="AN16" s="169">
        <v>0</v>
      </c>
      <c r="AO16" s="169">
        <v>0</v>
      </c>
      <c r="AP16" s="169">
        <v>0</v>
      </c>
      <c r="AQ16" s="169">
        <v>0</v>
      </c>
      <c r="AR16" s="169">
        <v>0</v>
      </c>
      <c r="AS16" s="169">
        <v>0</v>
      </c>
      <c r="AT16" s="169">
        <v>0</v>
      </c>
      <c r="AU16" s="169">
        <v>0</v>
      </c>
      <c r="AV16" s="169">
        <v>0</v>
      </c>
      <c r="AW16" s="169">
        <v>0</v>
      </c>
    </row>
    <row r="17" spans="3:49" x14ac:dyDescent="0.3">
      <c r="C17" s="169">
        <v>54</v>
      </c>
      <c r="D17" s="169">
        <v>3</v>
      </c>
      <c r="E17" s="169">
        <v>1</v>
      </c>
      <c r="F17" s="169">
        <v>4</v>
      </c>
      <c r="G17" s="169">
        <v>0</v>
      </c>
      <c r="H17" s="169">
        <v>0</v>
      </c>
      <c r="I17" s="169">
        <v>0</v>
      </c>
      <c r="J17" s="169">
        <v>0</v>
      </c>
      <c r="K17" s="169">
        <v>0</v>
      </c>
      <c r="L17" s="169">
        <v>2</v>
      </c>
      <c r="M17" s="169">
        <v>0</v>
      </c>
      <c r="N17" s="169">
        <v>0</v>
      </c>
      <c r="O17" s="169">
        <v>0</v>
      </c>
      <c r="P17" s="169">
        <v>0</v>
      </c>
      <c r="Q17" s="169">
        <v>0</v>
      </c>
      <c r="R17" s="169">
        <v>0</v>
      </c>
      <c r="S17" s="169">
        <v>0</v>
      </c>
      <c r="T17" s="169">
        <v>0</v>
      </c>
      <c r="U17" s="169">
        <v>0</v>
      </c>
      <c r="V17" s="169">
        <v>0</v>
      </c>
      <c r="W17" s="169">
        <v>1</v>
      </c>
      <c r="X17" s="169">
        <v>0</v>
      </c>
      <c r="Y17" s="169">
        <v>0</v>
      </c>
      <c r="Z17" s="169">
        <v>0</v>
      </c>
      <c r="AA17" s="169">
        <v>0</v>
      </c>
      <c r="AB17" s="169">
        <v>0</v>
      </c>
      <c r="AC17" s="169">
        <v>0</v>
      </c>
      <c r="AD17" s="169">
        <v>0</v>
      </c>
      <c r="AE17" s="169">
        <v>0</v>
      </c>
      <c r="AF17" s="169">
        <v>0</v>
      </c>
      <c r="AG17" s="169">
        <v>0</v>
      </c>
      <c r="AH17" s="169">
        <v>0</v>
      </c>
      <c r="AI17" s="169">
        <v>0</v>
      </c>
      <c r="AJ17" s="169">
        <v>0</v>
      </c>
      <c r="AK17" s="169">
        <v>0</v>
      </c>
      <c r="AL17" s="169">
        <v>0</v>
      </c>
      <c r="AM17" s="169">
        <v>0</v>
      </c>
      <c r="AN17" s="169">
        <v>1</v>
      </c>
      <c r="AO17" s="169">
        <v>0</v>
      </c>
      <c r="AP17" s="169">
        <v>0</v>
      </c>
      <c r="AQ17" s="169">
        <v>0</v>
      </c>
      <c r="AR17" s="169">
        <v>0</v>
      </c>
      <c r="AS17" s="169">
        <v>0</v>
      </c>
      <c r="AT17" s="169">
        <v>0</v>
      </c>
      <c r="AU17" s="169">
        <v>0</v>
      </c>
      <c r="AV17" s="169">
        <v>0</v>
      </c>
      <c r="AW17" s="169">
        <v>0</v>
      </c>
    </row>
    <row r="18" spans="3:49" x14ac:dyDescent="0.3">
      <c r="C18" s="169">
        <v>54</v>
      </c>
      <c r="D18" s="169">
        <v>3</v>
      </c>
      <c r="E18" s="169">
        <v>2</v>
      </c>
      <c r="F18" s="169">
        <v>688</v>
      </c>
      <c r="G18" s="169">
        <v>0</v>
      </c>
      <c r="H18" s="169">
        <v>0</v>
      </c>
      <c r="I18" s="169">
        <v>0</v>
      </c>
      <c r="J18" s="169">
        <v>0</v>
      </c>
      <c r="K18" s="169">
        <v>0</v>
      </c>
      <c r="L18" s="169">
        <v>360</v>
      </c>
      <c r="M18" s="169">
        <v>0</v>
      </c>
      <c r="N18" s="169">
        <v>0</v>
      </c>
      <c r="O18" s="169">
        <v>0</v>
      </c>
      <c r="P18" s="169">
        <v>0</v>
      </c>
      <c r="Q18" s="169">
        <v>0</v>
      </c>
      <c r="R18" s="169">
        <v>0</v>
      </c>
      <c r="S18" s="169">
        <v>0</v>
      </c>
      <c r="T18" s="169">
        <v>0</v>
      </c>
      <c r="U18" s="169">
        <v>0</v>
      </c>
      <c r="V18" s="169">
        <v>0</v>
      </c>
      <c r="W18" s="169">
        <v>184</v>
      </c>
      <c r="X18" s="169">
        <v>0</v>
      </c>
      <c r="Y18" s="169">
        <v>0</v>
      </c>
      <c r="Z18" s="169">
        <v>0</v>
      </c>
      <c r="AA18" s="169">
        <v>0</v>
      </c>
      <c r="AB18" s="169">
        <v>0</v>
      </c>
      <c r="AC18" s="169">
        <v>0</v>
      </c>
      <c r="AD18" s="169">
        <v>0</v>
      </c>
      <c r="AE18" s="169">
        <v>0</v>
      </c>
      <c r="AF18" s="169">
        <v>0</v>
      </c>
      <c r="AG18" s="169">
        <v>0</v>
      </c>
      <c r="AH18" s="169">
        <v>0</v>
      </c>
      <c r="AI18" s="169">
        <v>0</v>
      </c>
      <c r="AJ18" s="169">
        <v>0</v>
      </c>
      <c r="AK18" s="169">
        <v>0</v>
      </c>
      <c r="AL18" s="169">
        <v>0</v>
      </c>
      <c r="AM18" s="169">
        <v>0</v>
      </c>
      <c r="AN18" s="169">
        <v>144</v>
      </c>
      <c r="AO18" s="169">
        <v>0</v>
      </c>
      <c r="AP18" s="169">
        <v>0</v>
      </c>
      <c r="AQ18" s="169">
        <v>0</v>
      </c>
      <c r="AR18" s="169">
        <v>0</v>
      </c>
      <c r="AS18" s="169">
        <v>0</v>
      </c>
      <c r="AT18" s="169">
        <v>0</v>
      </c>
      <c r="AU18" s="169">
        <v>0</v>
      </c>
      <c r="AV18" s="169">
        <v>0</v>
      </c>
      <c r="AW18" s="169">
        <v>0</v>
      </c>
    </row>
    <row r="19" spans="3:49" x14ac:dyDescent="0.3">
      <c r="C19" s="169">
        <v>54</v>
      </c>
      <c r="D19" s="169">
        <v>3</v>
      </c>
      <c r="E19" s="169">
        <v>5</v>
      </c>
      <c r="F19" s="169">
        <v>20</v>
      </c>
      <c r="G19" s="169">
        <v>0</v>
      </c>
      <c r="H19" s="169">
        <v>0</v>
      </c>
      <c r="I19" s="169">
        <v>0</v>
      </c>
      <c r="J19" s="169">
        <v>0</v>
      </c>
      <c r="K19" s="169">
        <v>0</v>
      </c>
      <c r="L19" s="169">
        <v>20</v>
      </c>
      <c r="M19" s="169">
        <v>0</v>
      </c>
      <c r="N19" s="169">
        <v>0</v>
      </c>
      <c r="O19" s="169">
        <v>0</v>
      </c>
      <c r="P19" s="169">
        <v>0</v>
      </c>
      <c r="Q19" s="169">
        <v>0</v>
      </c>
      <c r="R19" s="169">
        <v>0</v>
      </c>
      <c r="S19" s="169">
        <v>0</v>
      </c>
      <c r="T19" s="169">
        <v>0</v>
      </c>
      <c r="U19" s="169">
        <v>0</v>
      </c>
      <c r="V19" s="169">
        <v>0</v>
      </c>
      <c r="W19" s="169">
        <v>0</v>
      </c>
      <c r="X19" s="169">
        <v>0</v>
      </c>
      <c r="Y19" s="169">
        <v>0</v>
      </c>
      <c r="Z19" s="169">
        <v>0</v>
      </c>
      <c r="AA19" s="169">
        <v>0</v>
      </c>
      <c r="AB19" s="169">
        <v>0</v>
      </c>
      <c r="AC19" s="169">
        <v>0</v>
      </c>
      <c r="AD19" s="169">
        <v>0</v>
      </c>
      <c r="AE19" s="169">
        <v>0</v>
      </c>
      <c r="AF19" s="169">
        <v>0</v>
      </c>
      <c r="AG19" s="169">
        <v>0</v>
      </c>
      <c r="AH19" s="169">
        <v>0</v>
      </c>
      <c r="AI19" s="169">
        <v>0</v>
      </c>
      <c r="AJ19" s="169">
        <v>0</v>
      </c>
      <c r="AK19" s="169">
        <v>0</v>
      </c>
      <c r="AL19" s="169">
        <v>0</v>
      </c>
      <c r="AM19" s="169">
        <v>0</v>
      </c>
      <c r="AN19" s="169">
        <v>0</v>
      </c>
      <c r="AO19" s="169">
        <v>0</v>
      </c>
      <c r="AP19" s="169">
        <v>0</v>
      </c>
      <c r="AQ19" s="169">
        <v>0</v>
      </c>
      <c r="AR19" s="169">
        <v>0</v>
      </c>
      <c r="AS19" s="169">
        <v>0</v>
      </c>
      <c r="AT19" s="169">
        <v>0</v>
      </c>
      <c r="AU19" s="169">
        <v>0</v>
      </c>
      <c r="AV19" s="169">
        <v>0</v>
      </c>
      <c r="AW19" s="169">
        <v>0</v>
      </c>
    </row>
    <row r="20" spans="3:49" x14ac:dyDescent="0.3">
      <c r="C20" s="169">
        <v>54</v>
      </c>
      <c r="D20" s="169">
        <v>3</v>
      </c>
      <c r="E20" s="169">
        <v>6</v>
      </c>
      <c r="F20" s="169">
        <v>197284</v>
      </c>
      <c r="G20" s="169">
        <v>0</v>
      </c>
      <c r="H20" s="169">
        <v>0</v>
      </c>
      <c r="I20" s="169">
        <v>0</v>
      </c>
      <c r="J20" s="169">
        <v>0</v>
      </c>
      <c r="K20" s="169">
        <v>0</v>
      </c>
      <c r="L20" s="169">
        <v>136506</v>
      </c>
      <c r="M20" s="169">
        <v>0</v>
      </c>
      <c r="N20" s="169">
        <v>0</v>
      </c>
      <c r="O20" s="169">
        <v>0</v>
      </c>
      <c r="P20" s="169">
        <v>0</v>
      </c>
      <c r="Q20" s="169">
        <v>0</v>
      </c>
      <c r="R20" s="169">
        <v>0</v>
      </c>
      <c r="S20" s="169">
        <v>0</v>
      </c>
      <c r="T20" s="169">
        <v>0</v>
      </c>
      <c r="U20" s="169">
        <v>0</v>
      </c>
      <c r="V20" s="169">
        <v>0</v>
      </c>
      <c r="W20" s="169">
        <v>29040</v>
      </c>
      <c r="X20" s="169">
        <v>0</v>
      </c>
      <c r="Y20" s="169">
        <v>0</v>
      </c>
      <c r="Z20" s="169">
        <v>0</v>
      </c>
      <c r="AA20" s="169">
        <v>0</v>
      </c>
      <c r="AB20" s="169">
        <v>0</v>
      </c>
      <c r="AC20" s="169">
        <v>0</v>
      </c>
      <c r="AD20" s="169">
        <v>0</v>
      </c>
      <c r="AE20" s="169">
        <v>0</v>
      </c>
      <c r="AF20" s="169">
        <v>0</v>
      </c>
      <c r="AG20" s="169">
        <v>0</v>
      </c>
      <c r="AH20" s="169">
        <v>0</v>
      </c>
      <c r="AI20" s="169">
        <v>0</v>
      </c>
      <c r="AJ20" s="169">
        <v>0</v>
      </c>
      <c r="AK20" s="169">
        <v>0</v>
      </c>
      <c r="AL20" s="169">
        <v>0</v>
      </c>
      <c r="AM20" s="169">
        <v>0</v>
      </c>
      <c r="AN20" s="169">
        <v>31138</v>
      </c>
      <c r="AO20" s="169">
        <v>0</v>
      </c>
      <c r="AP20" s="169">
        <v>0</v>
      </c>
      <c r="AQ20" s="169">
        <v>0</v>
      </c>
      <c r="AR20" s="169">
        <v>0</v>
      </c>
      <c r="AS20" s="169">
        <v>0</v>
      </c>
      <c r="AT20" s="169">
        <v>0</v>
      </c>
      <c r="AU20" s="169">
        <v>0</v>
      </c>
      <c r="AV20" s="169">
        <v>0</v>
      </c>
      <c r="AW20" s="169">
        <v>600</v>
      </c>
    </row>
    <row r="21" spans="3:49" x14ac:dyDescent="0.3">
      <c r="C21" s="169">
        <v>54</v>
      </c>
      <c r="D21" s="169">
        <v>3</v>
      </c>
      <c r="E21" s="169">
        <v>9</v>
      </c>
      <c r="F21" s="169">
        <v>10000</v>
      </c>
      <c r="G21" s="169">
        <v>0</v>
      </c>
      <c r="H21" s="169">
        <v>0</v>
      </c>
      <c r="I21" s="169">
        <v>0</v>
      </c>
      <c r="J21" s="169">
        <v>0</v>
      </c>
      <c r="K21" s="169">
        <v>0</v>
      </c>
      <c r="L21" s="169">
        <v>10000</v>
      </c>
      <c r="M21" s="169">
        <v>0</v>
      </c>
      <c r="N21" s="169">
        <v>0</v>
      </c>
      <c r="O21" s="169">
        <v>0</v>
      </c>
      <c r="P21" s="169">
        <v>0</v>
      </c>
      <c r="Q21" s="169">
        <v>0</v>
      </c>
      <c r="R21" s="169">
        <v>0</v>
      </c>
      <c r="S21" s="169">
        <v>0</v>
      </c>
      <c r="T21" s="169">
        <v>0</v>
      </c>
      <c r="U21" s="169">
        <v>0</v>
      </c>
      <c r="V21" s="169">
        <v>0</v>
      </c>
      <c r="W21" s="169">
        <v>0</v>
      </c>
      <c r="X21" s="169">
        <v>0</v>
      </c>
      <c r="Y21" s="169">
        <v>0</v>
      </c>
      <c r="Z21" s="169">
        <v>0</v>
      </c>
      <c r="AA21" s="169">
        <v>0</v>
      </c>
      <c r="AB21" s="169">
        <v>0</v>
      </c>
      <c r="AC21" s="169">
        <v>0</v>
      </c>
      <c r="AD21" s="169">
        <v>0</v>
      </c>
      <c r="AE21" s="169">
        <v>0</v>
      </c>
      <c r="AF21" s="169">
        <v>0</v>
      </c>
      <c r="AG21" s="169">
        <v>0</v>
      </c>
      <c r="AH21" s="169">
        <v>0</v>
      </c>
      <c r="AI21" s="169">
        <v>0</v>
      </c>
      <c r="AJ21" s="169">
        <v>0</v>
      </c>
      <c r="AK21" s="169">
        <v>0</v>
      </c>
      <c r="AL21" s="169">
        <v>0</v>
      </c>
      <c r="AM21" s="169">
        <v>0</v>
      </c>
      <c r="AN21" s="169">
        <v>0</v>
      </c>
      <c r="AO21" s="169">
        <v>0</v>
      </c>
      <c r="AP21" s="169">
        <v>0</v>
      </c>
      <c r="AQ21" s="169">
        <v>0</v>
      </c>
      <c r="AR21" s="169">
        <v>0</v>
      </c>
      <c r="AS21" s="169">
        <v>0</v>
      </c>
      <c r="AT21" s="169">
        <v>0</v>
      </c>
      <c r="AU21" s="169">
        <v>0</v>
      </c>
      <c r="AV21" s="169">
        <v>0</v>
      </c>
      <c r="AW21" s="169">
        <v>0</v>
      </c>
    </row>
    <row r="22" spans="3:49" x14ac:dyDescent="0.3">
      <c r="C22" s="169">
        <v>54</v>
      </c>
      <c r="D22" s="169">
        <v>3</v>
      </c>
      <c r="E22" s="169">
        <v>10</v>
      </c>
      <c r="F22" s="169">
        <v>700</v>
      </c>
      <c r="G22" s="169">
        <v>0</v>
      </c>
      <c r="H22" s="169">
        <v>0</v>
      </c>
      <c r="I22" s="169">
        <v>0</v>
      </c>
      <c r="J22" s="169">
        <v>700</v>
      </c>
      <c r="K22" s="169">
        <v>0</v>
      </c>
      <c r="L22" s="169">
        <v>0</v>
      </c>
      <c r="M22" s="169">
        <v>0</v>
      </c>
      <c r="N22" s="169">
        <v>0</v>
      </c>
      <c r="O22" s="169">
        <v>0</v>
      </c>
      <c r="P22" s="169">
        <v>0</v>
      </c>
      <c r="Q22" s="169">
        <v>0</v>
      </c>
      <c r="R22" s="169">
        <v>0</v>
      </c>
      <c r="S22" s="169">
        <v>0</v>
      </c>
      <c r="T22" s="169">
        <v>0</v>
      </c>
      <c r="U22" s="169">
        <v>0</v>
      </c>
      <c r="V22" s="169">
        <v>0</v>
      </c>
      <c r="W22" s="169">
        <v>0</v>
      </c>
      <c r="X22" s="169">
        <v>0</v>
      </c>
      <c r="Y22" s="169">
        <v>0</v>
      </c>
      <c r="Z22" s="169">
        <v>0</v>
      </c>
      <c r="AA22" s="169">
        <v>0</v>
      </c>
      <c r="AB22" s="169">
        <v>0</v>
      </c>
      <c r="AC22" s="169">
        <v>0</v>
      </c>
      <c r="AD22" s="169">
        <v>0</v>
      </c>
      <c r="AE22" s="169">
        <v>0</v>
      </c>
      <c r="AF22" s="169">
        <v>0</v>
      </c>
      <c r="AG22" s="169">
        <v>0</v>
      </c>
      <c r="AH22" s="169">
        <v>0</v>
      </c>
      <c r="AI22" s="169">
        <v>0</v>
      </c>
      <c r="AJ22" s="169">
        <v>0</v>
      </c>
      <c r="AK22" s="169">
        <v>0</v>
      </c>
      <c r="AL22" s="169">
        <v>0</v>
      </c>
      <c r="AM22" s="169">
        <v>0</v>
      </c>
      <c r="AN22" s="169">
        <v>0</v>
      </c>
      <c r="AO22" s="169">
        <v>0</v>
      </c>
      <c r="AP22" s="169">
        <v>0</v>
      </c>
      <c r="AQ22" s="169">
        <v>0</v>
      </c>
      <c r="AR22" s="169">
        <v>0</v>
      </c>
      <c r="AS22" s="169">
        <v>0</v>
      </c>
      <c r="AT22" s="169">
        <v>0</v>
      </c>
      <c r="AU22" s="169">
        <v>0</v>
      </c>
      <c r="AV22" s="169">
        <v>0</v>
      </c>
      <c r="AW22" s="169">
        <v>0</v>
      </c>
    </row>
    <row r="23" spans="3:49" x14ac:dyDescent="0.3">
      <c r="C23" s="169">
        <v>54</v>
      </c>
      <c r="D23" s="169">
        <v>3</v>
      </c>
      <c r="E23" s="169">
        <v>11</v>
      </c>
      <c r="F23" s="169">
        <v>686.14630082704161</v>
      </c>
      <c r="G23" s="169">
        <v>477.8129674937083</v>
      </c>
      <c r="H23" s="169">
        <v>0</v>
      </c>
      <c r="I23" s="169">
        <v>0</v>
      </c>
      <c r="J23" s="169">
        <v>208.33333333333334</v>
      </c>
      <c r="K23" s="169">
        <v>0</v>
      </c>
      <c r="L23" s="169">
        <v>0</v>
      </c>
      <c r="M23" s="169">
        <v>0</v>
      </c>
      <c r="N23" s="169">
        <v>0</v>
      </c>
      <c r="O23" s="169">
        <v>0</v>
      </c>
      <c r="P23" s="169">
        <v>0</v>
      </c>
      <c r="Q23" s="169">
        <v>0</v>
      </c>
      <c r="R23" s="169">
        <v>0</v>
      </c>
      <c r="S23" s="169">
        <v>0</v>
      </c>
      <c r="T23" s="169">
        <v>0</v>
      </c>
      <c r="U23" s="169">
        <v>0</v>
      </c>
      <c r="V23" s="169">
        <v>0</v>
      </c>
      <c r="W23" s="169">
        <v>0</v>
      </c>
      <c r="X23" s="169">
        <v>0</v>
      </c>
      <c r="Y23" s="169">
        <v>0</v>
      </c>
      <c r="Z23" s="169">
        <v>0</v>
      </c>
      <c r="AA23" s="169">
        <v>0</v>
      </c>
      <c r="AB23" s="169">
        <v>0</v>
      </c>
      <c r="AC23" s="169">
        <v>0</v>
      </c>
      <c r="AD23" s="169">
        <v>0</v>
      </c>
      <c r="AE23" s="169">
        <v>0</v>
      </c>
      <c r="AF23" s="169">
        <v>0</v>
      </c>
      <c r="AG23" s="169">
        <v>0</v>
      </c>
      <c r="AH23" s="169">
        <v>0</v>
      </c>
      <c r="AI23" s="169">
        <v>0</v>
      </c>
      <c r="AJ23" s="169">
        <v>0</v>
      </c>
      <c r="AK23" s="169">
        <v>0</v>
      </c>
      <c r="AL23" s="169">
        <v>0</v>
      </c>
      <c r="AM23" s="169">
        <v>0</v>
      </c>
      <c r="AN23" s="169">
        <v>0</v>
      </c>
      <c r="AO23" s="169">
        <v>0</v>
      </c>
      <c r="AP23" s="169">
        <v>0</v>
      </c>
      <c r="AQ23" s="169">
        <v>0</v>
      </c>
      <c r="AR23" s="169">
        <v>0</v>
      </c>
      <c r="AS23" s="169">
        <v>0</v>
      </c>
      <c r="AT23" s="169">
        <v>0</v>
      </c>
      <c r="AU23" s="169">
        <v>0</v>
      </c>
      <c r="AV23" s="169">
        <v>0</v>
      </c>
      <c r="AW23" s="169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0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13" bestFit="1" customWidth="1"/>
    <col min="2" max="2" width="11.6640625" style="113" hidden="1" customWidth="1"/>
    <col min="3" max="4" width="11" style="115" customWidth="1"/>
    <col min="5" max="5" width="11" style="116" customWidth="1"/>
    <col min="6" max="16384" width="8.88671875" style="113"/>
  </cols>
  <sheetData>
    <row r="1" spans="1:5" ht="18.600000000000001" thickBot="1" x14ac:dyDescent="0.4">
      <c r="A1" s="282" t="s">
        <v>73</v>
      </c>
      <c r="B1" s="282"/>
      <c r="C1" s="283"/>
      <c r="D1" s="283"/>
      <c r="E1" s="283"/>
    </row>
    <row r="2" spans="1:5" ht="14.4" customHeight="1" thickBot="1" x14ac:dyDescent="0.35">
      <c r="A2" s="173" t="s">
        <v>178</v>
      </c>
      <c r="B2" s="114"/>
    </row>
    <row r="3" spans="1:5" ht="14.4" customHeight="1" thickBot="1" x14ac:dyDescent="0.35">
      <c r="A3" s="117"/>
      <c r="C3" s="118" t="s">
        <v>62</v>
      </c>
      <c r="D3" s="119" t="s">
        <v>55</v>
      </c>
      <c r="E3" s="120" t="s">
        <v>57</v>
      </c>
    </row>
    <row r="4" spans="1:5" ht="14.4" customHeight="1" thickBot="1" x14ac:dyDescent="0.35">
      <c r="A4" s="121" t="str">
        <f>HYPERLINK("#HI!A1","NÁKLADY CELKEM (v tisících Kč)")</f>
        <v>NÁKLADY CELKEM (v tisících Kč)</v>
      </c>
      <c r="B4" s="122"/>
      <c r="C4" s="123">
        <f ca="1">IF(ISERROR(VLOOKUP("Náklady celkem",INDIRECT("HI!$A:$G"),6,0)),0,VLOOKUP("Náklady celkem",INDIRECT("HI!$A:$G"),6,0))</f>
        <v>868.74752183863234</v>
      </c>
      <c r="D4" s="123">
        <f ca="1">IF(ISERROR(VLOOKUP("Náklady celkem",INDIRECT("HI!$A:$G"),5,0)),0,VLOOKUP("Náklady celkem",INDIRECT("HI!$A:$G"),5,0))</f>
        <v>942.94054000000096</v>
      </c>
      <c r="E4" s="124">
        <f ca="1">IF(C4=0,0,D4/C4)</f>
        <v>1.0854022789087734</v>
      </c>
    </row>
    <row r="5" spans="1:5" ht="14.4" customHeight="1" x14ac:dyDescent="0.3">
      <c r="A5" s="125" t="s">
        <v>82</v>
      </c>
      <c r="B5" s="126"/>
      <c r="C5" s="127"/>
      <c r="D5" s="127"/>
      <c r="E5" s="128"/>
    </row>
    <row r="6" spans="1:5" ht="14.4" customHeight="1" x14ac:dyDescent="0.3">
      <c r="A6" s="129" t="s">
        <v>87</v>
      </c>
      <c r="B6" s="130"/>
      <c r="C6" s="131"/>
      <c r="D6" s="131"/>
      <c r="E6" s="128"/>
    </row>
    <row r="7" spans="1:5" ht="14.4" customHeight="1" x14ac:dyDescent="0.3">
      <c r="A7" s="246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30" t="s">
        <v>66</v>
      </c>
      <c r="C7" s="131">
        <f>IF(ISERROR(HI!F5),"",HI!F5)</f>
        <v>1.25</v>
      </c>
      <c r="D7" s="131">
        <f>IF(ISERROR(HI!E5),"",HI!E5)</f>
        <v>0.41959999999999997</v>
      </c>
      <c r="E7" s="128">
        <f t="shared" ref="E7:E12" si="0">IF(C7=0,0,D7/C7)</f>
        <v>0.33567999999999998</v>
      </c>
    </row>
    <row r="8" spans="1:5" ht="14.4" customHeight="1" x14ac:dyDescent="0.3">
      <c r="A8" s="246" t="str">
        <f>HYPERLINK("#'LŽ Statim'!A1","Podíl statimových žádanek (max. 30%)")</f>
        <v>Podíl statimových žádanek (max. 30%)</v>
      </c>
      <c r="B8" s="244" t="s">
        <v>144</v>
      </c>
      <c r="C8" s="245">
        <v>0.3</v>
      </c>
      <c r="D8" s="245">
        <f>IF('LŽ Statim'!G3="",0,'LŽ Statim'!G3)</f>
        <v>0</v>
      </c>
      <c r="E8" s="128">
        <f>IF(C8=0,0,D8/C8)</f>
        <v>0</v>
      </c>
    </row>
    <row r="9" spans="1:5" ht="14.4" customHeight="1" x14ac:dyDescent="0.3">
      <c r="A9" s="132" t="s">
        <v>83</v>
      </c>
      <c r="B9" s="130"/>
      <c r="C9" s="131"/>
      <c r="D9" s="131"/>
      <c r="E9" s="128"/>
    </row>
    <row r="10" spans="1:5" ht="14.4" customHeight="1" x14ac:dyDescent="0.3">
      <c r="A10" s="132" t="s">
        <v>84</v>
      </c>
      <c r="B10" s="130"/>
      <c r="C10" s="131"/>
      <c r="D10" s="131"/>
      <c r="E10" s="128"/>
    </row>
    <row r="11" spans="1:5" ht="14.4" customHeight="1" x14ac:dyDescent="0.3">
      <c r="A11" s="133" t="s">
        <v>88</v>
      </c>
      <c r="B11" s="130"/>
      <c r="C11" s="127"/>
      <c r="D11" s="127"/>
      <c r="E11" s="128"/>
    </row>
    <row r="12" spans="1:5" ht="14.4" customHeight="1" x14ac:dyDescent="0.3">
      <c r="A12" s="134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2" s="130" t="s">
        <v>66</v>
      </c>
      <c r="C12" s="131">
        <f>IF(ISERROR(HI!F6),"",HI!F6)</f>
        <v>17.291666666666501</v>
      </c>
      <c r="D12" s="131">
        <f>IF(ISERROR(HI!E6),"",HI!E6)</f>
        <v>24.17698</v>
      </c>
      <c r="E12" s="128">
        <f t="shared" si="0"/>
        <v>1.3981867951807363</v>
      </c>
    </row>
    <row r="13" spans="1:5" ht="14.4" customHeight="1" thickBot="1" x14ac:dyDescent="0.35">
      <c r="A13" s="135" t="str">
        <f>HYPERLINK("#HI!A1","Osobní náklady")</f>
        <v>Osobní náklady</v>
      </c>
      <c r="B13" s="130"/>
      <c r="C13" s="127">
        <f ca="1">IF(ISERROR(VLOOKUP("Osobní náklady (Kč) *",INDIRECT("HI!$A:$G"),6,0)),0,VLOOKUP("Osobní náklady (Kč) *",INDIRECT("HI!$A:$G"),6,0))</f>
        <v>739.25</v>
      </c>
      <c r="D13" s="127">
        <f ca="1">IF(ISERROR(VLOOKUP("Osobní náklady (Kč) *",INDIRECT("HI!$A:$G"),5,0)),0,VLOOKUP("Osobní náklady (Kč) *",INDIRECT("HI!$A:$G"),5,0))</f>
        <v>773.44612000000006</v>
      </c>
      <c r="E13" s="128">
        <f ca="1">IF(C13=0,0,D13/C13)</f>
        <v>1.0462578559350695</v>
      </c>
    </row>
    <row r="14" spans="1:5" ht="14.4" customHeight="1" thickBot="1" x14ac:dyDescent="0.35">
      <c r="A14" s="139"/>
      <c r="B14" s="140"/>
      <c r="C14" s="141"/>
      <c r="D14" s="141"/>
      <c r="E14" s="142"/>
    </row>
    <row r="15" spans="1:5" ht="14.4" customHeight="1" thickBot="1" x14ac:dyDescent="0.35">
      <c r="A15" s="143" t="str">
        <f>HYPERLINK("#HI!A1","VÝNOSY CELKEM (v tisících)")</f>
        <v>VÝNOSY CELKEM (v tisících)</v>
      </c>
      <c r="B15" s="144"/>
      <c r="C15" s="145">
        <f ca="1">IF(ISERROR(VLOOKUP("Výnosy celkem",INDIRECT("HI!$A:$G"),6,0)),0,VLOOKUP("Výnosy celkem",INDIRECT("HI!$A:$G"),6,0))</f>
        <v>0</v>
      </c>
      <c r="D15" s="145">
        <f ca="1">IF(ISERROR(VLOOKUP("Výnosy celkem",INDIRECT("HI!$A:$G"),5,0)),0,VLOOKUP("Výnosy celkem",INDIRECT("HI!$A:$G"),5,0))</f>
        <v>0</v>
      </c>
      <c r="E15" s="146">
        <f t="shared" ref="E15:E16" ca="1" si="1">IF(C15=0,0,D15/C15)</f>
        <v>0</v>
      </c>
    </row>
    <row r="16" spans="1:5" ht="14.4" customHeight="1" x14ac:dyDescent="0.3">
      <c r="A16" s="147" t="str">
        <f>HYPERLINK("#HI!A1","Ambulance (body za výkony + Kč za ZUM a ZULP)")</f>
        <v>Ambulance (body za výkony + Kč za ZUM a ZULP)</v>
      </c>
      <c r="B16" s="126"/>
      <c r="C16" s="127">
        <f ca="1">IF(ISERROR(VLOOKUP("Ambulance *",INDIRECT("HI!$A:$G"),6,0)),0,VLOOKUP("Ambulance *",INDIRECT("HI!$A:$G"),6,0))</f>
        <v>0</v>
      </c>
      <c r="D16" s="127">
        <f ca="1">IF(ISERROR(VLOOKUP("Ambulance *",INDIRECT("HI!$A:$G"),5,0)),0,VLOOKUP("Ambulance *",INDIRECT("HI!$A:$G"),5,0))</f>
        <v>0</v>
      </c>
      <c r="E16" s="128">
        <f t="shared" ca="1" si="1"/>
        <v>0</v>
      </c>
    </row>
    <row r="17" spans="1:5" ht="14.4" customHeight="1" x14ac:dyDescent="0.3">
      <c r="A17" s="148" t="str">
        <f>HYPERLINK("#HI!A1","Hospitalizace (casemix * 30000)")</f>
        <v>Hospitalizace (casemix * 30000)</v>
      </c>
      <c r="B17" s="130"/>
      <c r="C17" s="127">
        <f ca="1">IF(ISERROR(VLOOKUP("Hospitalizace *",INDIRECT("HI!$A:$G"),6,0)),0,VLOOKUP("Hospitalizace *",INDIRECT("HI!$A:$G"),6,0))</f>
        <v>0</v>
      </c>
      <c r="D17" s="127">
        <f ca="1">IF(ISERROR(VLOOKUP("Hospitalizace *",INDIRECT("HI!$A:$G"),5,0)),0,VLOOKUP("Hospitalizace *",INDIRECT("HI!$A:$G"),5,0))</f>
        <v>0</v>
      </c>
      <c r="E17" s="128">
        <f ca="1">IF(C17=0,0,D17/C17)</f>
        <v>0</v>
      </c>
    </row>
    <row r="18" spans="1:5" ht="14.4" customHeight="1" thickBot="1" x14ac:dyDescent="0.35">
      <c r="A18" s="149" t="s">
        <v>85</v>
      </c>
      <c r="B18" s="136"/>
      <c r="C18" s="137"/>
      <c r="D18" s="137"/>
      <c r="E18" s="138"/>
    </row>
    <row r="19" spans="1:5" ht="14.4" customHeight="1" thickBot="1" x14ac:dyDescent="0.35">
      <c r="A19" s="150"/>
      <c r="B19" s="151"/>
      <c r="C19" s="152"/>
      <c r="D19" s="152"/>
      <c r="E19" s="153"/>
    </row>
    <row r="20" spans="1:5" ht="14.4" customHeight="1" thickBot="1" x14ac:dyDescent="0.35">
      <c r="A20" s="154" t="s">
        <v>86</v>
      </c>
      <c r="B20" s="155"/>
      <c r="C20" s="156"/>
      <c r="D20" s="156"/>
      <c r="E20" s="157"/>
    </row>
  </sheetData>
  <mergeCells count="1">
    <mergeCell ref="A1:E1"/>
  </mergeCells>
  <conditionalFormatting sqref="E5">
    <cfRule type="cellIs" dxfId="57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1">
    <cfRule type="cellIs" dxfId="56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3">
    <cfRule type="cellIs" dxfId="55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54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17">
    <cfRule type="cellIs" dxfId="53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52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8">
    <cfRule type="cellIs" dxfId="51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15">
    <cfRule type="cellIs" dxfId="50" priority="29" operator="lessThan">
      <formula>1</formula>
    </cfRule>
    <cfRule type="iconSet" priority="30">
      <iconSet iconSet="3Symbols2">
        <cfvo type="percent" val="0"/>
        <cfvo type="num" val="1"/>
        <cfvo type="num" val="1"/>
      </iconSet>
    </cfRule>
  </conditionalFormatting>
  <conditionalFormatting sqref="E4 E7 E12">
    <cfRule type="cellIs" dxfId="49" priority="35" operator="greaterThan">
      <formula>1</formula>
    </cfRule>
    <cfRule type="iconSet" priority="36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RowHeight="14.4" customHeight="1" outlineLevelCol="1" x14ac:dyDescent="0.3"/>
  <cols>
    <col min="1" max="1" width="34.21875" style="95" bestFit="1" customWidth="1"/>
    <col min="2" max="2" width="9.5546875" style="95" hidden="1" customWidth="1" outlineLevel="1"/>
    <col min="3" max="3" width="9.5546875" style="95" customWidth="1" collapsed="1"/>
    <col min="4" max="4" width="2.21875" style="95" customWidth="1"/>
    <col min="5" max="8" width="9.5546875" style="95" customWidth="1"/>
    <col min="9" max="10" width="9.77734375" style="95" hidden="1" customWidth="1" outlineLevel="1"/>
    <col min="11" max="11" width="8.88671875" style="95" collapsed="1"/>
    <col min="12" max="16384" width="8.88671875" style="95"/>
  </cols>
  <sheetData>
    <row r="1" spans="1:10" ht="18.600000000000001" customHeight="1" thickBot="1" x14ac:dyDescent="0.4">
      <c r="A1" s="293" t="s">
        <v>76</v>
      </c>
      <c r="B1" s="293"/>
      <c r="C1" s="293"/>
      <c r="D1" s="293"/>
      <c r="E1" s="293"/>
      <c r="F1" s="293"/>
      <c r="G1" s="293"/>
      <c r="H1" s="293"/>
      <c r="I1" s="293"/>
      <c r="J1" s="293"/>
    </row>
    <row r="2" spans="1:10" ht="14.4" customHeight="1" thickBot="1" x14ac:dyDescent="0.35">
      <c r="A2" s="173" t="s">
        <v>178</v>
      </c>
      <c r="B2" s="77"/>
      <c r="C2" s="77"/>
      <c r="D2" s="77"/>
      <c r="E2" s="77"/>
      <c r="F2" s="77"/>
    </row>
    <row r="3" spans="1:10" ht="14.4" customHeight="1" x14ac:dyDescent="0.3">
      <c r="A3" s="284"/>
      <c r="B3" s="73">
        <v>2015</v>
      </c>
      <c r="C3" s="40">
        <v>2016</v>
      </c>
      <c r="D3" s="7"/>
      <c r="E3" s="288">
        <v>2017</v>
      </c>
      <c r="F3" s="289"/>
      <c r="G3" s="289"/>
      <c r="H3" s="290"/>
      <c r="I3" s="291">
        <v>2017</v>
      </c>
      <c r="J3" s="292"/>
    </row>
    <row r="4" spans="1:10" ht="14.4" customHeight="1" thickBot="1" x14ac:dyDescent="0.35">
      <c r="A4" s="285"/>
      <c r="B4" s="286" t="s">
        <v>55</v>
      </c>
      <c r="C4" s="287"/>
      <c r="D4" s="7"/>
      <c r="E4" s="94" t="s">
        <v>55</v>
      </c>
      <c r="F4" s="75" t="s">
        <v>56</v>
      </c>
      <c r="G4" s="75" t="s">
        <v>52</v>
      </c>
      <c r="H4" s="76" t="s">
        <v>57</v>
      </c>
      <c r="I4" s="251" t="s">
        <v>169</v>
      </c>
      <c r="J4" s="252" t="s">
        <v>170</v>
      </c>
    </row>
    <row r="5" spans="1:10" ht="14.4" customHeight="1" x14ac:dyDescent="0.3">
      <c r="A5" s="78" t="str">
        <f>HYPERLINK("#'Léky Žádanky'!A1","Léky (Kč)")</f>
        <v>Léky (Kč)</v>
      </c>
      <c r="B5" s="27">
        <v>0.40909000000000001</v>
      </c>
      <c r="C5" s="29">
        <v>0.15182999999999999</v>
      </c>
      <c r="D5" s="8"/>
      <c r="E5" s="83">
        <v>0.41959999999999997</v>
      </c>
      <c r="F5" s="28">
        <v>1.25</v>
      </c>
      <c r="G5" s="82">
        <f>E5-F5</f>
        <v>-0.83040000000000003</v>
      </c>
      <c r="H5" s="88">
        <f>IF(F5&lt;0.00000001,"",E5/F5)</f>
        <v>0.33567999999999998</v>
      </c>
    </row>
    <row r="6" spans="1:10" ht="14.4" customHeight="1" x14ac:dyDescent="0.3">
      <c r="A6" s="78" t="str">
        <f>HYPERLINK("#'Materiál Žádanky'!A1","Materiál - SZM (Kč)")</f>
        <v>Materiál - SZM (Kč)</v>
      </c>
      <c r="B6" s="10">
        <v>16.31419</v>
      </c>
      <c r="C6" s="31">
        <v>13.950959999999998</v>
      </c>
      <c r="D6" s="8"/>
      <c r="E6" s="84">
        <v>24.17698</v>
      </c>
      <c r="F6" s="30">
        <v>17.291666666666501</v>
      </c>
      <c r="G6" s="85">
        <f>E6-F6</f>
        <v>6.8853133333334995</v>
      </c>
      <c r="H6" s="89">
        <f>IF(F6&lt;0.00000001,"",E6/F6)</f>
        <v>1.3981867951807363</v>
      </c>
    </row>
    <row r="7" spans="1:10" ht="14.4" customHeight="1" x14ac:dyDescent="0.3">
      <c r="A7" s="78" t="str">
        <f>HYPERLINK("#'Osobní náklady'!A1","Osobní náklady (Kč) *")</f>
        <v>Osobní náklady (Kč) *</v>
      </c>
      <c r="B7" s="10">
        <v>646.16332000000102</v>
      </c>
      <c r="C7" s="31">
        <v>682.75252999999998</v>
      </c>
      <c r="D7" s="8"/>
      <c r="E7" s="84">
        <v>773.44612000000006</v>
      </c>
      <c r="F7" s="30">
        <v>739.25</v>
      </c>
      <c r="G7" s="85">
        <f>E7-F7</f>
        <v>34.196120000000064</v>
      </c>
      <c r="H7" s="89">
        <f>IF(F7&lt;0.00000001,"",E7/F7)</f>
        <v>1.0462578559350695</v>
      </c>
    </row>
    <row r="8" spans="1:10" ht="14.4" customHeight="1" thickBot="1" x14ac:dyDescent="0.35">
      <c r="A8" s="1" t="s">
        <v>58</v>
      </c>
      <c r="B8" s="11">
        <v>154.69729000000001</v>
      </c>
      <c r="C8" s="33">
        <v>133.95397000000017</v>
      </c>
      <c r="D8" s="8"/>
      <c r="E8" s="86">
        <v>144.89784000000088</v>
      </c>
      <c r="F8" s="32">
        <v>110.95585517196584</v>
      </c>
      <c r="G8" s="87">
        <f>E8-F8</f>
        <v>33.941984828035046</v>
      </c>
      <c r="H8" s="90">
        <f>IF(F8&lt;0.00000001,"",E8/F8)</f>
        <v>1.3059053059924579</v>
      </c>
    </row>
    <row r="9" spans="1:10" ht="14.4" customHeight="1" thickBot="1" x14ac:dyDescent="0.35">
      <c r="A9" s="2" t="s">
        <v>59</v>
      </c>
      <c r="B9" s="3">
        <v>817.58389000000102</v>
      </c>
      <c r="C9" s="35">
        <v>830.80929000000015</v>
      </c>
      <c r="D9" s="8"/>
      <c r="E9" s="3">
        <v>942.94054000000096</v>
      </c>
      <c r="F9" s="34">
        <v>868.74752183863234</v>
      </c>
      <c r="G9" s="34">
        <f>E9-F9</f>
        <v>74.193018161368627</v>
      </c>
      <c r="H9" s="91">
        <f>IF(F9&lt;0.00000001,"",E9/F9)</f>
        <v>1.0854022789087734</v>
      </c>
    </row>
    <row r="10" spans="1:10" ht="14.4" customHeight="1" thickBot="1" x14ac:dyDescent="0.35">
      <c r="A10" s="12"/>
      <c r="B10" s="12"/>
      <c r="C10" s="74"/>
      <c r="D10" s="8"/>
      <c r="E10" s="12"/>
      <c r="F10" s="13"/>
    </row>
    <row r="11" spans="1:10" ht="14.4" customHeight="1" x14ac:dyDescent="0.3">
      <c r="A11" s="98" t="str">
        <f>HYPERLINK("#'ZV Vykáz.-A'!A1","Ambulance *")</f>
        <v>Ambulance *</v>
      </c>
      <c r="B11" s="9">
        <f>IF(ISERROR(VLOOKUP("Celkem:",#REF!,2,0)),0,VLOOKUP("Celkem:",#REF!,2,0)/1000)</f>
        <v>0</v>
      </c>
      <c r="C11" s="29">
        <f>IF(ISERROR(VLOOKUP("Celkem:",#REF!,5,0)),0,VLOOKUP("Celkem:",#REF!,5,0)/1000)</f>
        <v>0</v>
      </c>
      <c r="D11" s="8"/>
      <c r="E11" s="83">
        <f>IF(ISERROR(VLOOKUP("Celkem:",#REF!,8,0)),0,VLOOKUP("Celkem:",#REF!,8,0)/1000)</f>
        <v>0</v>
      </c>
      <c r="F11" s="28">
        <f>C11</f>
        <v>0</v>
      </c>
      <c r="G11" s="82">
        <f>E11-F11</f>
        <v>0</v>
      </c>
      <c r="H11" s="88" t="str">
        <f>IF(F11&lt;0.00000001,"",E11/F11)</f>
        <v/>
      </c>
      <c r="I11" s="82">
        <f>E11-B11</f>
        <v>0</v>
      </c>
      <c r="J11" s="88" t="str">
        <f>IF(B11&lt;0.00000001,"",E11/B11)</f>
        <v/>
      </c>
    </row>
    <row r="12" spans="1:10" ht="14.4" customHeight="1" thickBot="1" x14ac:dyDescent="0.35">
      <c r="A12" s="99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86">
        <f>IF(ISERROR(VLOOKUP("Celkem",#REF!,4,0)),0,VLOOKUP("Celkem",#REF!,4,0)*30)</f>
        <v>0</v>
      </c>
      <c r="F12" s="32">
        <f>C12</f>
        <v>0</v>
      </c>
      <c r="G12" s="87">
        <f>E12-F12</f>
        <v>0</v>
      </c>
      <c r="H12" s="90" t="str">
        <f>IF(F12&lt;0.00000001,"",E12/F12)</f>
        <v/>
      </c>
      <c r="I12" s="87">
        <f>E12-B12</f>
        <v>0</v>
      </c>
      <c r="J12" s="90" t="str">
        <f>IF(B12&lt;0.00000001,"",E12/B12)</f>
        <v/>
      </c>
    </row>
    <row r="13" spans="1:10" ht="14.4" customHeight="1" thickBot="1" x14ac:dyDescent="0.35">
      <c r="A13" s="4" t="s">
        <v>60</v>
      </c>
      <c r="B13" s="5">
        <f>SUM(B11:B12)</f>
        <v>0</v>
      </c>
      <c r="C13" s="37">
        <f>SUM(C11:C12)</f>
        <v>0</v>
      </c>
      <c r="D13" s="8"/>
      <c r="E13" s="5">
        <f>SUM(E11:E12)</f>
        <v>0</v>
      </c>
      <c r="F13" s="36">
        <f>SUM(F11:F12)</f>
        <v>0</v>
      </c>
      <c r="G13" s="36">
        <f>E13-F13</f>
        <v>0</v>
      </c>
      <c r="H13" s="92" t="str">
        <f>IF(F13&lt;0.00000001,"",E13/F13)</f>
        <v/>
      </c>
      <c r="I13" s="36">
        <f>SUM(I11:I12)</f>
        <v>0</v>
      </c>
      <c r="J13" s="92" t="str">
        <f>IF(B13&lt;0.00000001,"",E13/B13)</f>
        <v/>
      </c>
    </row>
    <row r="14" spans="1:10" ht="14.4" customHeight="1" thickBot="1" x14ac:dyDescent="0.35">
      <c r="A14" s="12"/>
      <c r="B14" s="12"/>
      <c r="C14" s="74"/>
      <c r="D14" s="8"/>
      <c r="E14" s="12"/>
      <c r="F14" s="13"/>
    </row>
    <row r="15" spans="1:10" ht="14.4" customHeight="1" thickBot="1" x14ac:dyDescent="0.35">
      <c r="A15" s="100" t="str">
        <f>HYPERLINK("#'HI Graf'!A1","Hospodářský index (Výnosy / Náklady) *")</f>
        <v>Hospodářský index (Výnosy / Náklady) *</v>
      </c>
      <c r="B15" s="6">
        <f>IF(B9=0,"",B13/B9)</f>
        <v>0</v>
      </c>
      <c r="C15" s="39">
        <f>IF(C9=0,"",C13/C9)</f>
        <v>0</v>
      </c>
      <c r="D15" s="8"/>
      <c r="E15" s="6">
        <f>IF(E9=0,"",E13/E9)</f>
        <v>0</v>
      </c>
      <c r="F15" s="38">
        <f>IF(F9=0,"",F13/F9)</f>
        <v>0</v>
      </c>
      <c r="G15" s="38">
        <f>IF(ISERROR(F15-E15),"",E15-F15)</f>
        <v>0</v>
      </c>
      <c r="H15" s="93" t="str">
        <f>IF(ISERROR(F15-E15),"",IF(F15&lt;0.00000001,"",E15/F15))</f>
        <v/>
      </c>
    </row>
    <row r="17" spans="1:8" ht="14.4" customHeight="1" x14ac:dyDescent="0.3">
      <c r="A17" s="79" t="s">
        <v>90</v>
      </c>
    </row>
    <row r="18" spans="1:8" ht="14.4" customHeight="1" x14ac:dyDescent="0.3">
      <c r="A18" s="222" t="s">
        <v>121</v>
      </c>
      <c r="B18" s="223"/>
      <c r="C18" s="223"/>
      <c r="D18" s="223"/>
      <c r="E18" s="223"/>
      <c r="F18" s="223"/>
      <c r="G18" s="223"/>
      <c r="H18" s="223"/>
    </row>
    <row r="19" spans="1:8" x14ac:dyDescent="0.3">
      <c r="A19" s="221" t="s">
        <v>120</v>
      </c>
      <c r="B19" s="223"/>
      <c r="C19" s="223"/>
      <c r="D19" s="223"/>
      <c r="E19" s="223"/>
      <c r="F19" s="223"/>
      <c r="G19" s="223"/>
      <c r="H19" s="223"/>
    </row>
    <row r="20" spans="1:8" ht="14.4" customHeight="1" x14ac:dyDescent="0.3">
      <c r="A20" s="80" t="s">
        <v>145</v>
      </c>
    </row>
    <row r="21" spans="1:8" ht="14.4" customHeight="1" x14ac:dyDescent="0.3">
      <c r="A21" s="80" t="s">
        <v>91</v>
      </c>
    </row>
    <row r="22" spans="1:8" ht="14.4" customHeight="1" x14ac:dyDescent="0.3">
      <c r="A22" s="81" t="s">
        <v>168</v>
      </c>
    </row>
    <row r="23" spans="1:8" ht="14.4" customHeight="1" x14ac:dyDescent="0.3">
      <c r="A23" s="81" t="s">
        <v>92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48" priority="8" operator="greaterThan">
      <formula>0</formula>
    </cfRule>
  </conditionalFormatting>
  <conditionalFormatting sqref="G11:G13 G15">
    <cfRule type="cellIs" dxfId="47" priority="7" operator="lessThan">
      <formula>0</formula>
    </cfRule>
  </conditionalFormatting>
  <conditionalFormatting sqref="H5:H9">
    <cfRule type="cellIs" dxfId="46" priority="6" operator="greaterThan">
      <formula>1</formula>
    </cfRule>
  </conditionalFormatting>
  <conditionalFormatting sqref="H11:H13 H15">
    <cfRule type="cellIs" dxfId="45" priority="5" operator="lessThan">
      <formula>1</formula>
    </cfRule>
  </conditionalFormatting>
  <conditionalFormatting sqref="I11:I13">
    <cfRule type="cellIs" dxfId="44" priority="4" operator="lessThan">
      <formula>0</formula>
    </cfRule>
  </conditionalFormatting>
  <conditionalFormatting sqref="J11:J13">
    <cfRule type="cellIs" dxfId="43" priority="3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95" bestFit="1" customWidth="1"/>
    <col min="2" max="2" width="12.77734375" style="95" bestFit="1" customWidth="1"/>
    <col min="3" max="3" width="13.6640625" style="95" bestFit="1" customWidth="1"/>
    <col min="4" max="15" width="7.77734375" style="95" bestFit="1" customWidth="1"/>
    <col min="16" max="16" width="8.88671875" style="95" customWidth="1"/>
    <col min="17" max="17" width="6.6640625" style="95" bestFit="1" customWidth="1"/>
    <col min="18" max="16384" width="8.88671875" style="95"/>
  </cols>
  <sheetData>
    <row r="1" spans="1:17" s="158" customFormat="1" ht="18.600000000000001" customHeight="1" thickBot="1" x14ac:dyDescent="0.4">
      <c r="A1" s="294" t="s">
        <v>180</v>
      </c>
      <c r="B1" s="294"/>
      <c r="C1" s="294"/>
      <c r="D1" s="294"/>
      <c r="E1" s="294"/>
      <c r="F1" s="294"/>
      <c r="G1" s="294"/>
      <c r="H1" s="282"/>
      <c r="I1" s="282"/>
      <c r="J1" s="282"/>
      <c r="K1" s="282"/>
      <c r="L1" s="282"/>
      <c r="M1" s="282"/>
      <c r="N1" s="282"/>
      <c r="O1" s="282"/>
      <c r="P1" s="282"/>
      <c r="Q1" s="282"/>
    </row>
    <row r="2" spans="1:17" s="158" customFormat="1" ht="14.4" customHeight="1" thickBot="1" x14ac:dyDescent="0.3">
      <c r="A2" s="173" t="s">
        <v>178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59"/>
    </row>
    <row r="3" spans="1:17" ht="14.4" customHeight="1" x14ac:dyDescent="0.3">
      <c r="A3" s="58"/>
      <c r="B3" s="295" t="s">
        <v>13</v>
      </c>
      <c r="C3" s="296"/>
      <c r="D3" s="296"/>
      <c r="E3" s="296"/>
      <c r="F3" s="296"/>
      <c r="G3" s="296"/>
      <c r="H3" s="296"/>
      <c r="I3" s="296"/>
      <c r="J3" s="296"/>
      <c r="K3" s="296"/>
      <c r="L3" s="296"/>
      <c r="M3" s="296"/>
      <c r="N3" s="296"/>
      <c r="O3" s="296"/>
      <c r="P3" s="103"/>
      <c r="Q3" s="105"/>
    </row>
    <row r="4" spans="1:17" ht="14.4" customHeight="1" x14ac:dyDescent="0.3">
      <c r="A4" s="59"/>
      <c r="B4" s="20">
        <v>2017</v>
      </c>
      <c r="C4" s="104" t="s">
        <v>14</v>
      </c>
      <c r="D4" s="250" t="s">
        <v>147</v>
      </c>
      <c r="E4" s="250" t="s">
        <v>148</v>
      </c>
      <c r="F4" s="250" t="s">
        <v>149</v>
      </c>
      <c r="G4" s="250" t="s">
        <v>150</v>
      </c>
      <c r="H4" s="250" t="s">
        <v>151</v>
      </c>
      <c r="I4" s="250" t="s">
        <v>152</v>
      </c>
      <c r="J4" s="250" t="s">
        <v>153</v>
      </c>
      <c r="K4" s="250" t="s">
        <v>154</v>
      </c>
      <c r="L4" s="250" t="s">
        <v>155</v>
      </c>
      <c r="M4" s="250" t="s">
        <v>156</v>
      </c>
      <c r="N4" s="250" t="s">
        <v>157</v>
      </c>
      <c r="O4" s="250" t="s">
        <v>158</v>
      </c>
      <c r="P4" s="297" t="s">
        <v>2</v>
      </c>
      <c r="Q4" s="298"/>
    </row>
    <row r="5" spans="1:17" ht="14.4" customHeight="1" thickBot="1" x14ac:dyDescent="0.35">
      <c r="A5" s="60"/>
      <c r="B5" s="21" t="s">
        <v>15</v>
      </c>
      <c r="C5" s="22" t="s">
        <v>15</v>
      </c>
      <c r="D5" s="22" t="s">
        <v>16</v>
      </c>
      <c r="E5" s="22" t="s">
        <v>16</v>
      </c>
      <c r="F5" s="22" t="s">
        <v>16</v>
      </c>
      <c r="G5" s="22" t="s">
        <v>16</v>
      </c>
      <c r="H5" s="22" t="s">
        <v>16</v>
      </c>
      <c r="I5" s="22" t="s">
        <v>16</v>
      </c>
      <c r="J5" s="22" t="s">
        <v>16</v>
      </c>
      <c r="K5" s="22" t="s">
        <v>16</v>
      </c>
      <c r="L5" s="22" t="s">
        <v>16</v>
      </c>
      <c r="M5" s="22" t="s">
        <v>16</v>
      </c>
      <c r="N5" s="22" t="s">
        <v>16</v>
      </c>
      <c r="O5" s="22" t="s">
        <v>16</v>
      </c>
      <c r="P5" s="22" t="s">
        <v>16</v>
      </c>
      <c r="Q5" s="23" t="s">
        <v>17</v>
      </c>
    </row>
    <row r="6" spans="1:17" ht="14.4" customHeight="1" x14ac:dyDescent="0.3">
      <c r="A6" s="14" t="s">
        <v>18</v>
      </c>
      <c r="B6" s="43">
        <v>0</v>
      </c>
      <c r="C6" s="44">
        <v>0</v>
      </c>
      <c r="D6" s="44">
        <v>0</v>
      </c>
      <c r="E6" s="44">
        <v>0</v>
      </c>
      <c r="F6" s="44">
        <v>0</v>
      </c>
      <c r="G6" s="44">
        <v>0</v>
      </c>
      <c r="H6" s="44">
        <v>0</v>
      </c>
      <c r="I6" s="44">
        <v>0</v>
      </c>
      <c r="J6" s="44">
        <v>0</v>
      </c>
      <c r="K6" s="44">
        <v>0</v>
      </c>
      <c r="L6" s="44">
        <v>0</v>
      </c>
      <c r="M6" s="44">
        <v>0</v>
      </c>
      <c r="N6" s="44">
        <v>0</v>
      </c>
      <c r="O6" s="44">
        <v>0</v>
      </c>
      <c r="P6" s="45">
        <v>0</v>
      </c>
      <c r="Q6" s="67" t="s">
        <v>179</v>
      </c>
    </row>
    <row r="7" spans="1:17" ht="14.4" customHeight="1" x14ac:dyDescent="0.3">
      <c r="A7" s="15" t="s">
        <v>19</v>
      </c>
      <c r="B7" s="46">
        <v>5</v>
      </c>
      <c r="C7" s="47">
        <v>0.416666666666</v>
      </c>
      <c r="D7" s="47">
        <v>0.41959999999999997</v>
      </c>
      <c r="E7" s="47">
        <v>0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v>0</v>
      </c>
      <c r="O7" s="47">
        <v>0</v>
      </c>
      <c r="P7" s="48">
        <v>0.41959999999999997</v>
      </c>
      <c r="Q7" s="68">
        <v>0.33567999999999998</v>
      </c>
    </row>
    <row r="8" spans="1:17" ht="14.4" customHeight="1" x14ac:dyDescent="0.3">
      <c r="A8" s="15" t="s">
        <v>20</v>
      </c>
      <c r="B8" s="46">
        <v>0</v>
      </c>
      <c r="C8" s="47">
        <v>0</v>
      </c>
      <c r="D8" s="47">
        <v>0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v>0</v>
      </c>
      <c r="P8" s="48">
        <v>0</v>
      </c>
      <c r="Q8" s="68" t="s">
        <v>179</v>
      </c>
    </row>
    <row r="9" spans="1:17" ht="14.4" customHeight="1" x14ac:dyDescent="0.3">
      <c r="A9" s="15" t="s">
        <v>21</v>
      </c>
      <c r="B9" s="46">
        <v>69.166666666666003</v>
      </c>
      <c r="C9" s="47">
        <v>5.7638888888880002</v>
      </c>
      <c r="D9" s="47">
        <v>9.3679900000000007</v>
      </c>
      <c r="E9" s="47">
        <v>1.4279999999999999</v>
      </c>
      <c r="F9" s="47">
        <v>13.380990000000001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v>0</v>
      </c>
      <c r="O9" s="47">
        <v>0</v>
      </c>
      <c r="P9" s="48">
        <v>24.17698</v>
      </c>
      <c r="Q9" s="68">
        <v>1.39818679518</v>
      </c>
    </row>
    <row r="10" spans="1:17" ht="14.4" customHeight="1" x14ac:dyDescent="0.3">
      <c r="A10" s="15" t="s">
        <v>22</v>
      </c>
      <c r="B10" s="46">
        <v>0</v>
      </c>
      <c r="C10" s="47">
        <v>0</v>
      </c>
      <c r="D10" s="47">
        <v>0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v>0</v>
      </c>
      <c r="P10" s="48">
        <v>0</v>
      </c>
      <c r="Q10" s="68" t="s">
        <v>179</v>
      </c>
    </row>
    <row r="11" spans="1:17" ht="14.4" customHeight="1" x14ac:dyDescent="0.3">
      <c r="A11" s="15" t="s">
        <v>23</v>
      </c>
      <c r="B11" s="46">
        <v>179.59544833546599</v>
      </c>
      <c r="C11" s="47">
        <v>14.966287361288</v>
      </c>
      <c r="D11" s="47">
        <v>31.756910000000001</v>
      </c>
      <c r="E11" s="47">
        <v>5.2434500000000002</v>
      </c>
      <c r="F11" s="47">
        <v>9.4149600000000007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v>0</v>
      </c>
      <c r="O11" s="47">
        <v>0</v>
      </c>
      <c r="P11" s="48">
        <v>46.415320000000001</v>
      </c>
      <c r="Q11" s="68">
        <v>1.03377497437</v>
      </c>
    </row>
    <row r="12" spans="1:17" ht="14.4" customHeight="1" x14ac:dyDescent="0.3">
      <c r="A12" s="15" t="s">
        <v>24</v>
      </c>
      <c r="B12" s="46">
        <v>0.28258659069399999</v>
      </c>
      <c r="C12" s="47">
        <v>2.3548882556999998E-2</v>
      </c>
      <c r="D12" s="47">
        <v>0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v>0</v>
      </c>
      <c r="O12" s="47">
        <v>0</v>
      </c>
      <c r="P12" s="48">
        <v>0</v>
      </c>
      <c r="Q12" s="68">
        <v>0</v>
      </c>
    </row>
    <row r="13" spans="1:17" ht="14.4" customHeight="1" x14ac:dyDescent="0.3">
      <c r="A13" s="15" t="s">
        <v>25</v>
      </c>
      <c r="B13" s="46">
        <v>0</v>
      </c>
      <c r="C13" s="47">
        <v>0</v>
      </c>
      <c r="D13" s="47">
        <v>0</v>
      </c>
      <c r="E13" s="47">
        <v>0</v>
      </c>
      <c r="F13" s="47">
        <v>0.26378000000000001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v>0</v>
      </c>
      <c r="O13" s="47">
        <v>0</v>
      </c>
      <c r="P13" s="48">
        <v>0.26378000000000001</v>
      </c>
      <c r="Q13" s="68" t="s">
        <v>179</v>
      </c>
    </row>
    <row r="14" spans="1:17" ht="14.4" customHeight="1" x14ac:dyDescent="0.3">
      <c r="A14" s="15" t="s">
        <v>26</v>
      </c>
      <c r="B14" s="46">
        <v>66.868659554657995</v>
      </c>
      <c r="C14" s="47">
        <v>5.5723882962209998</v>
      </c>
      <c r="D14" s="47">
        <v>4.1040000000000001</v>
      </c>
      <c r="E14" s="47">
        <v>3.726</v>
      </c>
      <c r="F14" s="47">
        <v>3.84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v>0</v>
      </c>
      <c r="O14" s="47">
        <v>0</v>
      </c>
      <c r="P14" s="48">
        <v>11.67</v>
      </c>
      <c r="Q14" s="68">
        <v>0.69808487729299995</v>
      </c>
    </row>
    <row r="15" spans="1:17" ht="14.4" customHeight="1" x14ac:dyDescent="0.3">
      <c r="A15" s="15" t="s">
        <v>27</v>
      </c>
      <c r="B15" s="46">
        <v>0</v>
      </c>
      <c r="C15" s="47">
        <v>0</v>
      </c>
      <c r="D15" s="47">
        <v>0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v>0</v>
      </c>
      <c r="P15" s="48">
        <v>0</v>
      </c>
      <c r="Q15" s="68" t="s">
        <v>179</v>
      </c>
    </row>
    <row r="16" spans="1:17" ht="14.4" customHeight="1" x14ac:dyDescent="0.3">
      <c r="A16" s="15" t="s">
        <v>28</v>
      </c>
      <c r="B16" s="46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v>0</v>
      </c>
      <c r="P16" s="48">
        <v>0</v>
      </c>
      <c r="Q16" s="68" t="s">
        <v>179</v>
      </c>
    </row>
    <row r="17" spans="1:17" ht="14.4" customHeight="1" x14ac:dyDescent="0.3">
      <c r="A17" s="15" t="s">
        <v>29</v>
      </c>
      <c r="B17" s="46">
        <v>2.517552208528</v>
      </c>
      <c r="C17" s="47">
        <v>0.20979601737699999</v>
      </c>
      <c r="D17" s="47">
        <v>0</v>
      </c>
      <c r="E17" s="47">
        <v>0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v>0</v>
      </c>
      <c r="O17" s="47">
        <v>0</v>
      </c>
      <c r="P17" s="48">
        <v>0</v>
      </c>
      <c r="Q17" s="68">
        <v>0</v>
      </c>
    </row>
    <row r="18" spans="1:17" ht="14.4" customHeight="1" x14ac:dyDescent="0.3">
      <c r="A18" s="15" t="s">
        <v>30</v>
      </c>
      <c r="B18" s="46">
        <v>0</v>
      </c>
      <c r="C18" s="47">
        <v>0</v>
      </c>
      <c r="D18" s="47">
        <v>0.14399999999999999</v>
      </c>
      <c r="E18" s="47">
        <v>3.18</v>
      </c>
      <c r="F18" s="47">
        <v>10.766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v>0</v>
      </c>
      <c r="O18" s="47">
        <v>0</v>
      </c>
      <c r="P18" s="48">
        <v>14.09</v>
      </c>
      <c r="Q18" s="68" t="s">
        <v>179</v>
      </c>
    </row>
    <row r="19" spans="1:17" ht="14.4" customHeight="1" x14ac:dyDescent="0.3">
      <c r="A19" s="15" t="s">
        <v>31</v>
      </c>
      <c r="B19" s="46">
        <v>122.55917399851501</v>
      </c>
      <c r="C19" s="47">
        <v>10.213264499876001</v>
      </c>
      <c r="D19" s="47">
        <v>4.7518200000000004</v>
      </c>
      <c r="E19" s="47">
        <v>7.2326600000000001</v>
      </c>
      <c r="F19" s="47">
        <v>34.160260000000001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v>0</v>
      </c>
      <c r="O19" s="47">
        <v>0</v>
      </c>
      <c r="P19" s="48">
        <v>46.144739999999999</v>
      </c>
      <c r="Q19" s="68">
        <v>1.506039523424</v>
      </c>
    </row>
    <row r="20" spans="1:17" ht="14.4" customHeight="1" x14ac:dyDescent="0.3">
      <c r="A20" s="15" t="s">
        <v>32</v>
      </c>
      <c r="B20" s="46">
        <v>2957</v>
      </c>
      <c r="C20" s="47">
        <v>246.416666666667</v>
      </c>
      <c r="D20" s="47">
        <v>252.43528000000001</v>
      </c>
      <c r="E20" s="47">
        <v>252.80431999999999</v>
      </c>
      <c r="F20" s="47">
        <v>268.20652000000001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v>0</v>
      </c>
      <c r="O20" s="47">
        <v>0</v>
      </c>
      <c r="P20" s="48">
        <v>773.44611999999995</v>
      </c>
      <c r="Q20" s="68">
        <v>1.046257855935</v>
      </c>
    </row>
    <row r="21" spans="1:17" ht="14.4" customHeight="1" x14ac:dyDescent="0.3">
      <c r="A21" s="16" t="s">
        <v>33</v>
      </c>
      <c r="B21" s="46">
        <v>72</v>
      </c>
      <c r="C21" s="47">
        <v>6</v>
      </c>
      <c r="D21" s="47">
        <v>5.9379999999999997</v>
      </c>
      <c r="E21" s="47">
        <v>5.9379999999999997</v>
      </c>
      <c r="F21" s="47">
        <v>5.9379999999999997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v>0</v>
      </c>
      <c r="O21" s="47">
        <v>0</v>
      </c>
      <c r="P21" s="48">
        <v>17.814</v>
      </c>
      <c r="Q21" s="68">
        <v>0.98966666666600001</v>
      </c>
    </row>
    <row r="22" spans="1:17" ht="14.4" customHeight="1" x14ac:dyDescent="0.3">
      <c r="A22" s="15" t="s">
        <v>34</v>
      </c>
      <c r="B22" s="46">
        <v>0</v>
      </c>
      <c r="C22" s="47">
        <v>0</v>
      </c>
      <c r="D22" s="47">
        <v>0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v>0</v>
      </c>
      <c r="P22" s="48">
        <v>0</v>
      </c>
      <c r="Q22" s="68" t="s">
        <v>179</v>
      </c>
    </row>
    <row r="23" spans="1:17" ht="14.4" customHeight="1" x14ac:dyDescent="0.3">
      <c r="A23" s="16" t="s">
        <v>35</v>
      </c>
      <c r="B23" s="46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v>0</v>
      </c>
      <c r="P23" s="48">
        <v>0</v>
      </c>
      <c r="Q23" s="68" t="s">
        <v>179</v>
      </c>
    </row>
    <row r="24" spans="1:17" ht="14.4" customHeight="1" x14ac:dyDescent="0.3">
      <c r="A24" s="16" t="s">
        <v>36</v>
      </c>
      <c r="B24" s="46">
        <v>0</v>
      </c>
      <c r="C24" s="47">
        <v>0</v>
      </c>
      <c r="D24" s="47">
        <v>0</v>
      </c>
      <c r="E24" s="47">
        <v>3.94</v>
      </c>
      <c r="F24" s="47">
        <v>4.5599999999999996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v>0</v>
      </c>
      <c r="O24" s="47">
        <v>0</v>
      </c>
      <c r="P24" s="48">
        <v>8.5</v>
      </c>
      <c r="Q24" s="68"/>
    </row>
    <row r="25" spans="1:17" ht="14.4" customHeight="1" x14ac:dyDescent="0.3">
      <c r="A25" s="17" t="s">
        <v>37</v>
      </c>
      <c r="B25" s="49">
        <v>3474.9900873545298</v>
      </c>
      <c r="C25" s="50">
        <v>289.58250727954402</v>
      </c>
      <c r="D25" s="50">
        <v>308.91759999999999</v>
      </c>
      <c r="E25" s="50">
        <v>283.49243000000001</v>
      </c>
      <c r="F25" s="50">
        <v>350.53051000000102</v>
      </c>
      <c r="G25" s="50">
        <v>0</v>
      </c>
      <c r="H25" s="50">
        <v>0</v>
      </c>
      <c r="I25" s="50">
        <v>0</v>
      </c>
      <c r="J25" s="50">
        <v>0</v>
      </c>
      <c r="K25" s="50">
        <v>0</v>
      </c>
      <c r="L25" s="50">
        <v>0</v>
      </c>
      <c r="M25" s="50">
        <v>0</v>
      </c>
      <c r="N25" s="50">
        <v>0</v>
      </c>
      <c r="O25" s="50">
        <v>0</v>
      </c>
      <c r="P25" s="51">
        <v>942.94054000000096</v>
      </c>
      <c r="Q25" s="69">
        <v>1.085402278908</v>
      </c>
    </row>
    <row r="26" spans="1:17" ht="14.4" customHeight="1" x14ac:dyDescent="0.3">
      <c r="A26" s="15" t="s">
        <v>38</v>
      </c>
      <c r="B26" s="46">
        <v>442.79417767830699</v>
      </c>
      <c r="C26" s="47">
        <v>36.899514806524998</v>
      </c>
      <c r="D26" s="47">
        <v>37.882550000000002</v>
      </c>
      <c r="E26" s="47">
        <v>29.726120000000002</v>
      </c>
      <c r="F26" s="47">
        <v>42.121760000000002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v>0</v>
      </c>
      <c r="O26" s="47">
        <v>0</v>
      </c>
      <c r="P26" s="48">
        <v>109.73043</v>
      </c>
      <c r="Q26" s="68">
        <v>0.99125449729500004</v>
      </c>
    </row>
    <row r="27" spans="1:17" ht="14.4" customHeight="1" x14ac:dyDescent="0.3">
      <c r="A27" s="18" t="s">
        <v>39</v>
      </c>
      <c r="B27" s="49">
        <v>3917.7842650328398</v>
      </c>
      <c r="C27" s="50">
        <v>326.48202208607</v>
      </c>
      <c r="D27" s="50">
        <v>346.80014999999997</v>
      </c>
      <c r="E27" s="50">
        <v>313.21854999999999</v>
      </c>
      <c r="F27" s="50">
        <v>392.65227000000101</v>
      </c>
      <c r="G27" s="50">
        <v>0</v>
      </c>
      <c r="H27" s="50">
        <v>0</v>
      </c>
      <c r="I27" s="50">
        <v>0</v>
      </c>
      <c r="J27" s="50">
        <v>0</v>
      </c>
      <c r="K27" s="50">
        <v>0</v>
      </c>
      <c r="L27" s="50">
        <v>0</v>
      </c>
      <c r="M27" s="50">
        <v>0</v>
      </c>
      <c r="N27" s="50">
        <v>0</v>
      </c>
      <c r="O27" s="50">
        <v>0</v>
      </c>
      <c r="P27" s="51">
        <v>1052.6709699999999</v>
      </c>
      <c r="Q27" s="69">
        <v>1.0747615476379999</v>
      </c>
    </row>
    <row r="28" spans="1:17" ht="14.4" customHeight="1" x14ac:dyDescent="0.3">
      <c r="A28" s="16" t="s">
        <v>40</v>
      </c>
      <c r="B28" s="46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v>0</v>
      </c>
      <c r="O28" s="47">
        <v>0</v>
      </c>
      <c r="P28" s="48">
        <v>0</v>
      </c>
      <c r="Q28" s="68">
        <v>0</v>
      </c>
    </row>
    <row r="29" spans="1:17" ht="14.4" customHeight="1" x14ac:dyDescent="0.3">
      <c r="A29" s="16" t="s">
        <v>41</v>
      </c>
      <c r="B29" s="46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v>0</v>
      </c>
      <c r="P29" s="48">
        <v>0</v>
      </c>
      <c r="Q29" s="68" t="s">
        <v>179</v>
      </c>
    </row>
    <row r="30" spans="1:17" ht="14.4" customHeight="1" x14ac:dyDescent="0.3">
      <c r="A30" s="16" t="s">
        <v>42</v>
      </c>
      <c r="B30" s="46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v>0</v>
      </c>
      <c r="P30" s="48">
        <v>0</v>
      </c>
      <c r="Q30" s="68">
        <v>0</v>
      </c>
    </row>
    <row r="31" spans="1:17" ht="14.4" customHeight="1" thickBot="1" x14ac:dyDescent="0.35">
      <c r="A31" s="19" t="s">
        <v>43</v>
      </c>
      <c r="B31" s="52">
        <v>0</v>
      </c>
      <c r="C31" s="53">
        <v>0</v>
      </c>
      <c r="D31" s="53">
        <v>0</v>
      </c>
      <c r="E31" s="53">
        <v>0</v>
      </c>
      <c r="F31" s="53">
        <v>0</v>
      </c>
      <c r="G31" s="53">
        <v>0</v>
      </c>
      <c r="H31" s="53">
        <v>0</v>
      </c>
      <c r="I31" s="53">
        <v>0</v>
      </c>
      <c r="J31" s="53">
        <v>0</v>
      </c>
      <c r="K31" s="53">
        <v>0</v>
      </c>
      <c r="L31" s="53">
        <v>0</v>
      </c>
      <c r="M31" s="53">
        <v>0</v>
      </c>
      <c r="N31" s="53">
        <v>0</v>
      </c>
      <c r="O31" s="53">
        <v>0</v>
      </c>
      <c r="P31" s="54">
        <v>0</v>
      </c>
      <c r="Q31" s="70" t="s">
        <v>179</v>
      </c>
    </row>
    <row r="32" spans="1:17" ht="14.4" customHeight="1" x14ac:dyDescent="0.3">
      <c r="B32" s="96"/>
      <c r="C32" s="96"/>
      <c r="D32" s="96"/>
      <c r="E32" s="96"/>
      <c r="F32" s="96"/>
      <c r="G32" s="96"/>
      <c r="H32" s="96"/>
      <c r="I32" s="96"/>
      <c r="J32" s="96"/>
      <c r="K32" s="96"/>
      <c r="L32" s="96"/>
      <c r="M32" s="96"/>
      <c r="N32" s="96"/>
      <c r="O32" s="96"/>
      <c r="P32" s="96"/>
      <c r="Q32" s="96"/>
    </row>
    <row r="33" spans="1:17" ht="14.4" customHeight="1" x14ac:dyDescent="0.3">
      <c r="A33" s="79" t="s">
        <v>90</v>
      </c>
      <c r="B33" s="97"/>
      <c r="C33" s="97"/>
      <c r="D33" s="97"/>
      <c r="E33" s="97"/>
      <c r="F33" s="97"/>
      <c r="G33" s="97"/>
      <c r="H33" s="97"/>
      <c r="I33" s="97"/>
      <c r="J33" s="97"/>
      <c r="K33" s="97"/>
      <c r="L33" s="97"/>
      <c r="M33" s="97"/>
      <c r="N33" s="97"/>
      <c r="O33" s="97"/>
      <c r="P33" s="97"/>
      <c r="Q33" s="97"/>
    </row>
    <row r="34" spans="1:17" ht="14.4" customHeight="1" x14ac:dyDescent="0.3">
      <c r="A34" s="101" t="s">
        <v>159</v>
      </c>
      <c r="B34" s="97"/>
      <c r="C34" s="97"/>
      <c r="D34" s="97"/>
      <c r="E34" s="97"/>
      <c r="F34" s="97"/>
      <c r="G34" s="97"/>
      <c r="H34" s="97"/>
      <c r="I34" s="97"/>
      <c r="J34" s="97"/>
      <c r="K34" s="97"/>
      <c r="L34" s="97"/>
      <c r="M34" s="97"/>
      <c r="N34" s="97"/>
      <c r="O34" s="97"/>
      <c r="P34" s="97"/>
      <c r="Q34" s="97"/>
    </row>
    <row r="35" spans="1:17" ht="14.4" customHeight="1" x14ac:dyDescent="0.3">
      <c r="A35" s="102" t="s">
        <v>44</v>
      </c>
      <c r="B35" s="97"/>
      <c r="C35" s="97"/>
      <c r="D35" s="97"/>
      <c r="E35" s="97"/>
      <c r="F35" s="97"/>
      <c r="G35" s="97"/>
      <c r="H35" s="97"/>
      <c r="I35" s="97"/>
      <c r="J35" s="97"/>
      <c r="K35" s="97"/>
      <c r="L35" s="97"/>
      <c r="M35" s="97"/>
      <c r="N35" s="97"/>
      <c r="O35" s="97"/>
      <c r="P35" s="97"/>
      <c r="Q35" s="97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118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95" customWidth="1"/>
    <col min="2" max="11" width="10" style="95" customWidth="1"/>
    <col min="12" max="16384" width="8.88671875" style="95"/>
  </cols>
  <sheetData>
    <row r="1" spans="1:11" s="55" customFormat="1" ht="18.600000000000001" customHeight="1" thickBot="1" x14ac:dyDescent="0.4">
      <c r="A1" s="294" t="s">
        <v>45</v>
      </c>
      <c r="B1" s="294"/>
      <c r="C1" s="294"/>
      <c r="D1" s="294"/>
      <c r="E1" s="294"/>
      <c r="F1" s="294"/>
      <c r="G1" s="294"/>
      <c r="H1" s="299"/>
      <c r="I1" s="299"/>
      <c r="J1" s="299"/>
      <c r="K1" s="299"/>
    </row>
    <row r="2" spans="1:11" s="55" customFormat="1" ht="14.4" customHeight="1" thickBot="1" x14ac:dyDescent="0.35">
      <c r="A2" s="173" t="s">
        <v>178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3" spans="1:11" ht="14.4" customHeight="1" x14ac:dyDescent="0.3">
      <c r="A3" s="58"/>
      <c r="B3" s="295" t="s">
        <v>46</v>
      </c>
      <c r="C3" s="296"/>
      <c r="D3" s="296"/>
      <c r="E3" s="296"/>
      <c r="F3" s="302" t="s">
        <v>47</v>
      </c>
      <c r="G3" s="296"/>
      <c r="H3" s="296"/>
      <c r="I3" s="296"/>
      <c r="J3" s="296"/>
      <c r="K3" s="303"/>
    </row>
    <row r="4" spans="1:11" ht="14.4" customHeight="1" x14ac:dyDescent="0.3">
      <c r="A4" s="59"/>
      <c r="B4" s="300"/>
      <c r="C4" s="301"/>
      <c r="D4" s="301"/>
      <c r="E4" s="301"/>
      <c r="F4" s="304" t="s">
        <v>160</v>
      </c>
      <c r="G4" s="306" t="s">
        <v>48</v>
      </c>
      <c r="H4" s="106" t="s">
        <v>80</v>
      </c>
      <c r="I4" s="304" t="s">
        <v>49</v>
      </c>
      <c r="J4" s="306" t="s">
        <v>167</v>
      </c>
      <c r="K4" s="307" t="s">
        <v>161</v>
      </c>
    </row>
    <row r="5" spans="1:11" ht="42" thickBot="1" x14ac:dyDescent="0.35">
      <c r="A5" s="60"/>
      <c r="B5" s="24" t="s">
        <v>163</v>
      </c>
      <c r="C5" s="25" t="s">
        <v>164</v>
      </c>
      <c r="D5" s="26" t="s">
        <v>165</v>
      </c>
      <c r="E5" s="26" t="s">
        <v>166</v>
      </c>
      <c r="F5" s="305"/>
      <c r="G5" s="305"/>
      <c r="H5" s="25" t="s">
        <v>162</v>
      </c>
      <c r="I5" s="305"/>
      <c r="J5" s="305"/>
      <c r="K5" s="308"/>
    </row>
    <row r="6" spans="1:11" ht="14.4" customHeight="1" thickBot="1" x14ac:dyDescent="0.35">
      <c r="A6" s="348" t="s">
        <v>181</v>
      </c>
      <c r="B6" s="330">
        <v>3502.1181136721002</v>
      </c>
      <c r="C6" s="330">
        <v>3642.5749700000001</v>
      </c>
      <c r="D6" s="331">
        <v>140.456856327899</v>
      </c>
      <c r="E6" s="332">
        <v>1.0401062590600001</v>
      </c>
      <c r="F6" s="330">
        <v>3474.9900873545298</v>
      </c>
      <c r="G6" s="331">
        <v>868.747521838632</v>
      </c>
      <c r="H6" s="333">
        <v>350.53051000000102</v>
      </c>
      <c r="I6" s="330">
        <v>942.94054000000096</v>
      </c>
      <c r="J6" s="331">
        <v>74.193018161368002</v>
      </c>
      <c r="K6" s="334">
        <v>0.271350569727</v>
      </c>
    </row>
    <row r="7" spans="1:11" ht="14.4" customHeight="1" thickBot="1" x14ac:dyDescent="0.35">
      <c r="A7" s="349" t="s">
        <v>182</v>
      </c>
      <c r="B7" s="330">
        <v>364.95377963261501</v>
      </c>
      <c r="C7" s="330">
        <v>303.10581999999999</v>
      </c>
      <c r="D7" s="331">
        <v>-61.847959632614</v>
      </c>
      <c r="E7" s="332">
        <v>0.83053207533600004</v>
      </c>
      <c r="F7" s="330">
        <v>320.91336114748498</v>
      </c>
      <c r="G7" s="331">
        <v>80.228340286871003</v>
      </c>
      <c r="H7" s="333">
        <v>26.899730000000002</v>
      </c>
      <c r="I7" s="330">
        <v>82.945679999999996</v>
      </c>
      <c r="J7" s="331">
        <v>2.7173397131280002</v>
      </c>
      <c r="K7" s="334">
        <v>0.25846751815899999</v>
      </c>
    </row>
    <row r="8" spans="1:11" ht="14.4" customHeight="1" thickBot="1" x14ac:dyDescent="0.35">
      <c r="A8" s="350" t="s">
        <v>183</v>
      </c>
      <c r="B8" s="330">
        <v>269.07206975175899</v>
      </c>
      <c r="C8" s="330">
        <v>237.94882000000001</v>
      </c>
      <c r="D8" s="331">
        <v>-31.123249751759001</v>
      </c>
      <c r="E8" s="332">
        <v>0.88433117647399995</v>
      </c>
      <c r="F8" s="330">
        <v>254.04470159282701</v>
      </c>
      <c r="G8" s="331">
        <v>63.511175398205999</v>
      </c>
      <c r="H8" s="333">
        <v>23.059729999999998</v>
      </c>
      <c r="I8" s="330">
        <v>71.275679999999994</v>
      </c>
      <c r="J8" s="331">
        <v>7.7645046017929999</v>
      </c>
      <c r="K8" s="334">
        <v>0.28056353686199997</v>
      </c>
    </row>
    <row r="9" spans="1:11" ht="14.4" customHeight="1" thickBot="1" x14ac:dyDescent="0.35">
      <c r="A9" s="351" t="s">
        <v>184</v>
      </c>
      <c r="B9" s="335">
        <v>4.9999990731189996</v>
      </c>
      <c r="C9" s="335">
        <v>0.45740999999999998</v>
      </c>
      <c r="D9" s="336">
        <v>-4.5425890731190002</v>
      </c>
      <c r="E9" s="337">
        <v>9.1482016957999998E-2</v>
      </c>
      <c r="F9" s="335">
        <v>5</v>
      </c>
      <c r="G9" s="336">
        <v>1.25</v>
      </c>
      <c r="H9" s="338">
        <v>0</v>
      </c>
      <c r="I9" s="335">
        <v>0.41959999999999997</v>
      </c>
      <c r="J9" s="336">
        <v>-0.83040000000000003</v>
      </c>
      <c r="K9" s="339">
        <v>8.3919999999999995E-2</v>
      </c>
    </row>
    <row r="10" spans="1:11" ht="14.4" customHeight="1" thickBot="1" x14ac:dyDescent="0.35">
      <c r="A10" s="352" t="s">
        <v>185</v>
      </c>
      <c r="B10" s="330">
        <v>4.9999990731189996</v>
      </c>
      <c r="C10" s="330">
        <v>0.45740999999999998</v>
      </c>
      <c r="D10" s="331">
        <v>-4.5425890731190002</v>
      </c>
      <c r="E10" s="332">
        <v>9.1482016957999998E-2</v>
      </c>
      <c r="F10" s="330">
        <v>5</v>
      </c>
      <c r="G10" s="331">
        <v>1.25</v>
      </c>
      <c r="H10" s="333">
        <v>0</v>
      </c>
      <c r="I10" s="330">
        <v>0.41959999999999997</v>
      </c>
      <c r="J10" s="331">
        <v>-0.83040000000000003</v>
      </c>
      <c r="K10" s="334">
        <v>8.3919999999999995E-2</v>
      </c>
    </row>
    <row r="11" spans="1:11" ht="14.4" customHeight="1" thickBot="1" x14ac:dyDescent="0.35">
      <c r="A11" s="351" t="s">
        <v>186</v>
      </c>
      <c r="B11" s="335">
        <v>67.142006061545004</v>
      </c>
      <c r="C11" s="335">
        <v>61.033059999999999</v>
      </c>
      <c r="D11" s="336">
        <v>-6.1089460615449998</v>
      </c>
      <c r="E11" s="337">
        <v>0.90901454365300005</v>
      </c>
      <c r="F11" s="335">
        <v>69.166666666666003</v>
      </c>
      <c r="G11" s="336">
        <v>17.291666666666</v>
      </c>
      <c r="H11" s="338">
        <v>13.380990000000001</v>
      </c>
      <c r="I11" s="335">
        <v>24.17698</v>
      </c>
      <c r="J11" s="336">
        <v>6.8853133333330003</v>
      </c>
      <c r="K11" s="339">
        <v>0.349546698795</v>
      </c>
    </row>
    <row r="12" spans="1:11" ht="14.4" customHeight="1" thickBot="1" x14ac:dyDescent="0.35">
      <c r="A12" s="352" t="s">
        <v>187</v>
      </c>
      <c r="B12" s="330">
        <v>63.000005687607</v>
      </c>
      <c r="C12" s="330">
        <v>58.613059999999997</v>
      </c>
      <c r="D12" s="331">
        <v>-4.3869456876069997</v>
      </c>
      <c r="E12" s="332">
        <v>0.93036594775299997</v>
      </c>
      <c r="F12" s="330">
        <v>60</v>
      </c>
      <c r="G12" s="331">
        <v>15</v>
      </c>
      <c r="H12" s="333">
        <v>10.960990000000001</v>
      </c>
      <c r="I12" s="330">
        <v>21.480979999999999</v>
      </c>
      <c r="J12" s="331">
        <v>6.4809799999999997</v>
      </c>
      <c r="K12" s="334">
        <v>0.35801633333299998</v>
      </c>
    </row>
    <row r="13" spans="1:11" ht="14.4" customHeight="1" thickBot="1" x14ac:dyDescent="0.35">
      <c r="A13" s="352" t="s">
        <v>188</v>
      </c>
      <c r="B13" s="330">
        <v>4.0000003611170003</v>
      </c>
      <c r="C13" s="330">
        <v>2.42</v>
      </c>
      <c r="D13" s="331">
        <v>-1.5800003611169999</v>
      </c>
      <c r="E13" s="332">
        <v>0.60499994538000001</v>
      </c>
      <c r="F13" s="330">
        <v>4</v>
      </c>
      <c r="G13" s="331">
        <v>1</v>
      </c>
      <c r="H13" s="333">
        <v>2.42</v>
      </c>
      <c r="I13" s="330">
        <v>2.42</v>
      </c>
      <c r="J13" s="331">
        <v>1.42</v>
      </c>
      <c r="K13" s="334">
        <v>0.60499999999999998</v>
      </c>
    </row>
    <row r="14" spans="1:11" ht="14.4" customHeight="1" thickBot="1" x14ac:dyDescent="0.35">
      <c r="A14" s="352" t="s">
        <v>189</v>
      </c>
      <c r="B14" s="330">
        <v>0</v>
      </c>
      <c r="C14" s="330">
        <v>0</v>
      </c>
      <c r="D14" s="331">
        <v>0</v>
      </c>
      <c r="E14" s="332">
        <v>1</v>
      </c>
      <c r="F14" s="330">
        <v>5.1666666666659999</v>
      </c>
      <c r="G14" s="331">
        <v>1.2916666666659999</v>
      </c>
      <c r="H14" s="333">
        <v>0</v>
      </c>
      <c r="I14" s="330">
        <v>0</v>
      </c>
      <c r="J14" s="331">
        <v>-1.2916666666659999</v>
      </c>
      <c r="K14" s="334">
        <v>0</v>
      </c>
    </row>
    <row r="15" spans="1:11" ht="14.4" customHeight="1" thickBot="1" x14ac:dyDescent="0.35">
      <c r="A15" s="352" t="s">
        <v>190</v>
      </c>
      <c r="B15" s="330">
        <v>0.14200001281899999</v>
      </c>
      <c r="C15" s="330">
        <v>0</v>
      </c>
      <c r="D15" s="331">
        <v>-0.14200001281899999</v>
      </c>
      <c r="E15" s="332">
        <v>0</v>
      </c>
      <c r="F15" s="330">
        <v>0</v>
      </c>
      <c r="G15" s="331">
        <v>0</v>
      </c>
      <c r="H15" s="333">
        <v>0</v>
      </c>
      <c r="I15" s="330">
        <v>0.27600000000000002</v>
      </c>
      <c r="J15" s="331">
        <v>0.27600000000000002</v>
      </c>
      <c r="K15" s="340" t="s">
        <v>191</v>
      </c>
    </row>
    <row r="16" spans="1:11" ht="14.4" customHeight="1" thickBot="1" x14ac:dyDescent="0.35">
      <c r="A16" s="351" t="s">
        <v>192</v>
      </c>
      <c r="B16" s="335">
        <v>196.43142752793401</v>
      </c>
      <c r="C16" s="335">
        <v>175.56406999999999</v>
      </c>
      <c r="D16" s="336">
        <v>-20.867357527932999</v>
      </c>
      <c r="E16" s="337">
        <v>0.89376772448999997</v>
      </c>
      <c r="F16" s="335">
        <v>179.59544833546599</v>
      </c>
      <c r="G16" s="336">
        <v>44.898862083866</v>
      </c>
      <c r="H16" s="338">
        <v>9.4149600000000007</v>
      </c>
      <c r="I16" s="335">
        <v>46.415320000000001</v>
      </c>
      <c r="J16" s="336">
        <v>1.5164579161330001</v>
      </c>
      <c r="K16" s="339">
        <v>0.25844374359200001</v>
      </c>
    </row>
    <row r="17" spans="1:11" ht="14.4" customHeight="1" thickBot="1" x14ac:dyDescent="0.35">
      <c r="A17" s="352" t="s">
        <v>193</v>
      </c>
      <c r="B17" s="330">
        <v>0</v>
      </c>
      <c r="C17" s="330">
        <v>1.6930000000000001E-2</v>
      </c>
      <c r="D17" s="331">
        <v>1.6930000000000001E-2</v>
      </c>
      <c r="E17" s="341" t="s">
        <v>191</v>
      </c>
      <c r="F17" s="330">
        <v>0</v>
      </c>
      <c r="G17" s="331">
        <v>0</v>
      </c>
      <c r="H17" s="333">
        <v>3.6179999999999999</v>
      </c>
      <c r="I17" s="330">
        <v>3.8344800000000001</v>
      </c>
      <c r="J17" s="331">
        <v>3.8344800000000001</v>
      </c>
      <c r="K17" s="340" t="s">
        <v>179</v>
      </c>
    </row>
    <row r="18" spans="1:11" ht="14.4" customHeight="1" thickBot="1" x14ac:dyDescent="0.35">
      <c r="A18" s="352" t="s">
        <v>194</v>
      </c>
      <c r="B18" s="330">
        <v>1.2216282037790001</v>
      </c>
      <c r="C18" s="330">
        <v>5.0527499999999996</v>
      </c>
      <c r="D18" s="331">
        <v>3.8311217962200002</v>
      </c>
      <c r="E18" s="332">
        <v>4.1360783783189996</v>
      </c>
      <c r="F18" s="330">
        <v>6.0605417942940001</v>
      </c>
      <c r="G18" s="331">
        <v>1.515135448573</v>
      </c>
      <c r="H18" s="333">
        <v>0</v>
      </c>
      <c r="I18" s="330">
        <v>1.2856099999999999</v>
      </c>
      <c r="J18" s="331">
        <v>-0.229525448573</v>
      </c>
      <c r="K18" s="334">
        <v>0.21212789939099999</v>
      </c>
    </row>
    <row r="19" spans="1:11" ht="14.4" customHeight="1" thickBot="1" x14ac:dyDescent="0.35">
      <c r="A19" s="352" t="s">
        <v>195</v>
      </c>
      <c r="B19" s="330">
        <v>7.2780101808030002</v>
      </c>
      <c r="C19" s="330">
        <v>4.2870600000000003</v>
      </c>
      <c r="D19" s="331">
        <v>-2.9909501808029999</v>
      </c>
      <c r="E19" s="332">
        <v>0.58904286934100003</v>
      </c>
      <c r="F19" s="330">
        <v>5</v>
      </c>
      <c r="G19" s="331">
        <v>1.25</v>
      </c>
      <c r="H19" s="333">
        <v>3.3730000000000003E-2</v>
      </c>
      <c r="I19" s="330">
        <v>2.6228199999999999</v>
      </c>
      <c r="J19" s="331">
        <v>1.3728199999999999</v>
      </c>
      <c r="K19" s="334">
        <v>0.52456400000000003</v>
      </c>
    </row>
    <row r="20" spans="1:11" ht="14.4" customHeight="1" thickBot="1" x14ac:dyDescent="0.35">
      <c r="A20" s="352" t="s">
        <v>196</v>
      </c>
      <c r="B20" s="330">
        <v>0.19923769720000001</v>
      </c>
      <c r="C20" s="330">
        <v>0</v>
      </c>
      <c r="D20" s="331">
        <v>-0.19923769720000001</v>
      </c>
      <c r="E20" s="332">
        <v>0</v>
      </c>
      <c r="F20" s="330">
        <v>0</v>
      </c>
      <c r="G20" s="331">
        <v>0</v>
      </c>
      <c r="H20" s="333">
        <v>0</v>
      </c>
      <c r="I20" s="330">
        <v>0</v>
      </c>
      <c r="J20" s="331">
        <v>0</v>
      </c>
      <c r="K20" s="334">
        <v>0</v>
      </c>
    </row>
    <row r="21" spans="1:11" ht="14.4" customHeight="1" thickBot="1" x14ac:dyDescent="0.35">
      <c r="A21" s="352" t="s">
        <v>197</v>
      </c>
      <c r="B21" s="330">
        <v>182.85581176229701</v>
      </c>
      <c r="C21" s="330">
        <v>154.42044999999999</v>
      </c>
      <c r="D21" s="331">
        <v>-28.435361762296001</v>
      </c>
      <c r="E21" s="332">
        <v>0.84449298336</v>
      </c>
      <c r="F21" s="330">
        <v>160</v>
      </c>
      <c r="G21" s="331">
        <v>40</v>
      </c>
      <c r="H21" s="333">
        <v>5.7632300000000001</v>
      </c>
      <c r="I21" s="330">
        <v>33.678019999999997</v>
      </c>
      <c r="J21" s="331">
        <v>-6.3219799999989998</v>
      </c>
      <c r="K21" s="334">
        <v>0.21048762500000001</v>
      </c>
    </row>
    <row r="22" spans="1:11" ht="14.4" customHeight="1" thickBot="1" x14ac:dyDescent="0.35">
      <c r="A22" s="352" t="s">
        <v>198</v>
      </c>
      <c r="B22" s="330">
        <v>4.2506330407900004</v>
      </c>
      <c r="C22" s="330">
        <v>10.4933</v>
      </c>
      <c r="D22" s="331">
        <v>6.2426669592090001</v>
      </c>
      <c r="E22" s="332">
        <v>2.468644058262</v>
      </c>
      <c r="F22" s="330">
        <v>6.5349065411709999</v>
      </c>
      <c r="G22" s="331">
        <v>1.6337266352919999</v>
      </c>
      <c r="H22" s="333">
        <v>0</v>
      </c>
      <c r="I22" s="330">
        <v>0</v>
      </c>
      <c r="J22" s="331">
        <v>-1.6337266352919999</v>
      </c>
      <c r="K22" s="334">
        <v>0</v>
      </c>
    </row>
    <row r="23" spans="1:11" ht="14.4" customHeight="1" thickBot="1" x14ac:dyDescent="0.35">
      <c r="A23" s="352" t="s">
        <v>199</v>
      </c>
      <c r="B23" s="330">
        <v>0</v>
      </c>
      <c r="C23" s="330">
        <v>0</v>
      </c>
      <c r="D23" s="331">
        <v>0</v>
      </c>
      <c r="E23" s="332">
        <v>1</v>
      </c>
      <c r="F23" s="330">
        <v>0</v>
      </c>
      <c r="G23" s="331">
        <v>0</v>
      </c>
      <c r="H23" s="333">
        <v>0</v>
      </c>
      <c r="I23" s="330">
        <v>2.7578999999999998</v>
      </c>
      <c r="J23" s="331">
        <v>2.7578999999999998</v>
      </c>
      <c r="K23" s="340" t="s">
        <v>191</v>
      </c>
    </row>
    <row r="24" spans="1:11" ht="14.4" customHeight="1" thickBot="1" x14ac:dyDescent="0.35">
      <c r="A24" s="352" t="s">
        <v>200</v>
      </c>
      <c r="B24" s="330">
        <v>0.62610664306200003</v>
      </c>
      <c r="C24" s="330">
        <v>1.29358</v>
      </c>
      <c r="D24" s="331">
        <v>0.66747335693700005</v>
      </c>
      <c r="E24" s="332">
        <v>2.0660697571769999</v>
      </c>
      <c r="F24" s="330">
        <v>2</v>
      </c>
      <c r="G24" s="331">
        <v>0.5</v>
      </c>
      <c r="H24" s="333">
        <v>0</v>
      </c>
      <c r="I24" s="330">
        <v>1.7040900000000001</v>
      </c>
      <c r="J24" s="331">
        <v>1.2040900000000001</v>
      </c>
      <c r="K24" s="334">
        <v>0.85204500000000005</v>
      </c>
    </row>
    <row r="25" spans="1:11" ht="14.4" customHeight="1" thickBot="1" x14ac:dyDescent="0.35">
      <c r="A25" s="352" t="s">
        <v>201</v>
      </c>
      <c r="B25" s="330">
        <v>0</v>
      </c>
      <c r="C25" s="330">
        <v>0</v>
      </c>
      <c r="D25" s="331">
        <v>0</v>
      </c>
      <c r="E25" s="332">
        <v>1</v>
      </c>
      <c r="F25" s="330">
        <v>0</v>
      </c>
      <c r="G25" s="331">
        <v>0</v>
      </c>
      <c r="H25" s="333">
        <v>0</v>
      </c>
      <c r="I25" s="330">
        <v>0.53239999999999998</v>
      </c>
      <c r="J25" s="331">
        <v>0.53239999999999998</v>
      </c>
      <c r="K25" s="340" t="s">
        <v>191</v>
      </c>
    </row>
    <row r="26" spans="1:11" ht="14.4" customHeight="1" thickBot="1" x14ac:dyDescent="0.35">
      <c r="A26" s="351" t="s">
        <v>202</v>
      </c>
      <c r="B26" s="335">
        <v>0.295110016295</v>
      </c>
      <c r="C26" s="335">
        <v>0.26991999999999999</v>
      </c>
      <c r="D26" s="336">
        <v>-2.5190016294999999E-2</v>
      </c>
      <c r="E26" s="337">
        <v>0.91464194739299998</v>
      </c>
      <c r="F26" s="335">
        <v>0.28258659069399999</v>
      </c>
      <c r="G26" s="336">
        <v>7.0646647672999996E-2</v>
      </c>
      <c r="H26" s="338">
        <v>0</v>
      </c>
      <c r="I26" s="335">
        <v>0</v>
      </c>
      <c r="J26" s="336">
        <v>-7.0646647672999996E-2</v>
      </c>
      <c r="K26" s="339">
        <v>0</v>
      </c>
    </row>
    <row r="27" spans="1:11" ht="14.4" customHeight="1" thickBot="1" x14ac:dyDescent="0.35">
      <c r="A27" s="352" t="s">
        <v>203</v>
      </c>
      <c r="B27" s="330">
        <v>0.295110016295</v>
      </c>
      <c r="C27" s="330">
        <v>0.26991999999999999</v>
      </c>
      <c r="D27" s="331">
        <v>-2.5190016294999999E-2</v>
      </c>
      <c r="E27" s="332">
        <v>0.91464194739299998</v>
      </c>
      <c r="F27" s="330">
        <v>0.28258659069399999</v>
      </c>
      <c r="G27" s="331">
        <v>7.0646647672999996E-2</v>
      </c>
      <c r="H27" s="333">
        <v>0</v>
      </c>
      <c r="I27" s="330">
        <v>0</v>
      </c>
      <c r="J27" s="331">
        <v>-7.0646647672999996E-2</v>
      </c>
      <c r="K27" s="334">
        <v>0</v>
      </c>
    </row>
    <row r="28" spans="1:11" ht="14.4" customHeight="1" thickBot="1" x14ac:dyDescent="0.35">
      <c r="A28" s="351" t="s">
        <v>204</v>
      </c>
      <c r="B28" s="335">
        <v>0.20352707286499999</v>
      </c>
      <c r="C28" s="335">
        <v>0.62436000000000003</v>
      </c>
      <c r="D28" s="336">
        <v>0.420832927134</v>
      </c>
      <c r="E28" s="337">
        <v>3.0676999929790001</v>
      </c>
      <c r="F28" s="335">
        <v>0</v>
      </c>
      <c r="G28" s="336">
        <v>0</v>
      </c>
      <c r="H28" s="338">
        <v>0.26378000000000001</v>
      </c>
      <c r="I28" s="335">
        <v>0.26378000000000001</v>
      </c>
      <c r="J28" s="336">
        <v>0.26378000000000001</v>
      </c>
      <c r="K28" s="342" t="s">
        <v>179</v>
      </c>
    </row>
    <row r="29" spans="1:11" ht="14.4" customHeight="1" thickBot="1" x14ac:dyDescent="0.35">
      <c r="A29" s="352" t="s">
        <v>205</v>
      </c>
      <c r="B29" s="330">
        <v>0</v>
      </c>
      <c r="C29" s="330">
        <v>0.62436000000000003</v>
      </c>
      <c r="D29" s="331">
        <v>0.62436000000000003</v>
      </c>
      <c r="E29" s="341" t="s">
        <v>179</v>
      </c>
      <c r="F29" s="330">
        <v>0</v>
      </c>
      <c r="G29" s="331">
        <v>0</v>
      </c>
      <c r="H29" s="333">
        <v>0.26378000000000001</v>
      </c>
      <c r="I29" s="330">
        <v>0.26378000000000001</v>
      </c>
      <c r="J29" s="331">
        <v>0.26378000000000001</v>
      </c>
      <c r="K29" s="340" t="s">
        <v>179</v>
      </c>
    </row>
    <row r="30" spans="1:11" ht="14.4" customHeight="1" thickBot="1" x14ac:dyDescent="0.35">
      <c r="A30" s="352" t="s">
        <v>206</v>
      </c>
      <c r="B30" s="330">
        <v>7.9894707789E-2</v>
      </c>
      <c r="C30" s="330">
        <v>0</v>
      </c>
      <c r="D30" s="331">
        <v>-7.9894707789E-2</v>
      </c>
      <c r="E30" s="332">
        <v>0</v>
      </c>
      <c r="F30" s="330">
        <v>0</v>
      </c>
      <c r="G30" s="331">
        <v>0</v>
      </c>
      <c r="H30" s="333">
        <v>0</v>
      </c>
      <c r="I30" s="330">
        <v>0</v>
      </c>
      <c r="J30" s="331">
        <v>0</v>
      </c>
      <c r="K30" s="334">
        <v>0</v>
      </c>
    </row>
    <row r="31" spans="1:11" ht="14.4" customHeight="1" thickBot="1" x14ac:dyDescent="0.35">
      <c r="A31" s="352" t="s">
        <v>207</v>
      </c>
      <c r="B31" s="330">
        <v>0.123632365075</v>
      </c>
      <c r="C31" s="330">
        <v>0</v>
      </c>
      <c r="D31" s="331">
        <v>-0.123632365075</v>
      </c>
      <c r="E31" s="332">
        <v>0</v>
      </c>
      <c r="F31" s="330">
        <v>0</v>
      </c>
      <c r="G31" s="331">
        <v>0</v>
      </c>
      <c r="H31" s="333">
        <v>0</v>
      </c>
      <c r="I31" s="330">
        <v>0</v>
      </c>
      <c r="J31" s="331">
        <v>0</v>
      </c>
      <c r="K31" s="334">
        <v>0</v>
      </c>
    </row>
    <row r="32" spans="1:11" ht="14.4" customHeight="1" thickBot="1" x14ac:dyDescent="0.35">
      <c r="A32" s="350" t="s">
        <v>26</v>
      </c>
      <c r="B32" s="330">
        <v>95.881709880854999</v>
      </c>
      <c r="C32" s="330">
        <v>65.156999999999996</v>
      </c>
      <c r="D32" s="331">
        <v>-30.724709880854999</v>
      </c>
      <c r="E32" s="332">
        <v>0.67955609136399997</v>
      </c>
      <c r="F32" s="330">
        <v>66.868659554657995</v>
      </c>
      <c r="G32" s="331">
        <v>16.717164888664001</v>
      </c>
      <c r="H32" s="333">
        <v>3.84</v>
      </c>
      <c r="I32" s="330">
        <v>11.67</v>
      </c>
      <c r="J32" s="331">
        <v>-5.0471648886639997</v>
      </c>
      <c r="K32" s="334">
        <v>0.17452121932299999</v>
      </c>
    </row>
    <row r="33" spans="1:11" ht="14.4" customHeight="1" thickBot="1" x14ac:dyDescent="0.35">
      <c r="A33" s="351" t="s">
        <v>208</v>
      </c>
      <c r="B33" s="335">
        <v>95.881709880854999</v>
      </c>
      <c r="C33" s="335">
        <v>65.156999999999996</v>
      </c>
      <c r="D33" s="336">
        <v>-30.724709880854999</v>
      </c>
      <c r="E33" s="337">
        <v>0.67955609136399997</v>
      </c>
      <c r="F33" s="335">
        <v>66.868659554657995</v>
      </c>
      <c r="G33" s="336">
        <v>16.717164888664001</v>
      </c>
      <c r="H33" s="338">
        <v>3.84</v>
      </c>
      <c r="I33" s="335">
        <v>11.67</v>
      </c>
      <c r="J33" s="336">
        <v>-5.0471648886639997</v>
      </c>
      <c r="K33" s="339">
        <v>0.17452121932299999</v>
      </c>
    </row>
    <row r="34" spans="1:11" ht="14.4" customHeight="1" thickBot="1" x14ac:dyDescent="0.35">
      <c r="A34" s="352" t="s">
        <v>209</v>
      </c>
      <c r="B34" s="330">
        <v>41.658870331895997</v>
      </c>
      <c r="C34" s="330">
        <v>37.850999999999999</v>
      </c>
      <c r="D34" s="331">
        <v>-3.8078703318949998</v>
      </c>
      <c r="E34" s="332">
        <v>0.90859400887300001</v>
      </c>
      <c r="F34" s="330">
        <v>38.999999999998998</v>
      </c>
      <c r="G34" s="331">
        <v>9.7499999999989999</v>
      </c>
      <c r="H34" s="333">
        <v>3.1549999999999998</v>
      </c>
      <c r="I34" s="330">
        <v>9.6120000000000001</v>
      </c>
      <c r="J34" s="331">
        <v>-0.13799999999900001</v>
      </c>
      <c r="K34" s="334">
        <v>0.246461538461</v>
      </c>
    </row>
    <row r="35" spans="1:11" ht="14.4" customHeight="1" thickBot="1" x14ac:dyDescent="0.35">
      <c r="A35" s="352" t="s">
        <v>210</v>
      </c>
      <c r="B35" s="330">
        <v>7.2946743808649996</v>
      </c>
      <c r="C35" s="330">
        <v>7.2859999999999996</v>
      </c>
      <c r="D35" s="331">
        <v>-8.6743808649999993E-3</v>
      </c>
      <c r="E35" s="332">
        <v>0.99881086112700002</v>
      </c>
      <c r="F35" s="330">
        <v>7.8686595546579996</v>
      </c>
      <c r="G35" s="331">
        <v>1.9671648886640001</v>
      </c>
      <c r="H35" s="333">
        <v>0.68500000000000005</v>
      </c>
      <c r="I35" s="330">
        <v>2.0579999999999998</v>
      </c>
      <c r="J35" s="331">
        <v>9.0835111334999996E-2</v>
      </c>
      <c r="K35" s="334">
        <v>0.26154391173000002</v>
      </c>
    </row>
    <row r="36" spans="1:11" ht="14.4" customHeight="1" thickBot="1" x14ac:dyDescent="0.35">
      <c r="A36" s="352" t="s">
        <v>211</v>
      </c>
      <c r="B36" s="330">
        <v>46.928165168093997</v>
      </c>
      <c r="C36" s="330">
        <v>20.02</v>
      </c>
      <c r="D36" s="331">
        <v>-26.908165168094001</v>
      </c>
      <c r="E36" s="332">
        <v>0.42660947702200003</v>
      </c>
      <c r="F36" s="330">
        <v>19.999999999999002</v>
      </c>
      <c r="G36" s="331">
        <v>4.9999999999989999</v>
      </c>
      <c r="H36" s="333">
        <v>0</v>
      </c>
      <c r="I36" s="330">
        <v>0</v>
      </c>
      <c r="J36" s="331">
        <v>-4.9999999999989999</v>
      </c>
      <c r="K36" s="334">
        <v>0</v>
      </c>
    </row>
    <row r="37" spans="1:11" ht="14.4" customHeight="1" thickBot="1" x14ac:dyDescent="0.35">
      <c r="A37" s="353" t="s">
        <v>212</v>
      </c>
      <c r="B37" s="335">
        <v>234.16391219154599</v>
      </c>
      <c r="C37" s="335">
        <v>205.61169000000001</v>
      </c>
      <c r="D37" s="336">
        <v>-28.552222191544999</v>
      </c>
      <c r="E37" s="337">
        <v>0.87806736774899996</v>
      </c>
      <c r="F37" s="335">
        <v>125.076726207043</v>
      </c>
      <c r="G37" s="336">
        <v>31.269181551759999</v>
      </c>
      <c r="H37" s="338">
        <v>44.926259999999999</v>
      </c>
      <c r="I37" s="335">
        <v>60.234740000000002</v>
      </c>
      <c r="J37" s="336">
        <v>28.965558448239001</v>
      </c>
      <c r="K37" s="339">
        <v>0.481582320121</v>
      </c>
    </row>
    <row r="38" spans="1:11" ht="14.4" customHeight="1" thickBot="1" x14ac:dyDescent="0.35">
      <c r="A38" s="350" t="s">
        <v>29</v>
      </c>
      <c r="B38" s="330">
        <v>47.732521713368001</v>
      </c>
      <c r="C38" s="330">
        <v>3.0953599999999999</v>
      </c>
      <c r="D38" s="331">
        <v>-44.637161713368002</v>
      </c>
      <c r="E38" s="332">
        <v>6.4848029998999995E-2</v>
      </c>
      <c r="F38" s="330">
        <v>2.517552208528</v>
      </c>
      <c r="G38" s="331">
        <v>0.629388052132</v>
      </c>
      <c r="H38" s="333">
        <v>0</v>
      </c>
      <c r="I38" s="330">
        <v>0</v>
      </c>
      <c r="J38" s="331">
        <v>-0.629388052132</v>
      </c>
      <c r="K38" s="334">
        <v>0</v>
      </c>
    </row>
    <row r="39" spans="1:11" ht="14.4" customHeight="1" thickBot="1" x14ac:dyDescent="0.35">
      <c r="A39" s="354" t="s">
        <v>213</v>
      </c>
      <c r="B39" s="330">
        <v>47.732521713368001</v>
      </c>
      <c r="C39" s="330">
        <v>3.0953599999999999</v>
      </c>
      <c r="D39" s="331">
        <v>-44.637161713368002</v>
      </c>
      <c r="E39" s="332">
        <v>6.4848029998999995E-2</v>
      </c>
      <c r="F39" s="330">
        <v>2.517552208528</v>
      </c>
      <c r="G39" s="331">
        <v>0.629388052132</v>
      </c>
      <c r="H39" s="333">
        <v>0</v>
      </c>
      <c r="I39" s="330">
        <v>0</v>
      </c>
      <c r="J39" s="331">
        <v>-0.629388052132</v>
      </c>
      <c r="K39" s="334">
        <v>0</v>
      </c>
    </row>
    <row r="40" spans="1:11" ht="14.4" customHeight="1" thickBot="1" x14ac:dyDescent="0.35">
      <c r="A40" s="352" t="s">
        <v>214</v>
      </c>
      <c r="B40" s="330">
        <v>46.401899205451002</v>
      </c>
      <c r="C40" s="330">
        <v>0</v>
      </c>
      <c r="D40" s="331">
        <v>-46.401899205451002</v>
      </c>
      <c r="E40" s="332">
        <v>0</v>
      </c>
      <c r="F40" s="330">
        <v>0</v>
      </c>
      <c r="G40" s="331">
        <v>0</v>
      </c>
      <c r="H40" s="333">
        <v>0</v>
      </c>
      <c r="I40" s="330">
        <v>0</v>
      </c>
      <c r="J40" s="331">
        <v>0</v>
      </c>
      <c r="K40" s="334">
        <v>0</v>
      </c>
    </row>
    <row r="41" spans="1:11" ht="14.4" customHeight="1" thickBot="1" x14ac:dyDescent="0.35">
      <c r="A41" s="352" t="s">
        <v>215</v>
      </c>
      <c r="B41" s="330">
        <v>0.95754424446499997</v>
      </c>
      <c r="C41" s="330">
        <v>1.92523</v>
      </c>
      <c r="D41" s="331">
        <v>0.96768575553400005</v>
      </c>
      <c r="E41" s="332">
        <v>2.0105911670690002</v>
      </c>
      <c r="F41" s="330">
        <v>2.517552208528</v>
      </c>
      <c r="G41" s="331">
        <v>0.629388052132</v>
      </c>
      <c r="H41" s="333">
        <v>0</v>
      </c>
      <c r="I41" s="330">
        <v>0</v>
      </c>
      <c r="J41" s="331">
        <v>-0.629388052132</v>
      </c>
      <c r="K41" s="334">
        <v>0</v>
      </c>
    </row>
    <row r="42" spans="1:11" ht="14.4" customHeight="1" thickBot="1" x14ac:dyDescent="0.35">
      <c r="A42" s="352" t="s">
        <v>216</v>
      </c>
      <c r="B42" s="330">
        <v>0.37307826345099998</v>
      </c>
      <c r="C42" s="330">
        <v>1.1701299999999999</v>
      </c>
      <c r="D42" s="331">
        <v>0.79705173654799999</v>
      </c>
      <c r="E42" s="332">
        <v>3.1364196594410001</v>
      </c>
      <c r="F42" s="330">
        <v>0</v>
      </c>
      <c r="G42" s="331">
        <v>0</v>
      </c>
      <c r="H42" s="333">
        <v>0</v>
      </c>
      <c r="I42" s="330">
        <v>0</v>
      </c>
      <c r="J42" s="331">
        <v>0</v>
      </c>
      <c r="K42" s="340" t="s">
        <v>179</v>
      </c>
    </row>
    <row r="43" spans="1:11" ht="14.4" customHeight="1" thickBot="1" x14ac:dyDescent="0.35">
      <c r="A43" s="355" t="s">
        <v>30</v>
      </c>
      <c r="B43" s="335">
        <v>0</v>
      </c>
      <c r="C43" s="335">
        <v>16.734999999999999</v>
      </c>
      <c r="D43" s="336">
        <v>16.734999999999999</v>
      </c>
      <c r="E43" s="343" t="s">
        <v>179</v>
      </c>
      <c r="F43" s="335">
        <v>0</v>
      </c>
      <c r="G43" s="336">
        <v>0</v>
      </c>
      <c r="H43" s="338">
        <v>10.766</v>
      </c>
      <c r="I43" s="335">
        <v>14.09</v>
      </c>
      <c r="J43" s="336">
        <v>14.09</v>
      </c>
      <c r="K43" s="342" t="s">
        <v>179</v>
      </c>
    </row>
    <row r="44" spans="1:11" ht="14.4" customHeight="1" thickBot="1" x14ac:dyDescent="0.35">
      <c r="A44" s="351" t="s">
        <v>217</v>
      </c>
      <c r="B44" s="335">
        <v>0</v>
      </c>
      <c r="C44" s="335">
        <v>16.734999999999999</v>
      </c>
      <c r="D44" s="336">
        <v>16.734999999999999</v>
      </c>
      <c r="E44" s="343" t="s">
        <v>179</v>
      </c>
      <c r="F44" s="335">
        <v>0</v>
      </c>
      <c r="G44" s="336">
        <v>0</v>
      </c>
      <c r="H44" s="338">
        <v>10.766</v>
      </c>
      <c r="I44" s="335">
        <v>14.09</v>
      </c>
      <c r="J44" s="336">
        <v>14.09</v>
      </c>
      <c r="K44" s="342" t="s">
        <v>179</v>
      </c>
    </row>
    <row r="45" spans="1:11" ht="14.4" customHeight="1" thickBot="1" x14ac:dyDescent="0.35">
      <c r="A45" s="352" t="s">
        <v>218</v>
      </c>
      <c r="B45" s="330">
        <v>0</v>
      </c>
      <c r="C45" s="330">
        <v>13</v>
      </c>
      <c r="D45" s="331">
        <v>13</v>
      </c>
      <c r="E45" s="341" t="s">
        <v>179</v>
      </c>
      <c r="F45" s="330">
        <v>0</v>
      </c>
      <c r="G45" s="331">
        <v>0</v>
      </c>
      <c r="H45" s="333">
        <v>1.4910000000000001</v>
      </c>
      <c r="I45" s="330">
        <v>2.74</v>
      </c>
      <c r="J45" s="331">
        <v>2.74</v>
      </c>
      <c r="K45" s="340" t="s">
        <v>179</v>
      </c>
    </row>
    <row r="46" spans="1:11" ht="14.4" customHeight="1" thickBot="1" x14ac:dyDescent="0.35">
      <c r="A46" s="352" t="s">
        <v>219</v>
      </c>
      <c r="B46" s="330">
        <v>0</v>
      </c>
      <c r="C46" s="330">
        <v>3.7349999999999999</v>
      </c>
      <c r="D46" s="331">
        <v>3.7349999999999999</v>
      </c>
      <c r="E46" s="341" t="s">
        <v>179</v>
      </c>
      <c r="F46" s="330">
        <v>0</v>
      </c>
      <c r="G46" s="331">
        <v>0</v>
      </c>
      <c r="H46" s="333">
        <v>9.2750000000000004</v>
      </c>
      <c r="I46" s="330">
        <v>11.35</v>
      </c>
      <c r="J46" s="331">
        <v>11.35</v>
      </c>
      <c r="K46" s="340" t="s">
        <v>179</v>
      </c>
    </row>
    <row r="47" spans="1:11" ht="14.4" customHeight="1" thickBot="1" x14ac:dyDescent="0.35">
      <c r="A47" s="350" t="s">
        <v>31</v>
      </c>
      <c r="B47" s="330">
        <v>186.43139047817701</v>
      </c>
      <c r="C47" s="330">
        <v>185.78133</v>
      </c>
      <c r="D47" s="331">
        <v>-0.65006047817699997</v>
      </c>
      <c r="E47" s="332">
        <v>0.99651313828300003</v>
      </c>
      <c r="F47" s="330">
        <v>122.55917399851501</v>
      </c>
      <c r="G47" s="331">
        <v>30.639793499627999</v>
      </c>
      <c r="H47" s="333">
        <v>34.160260000000001</v>
      </c>
      <c r="I47" s="330">
        <v>46.144739999999999</v>
      </c>
      <c r="J47" s="331">
        <v>15.504946500371</v>
      </c>
      <c r="K47" s="334">
        <v>0.37650988085600001</v>
      </c>
    </row>
    <row r="48" spans="1:11" ht="14.4" customHeight="1" thickBot="1" x14ac:dyDescent="0.35">
      <c r="A48" s="351" t="s">
        <v>220</v>
      </c>
      <c r="B48" s="335">
        <v>13.846899152162999</v>
      </c>
      <c r="C48" s="335">
        <v>9.7275799999999997</v>
      </c>
      <c r="D48" s="336">
        <v>-4.1193191521630004</v>
      </c>
      <c r="E48" s="337">
        <v>0.70250962999699995</v>
      </c>
      <c r="F48" s="335">
        <v>11.046915470491999</v>
      </c>
      <c r="G48" s="336">
        <v>2.7617288676229999</v>
      </c>
      <c r="H48" s="338">
        <v>0.71804999999999997</v>
      </c>
      <c r="I48" s="335">
        <v>2.2373500000000002</v>
      </c>
      <c r="J48" s="336">
        <v>-0.52437886762300001</v>
      </c>
      <c r="K48" s="339">
        <v>0.202531648402</v>
      </c>
    </row>
    <row r="49" spans="1:11" ht="14.4" customHeight="1" thickBot="1" x14ac:dyDescent="0.35">
      <c r="A49" s="352" t="s">
        <v>221</v>
      </c>
      <c r="B49" s="330">
        <v>0.104713913428</v>
      </c>
      <c r="C49" s="330">
        <v>0.22869999999999999</v>
      </c>
      <c r="D49" s="331">
        <v>0.12398608657100001</v>
      </c>
      <c r="E49" s="332">
        <v>2.184045964014</v>
      </c>
      <c r="F49" s="330">
        <v>0.227604475232</v>
      </c>
      <c r="G49" s="331">
        <v>5.6901118808000001E-2</v>
      </c>
      <c r="H49" s="333">
        <v>0</v>
      </c>
      <c r="I49" s="330">
        <v>2.6599999999999999E-2</v>
      </c>
      <c r="J49" s="331">
        <v>-3.0301118807999999E-2</v>
      </c>
      <c r="K49" s="334">
        <v>0.116869406776</v>
      </c>
    </row>
    <row r="50" spans="1:11" ht="14.4" customHeight="1" thickBot="1" x14ac:dyDescent="0.35">
      <c r="A50" s="352" t="s">
        <v>222</v>
      </c>
      <c r="B50" s="330">
        <v>13.742185238734001</v>
      </c>
      <c r="C50" s="330">
        <v>9.4988799999999998</v>
      </c>
      <c r="D50" s="331">
        <v>-4.243305238734</v>
      </c>
      <c r="E50" s="332">
        <v>0.69122048895199995</v>
      </c>
      <c r="F50" s="330">
        <v>10.81931099526</v>
      </c>
      <c r="G50" s="331">
        <v>2.7048277488150001</v>
      </c>
      <c r="H50" s="333">
        <v>0.71804999999999997</v>
      </c>
      <c r="I50" s="330">
        <v>2.21075</v>
      </c>
      <c r="J50" s="331">
        <v>-0.494077748815</v>
      </c>
      <c r="K50" s="334">
        <v>0.20433371413099999</v>
      </c>
    </row>
    <row r="51" spans="1:11" ht="14.4" customHeight="1" thickBot="1" x14ac:dyDescent="0.35">
      <c r="A51" s="351" t="s">
        <v>223</v>
      </c>
      <c r="B51" s="335">
        <v>0.99999840846400001</v>
      </c>
      <c r="C51" s="335">
        <v>0.54</v>
      </c>
      <c r="D51" s="336">
        <v>-0.45999840846399997</v>
      </c>
      <c r="E51" s="337">
        <v>0.54000085942999998</v>
      </c>
      <c r="F51" s="335">
        <v>1</v>
      </c>
      <c r="G51" s="336">
        <v>0.25</v>
      </c>
      <c r="H51" s="338">
        <v>0</v>
      </c>
      <c r="I51" s="335">
        <v>0.13500000000000001</v>
      </c>
      <c r="J51" s="336">
        <v>-0.115</v>
      </c>
      <c r="K51" s="339">
        <v>0.13500000000000001</v>
      </c>
    </row>
    <row r="52" spans="1:11" ht="14.4" customHeight="1" thickBot="1" x14ac:dyDescent="0.35">
      <c r="A52" s="352" t="s">
        <v>224</v>
      </c>
      <c r="B52" s="330">
        <v>0.99999840846400001</v>
      </c>
      <c r="C52" s="330">
        <v>0.54</v>
      </c>
      <c r="D52" s="331">
        <v>-0.45999840846399997</v>
      </c>
      <c r="E52" s="332">
        <v>0.54000085942999998</v>
      </c>
      <c r="F52" s="330">
        <v>1</v>
      </c>
      <c r="G52" s="331">
        <v>0.25</v>
      </c>
      <c r="H52" s="333">
        <v>0</v>
      </c>
      <c r="I52" s="330">
        <v>0.13500000000000001</v>
      </c>
      <c r="J52" s="331">
        <v>-0.115</v>
      </c>
      <c r="K52" s="334">
        <v>0.13500000000000001</v>
      </c>
    </row>
    <row r="53" spans="1:11" ht="14.4" customHeight="1" thickBot="1" x14ac:dyDescent="0.35">
      <c r="A53" s="351" t="s">
        <v>225</v>
      </c>
      <c r="B53" s="335">
        <v>32.861592169601998</v>
      </c>
      <c r="C53" s="335">
        <v>30.953659999999999</v>
      </c>
      <c r="D53" s="336">
        <v>-1.907932169602</v>
      </c>
      <c r="E53" s="337">
        <v>0.94194036126500003</v>
      </c>
      <c r="F53" s="335">
        <v>18.134994819422001</v>
      </c>
      <c r="G53" s="336">
        <v>4.5337487048550003</v>
      </c>
      <c r="H53" s="338">
        <v>2.6209899999999999</v>
      </c>
      <c r="I53" s="335">
        <v>7.6004199999999997</v>
      </c>
      <c r="J53" s="336">
        <v>3.0666712951439998</v>
      </c>
      <c r="K53" s="339">
        <v>0.41910240811600002</v>
      </c>
    </row>
    <row r="54" spans="1:11" ht="14.4" customHeight="1" thickBot="1" x14ac:dyDescent="0.35">
      <c r="A54" s="352" t="s">
        <v>226</v>
      </c>
      <c r="B54" s="330">
        <v>18.301082131855999</v>
      </c>
      <c r="C54" s="330">
        <v>16.41048</v>
      </c>
      <c r="D54" s="331">
        <v>-1.890602131856</v>
      </c>
      <c r="E54" s="332">
        <v>0.89669451684599999</v>
      </c>
      <c r="F54" s="330">
        <v>0</v>
      </c>
      <c r="G54" s="331">
        <v>0</v>
      </c>
      <c r="H54" s="333">
        <v>1.28979</v>
      </c>
      <c r="I54" s="330">
        <v>3.86937</v>
      </c>
      <c r="J54" s="331">
        <v>3.86937</v>
      </c>
      <c r="K54" s="340" t="s">
        <v>179</v>
      </c>
    </row>
    <row r="55" spans="1:11" ht="14.4" customHeight="1" thickBot="1" x14ac:dyDescent="0.35">
      <c r="A55" s="352" t="s">
        <v>227</v>
      </c>
      <c r="B55" s="330">
        <v>14.560510037746001</v>
      </c>
      <c r="C55" s="330">
        <v>14.54318</v>
      </c>
      <c r="D55" s="331">
        <v>-1.7330037746000001E-2</v>
      </c>
      <c r="E55" s="332">
        <v>0.99880979184700003</v>
      </c>
      <c r="F55" s="330">
        <v>18.134994819422001</v>
      </c>
      <c r="G55" s="331">
        <v>4.5337487048550003</v>
      </c>
      <c r="H55" s="333">
        <v>1.3311999999999999</v>
      </c>
      <c r="I55" s="330">
        <v>3.7310500000000002</v>
      </c>
      <c r="J55" s="331">
        <v>-0.80269870485499994</v>
      </c>
      <c r="K55" s="334">
        <v>0.205737582897</v>
      </c>
    </row>
    <row r="56" spans="1:11" ht="14.4" customHeight="1" thickBot="1" x14ac:dyDescent="0.35">
      <c r="A56" s="351" t="s">
        <v>228</v>
      </c>
      <c r="B56" s="335">
        <v>55.103205567407002</v>
      </c>
      <c r="C56" s="335">
        <v>84.803089999999997</v>
      </c>
      <c r="D56" s="336">
        <v>29.699884432592</v>
      </c>
      <c r="E56" s="337">
        <v>1.538986509528</v>
      </c>
      <c r="F56" s="335">
        <v>91.502317430000005</v>
      </c>
      <c r="G56" s="336">
        <v>22.875579357500001</v>
      </c>
      <c r="H56" s="338">
        <v>30.82122</v>
      </c>
      <c r="I56" s="335">
        <v>33.003970000000002</v>
      </c>
      <c r="J56" s="336">
        <v>10.128390642498999</v>
      </c>
      <c r="K56" s="339">
        <v>0.36068999045</v>
      </c>
    </row>
    <row r="57" spans="1:11" ht="14.4" customHeight="1" thickBot="1" x14ac:dyDescent="0.35">
      <c r="A57" s="352" t="s">
        <v>229</v>
      </c>
      <c r="B57" s="330">
        <v>2.999995225393</v>
      </c>
      <c r="C57" s="330">
        <v>0</v>
      </c>
      <c r="D57" s="331">
        <v>-2.999995225393</v>
      </c>
      <c r="E57" s="332">
        <v>0</v>
      </c>
      <c r="F57" s="330">
        <v>0</v>
      </c>
      <c r="G57" s="331">
        <v>0</v>
      </c>
      <c r="H57" s="333">
        <v>0</v>
      </c>
      <c r="I57" s="330">
        <v>0</v>
      </c>
      <c r="J57" s="331">
        <v>0</v>
      </c>
      <c r="K57" s="334">
        <v>0</v>
      </c>
    </row>
    <row r="58" spans="1:11" ht="14.4" customHeight="1" thickBot="1" x14ac:dyDescent="0.35">
      <c r="A58" s="352" t="s">
        <v>230</v>
      </c>
      <c r="B58" s="330">
        <v>10.686596694457</v>
      </c>
      <c r="C58" s="330">
        <v>15.186</v>
      </c>
      <c r="D58" s="331">
        <v>4.4994033055429998</v>
      </c>
      <c r="E58" s="332">
        <v>1.4210323860980001</v>
      </c>
      <c r="F58" s="330">
        <v>15.387200494781</v>
      </c>
      <c r="G58" s="331">
        <v>3.846800123695</v>
      </c>
      <c r="H58" s="333">
        <v>0</v>
      </c>
      <c r="I58" s="330">
        <v>0.82299999999999995</v>
      </c>
      <c r="J58" s="331">
        <v>-3.0238001236950001</v>
      </c>
      <c r="K58" s="334">
        <v>5.3486012628999997E-2</v>
      </c>
    </row>
    <row r="59" spans="1:11" ht="14.4" customHeight="1" thickBot="1" x14ac:dyDescent="0.35">
      <c r="A59" s="352" t="s">
        <v>231</v>
      </c>
      <c r="B59" s="330">
        <v>41.416613647557</v>
      </c>
      <c r="C59" s="330">
        <v>69.617090000000005</v>
      </c>
      <c r="D59" s="331">
        <v>28.200476352441999</v>
      </c>
      <c r="E59" s="332">
        <v>1.6808976849820001</v>
      </c>
      <c r="F59" s="330">
        <v>76.115116935217998</v>
      </c>
      <c r="G59" s="331">
        <v>19.028779233803998</v>
      </c>
      <c r="H59" s="333">
        <v>30.82122</v>
      </c>
      <c r="I59" s="330">
        <v>32.180970000000002</v>
      </c>
      <c r="J59" s="331">
        <v>13.152190766195</v>
      </c>
      <c r="K59" s="334">
        <v>0.42279341208100002</v>
      </c>
    </row>
    <row r="60" spans="1:11" ht="14.4" customHeight="1" thickBot="1" x14ac:dyDescent="0.35">
      <c r="A60" s="351" t="s">
        <v>232</v>
      </c>
      <c r="B60" s="335">
        <v>83.619695180538997</v>
      </c>
      <c r="C60" s="335">
        <v>59.756999999999998</v>
      </c>
      <c r="D60" s="336">
        <v>-23.862695180538999</v>
      </c>
      <c r="E60" s="337">
        <v>0.71462829266399996</v>
      </c>
      <c r="F60" s="335">
        <v>0.87494627859899998</v>
      </c>
      <c r="G60" s="336">
        <v>0.21873656964900001</v>
      </c>
      <c r="H60" s="338">
        <v>0</v>
      </c>
      <c r="I60" s="335">
        <v>3.1680000000000001</v>
      </c>
      <c r="J60" s="336">
        <v>2.9492634303499998</v>
      </c>
      <c r="K60" s="339">
        <v>3.6207937304120001</v>
      </c>
    </row>
    <row r="61" spans="1:11" ht="14.4" customHeight="1" thickBot="1" x14ac:dyDescent="0.35">
      <c r="A61" s="352" t="s">
        <v>233</v>
      </c>
      <c r="B61" s="330">
        <v>0.98448469295899999</v>
      </c>
      <c r="C61" s="330">
        <v>0.29899999999999999</v>
      </c>
      <c r="D61" s="331">
        <v>-0.68548469295900005</v>
      </c>
      <c r="E61" s="332">
        <v>0.30371218784600001</v>
      </c>
      <c r="F61" s="330">
        <v>0.87494627859899998</v>
      </c>
      <c r="G61" s="331">
        <v>0.21873656964900001</v>
      </c>
      <c r="H61" s="333">
        <v>0</v>
      </c>
      <c r="I61" s="330">
        <v>0</v>
      </c>
      <c r="J61" s="331">
        <v>-0.21873656964900001</v>
      </c>
      <c r="K61" s="334">
        <v>0</v>
      </c>
    </row>
    <row r="62" spans="1:11" ht="14.4" customHeight="1" thickBot="1" x14ac:dyDescent="0.35">
      <c r="A62" s="352" t="s">
        <v>234</v>
      </c>
      <c r="B62" s="330">
        <v>30.183894459967998</v>
      </c>
      <c r="C62" s="330">
        <v>28.704999999999998</v>
      </c>
      <c r="D62" s="331">
        <v>-1.4788944599680001</v>
      </c>
      <c r="E62" s="332">
        <v>0.951003855319</v>
      </c>
      <c r="F62" s="330">
        <v>0</v>
      </c>
      <c r="G62" s="331">
        <v>0</v>
      </c>
      <c r="H62" s="333">
        <v>0</v>
      </c>
      <c r="I62" s="330">
        <v>3.1680000000000001</v>
      </c>
      <c r="J62" s="331">
        <v>3.1680000000000001</v>
      </c>
      <c r="K62" s="340" t="s">
        <v>179</v>
      </c>
    </row>
    <row r="63" spans="1:11" ht="14.4" customHeight="1" thickBot="1" x14ac:dyDescent="0.35">
      <c r="A63" s="352" t="s">
        <v>235</v>
      </c>
      <c r="B63" s="330">
        <v>52.451316027611</v>
      </c>
      <c r="C63" s="330">
        <v>30.753</v>
      </c>
      <c r="D63" s="331">
        <v>-21.698316027611</v>
      </c>
      <c r="E63" s="332">
        <v>0.58631512665499996</v>
      </c>
      <c r="F63" s="330">
        <v>0</v>
      </c>
      <c r="G63" s="331">
        <v>0</v>
      </c>
      <c r="H63" s="333">
        <v>0</v>
      </c>
      <c r="I63" s="330">
        <v>0</v>
      </c>
      <c r="J63" s="331">
        <v>0</v>
      </c>
      <c r="K63" s="340" t="s">
        <v>179</v>
      </c>
    </row>
    <row r="64" spans="1:11" ht="14.4" customHeight="1" thickBot="1" x14ac:dyDescent="0.35">
      <c r="A64" s="349" t="s">
        <v>32</v>
      </c>
      <c r="B64" s="330">
        <v>2831.0002555812498</v>
      </c>
      <c r="C64" s="330">
        <v>3042.8712599999999</v>
      </c>
      <c r="D64" s="331">
        <v>211.87100441875501</v>
      </c>
      <c r="E64" s="332">
        <v>1.0748396274430001</v>
      </c>
      <c r="F64" s="330">
        <v>2957</v>
      </c>
      <c r="G64" s="331">
        <v>739.25</v>
      </c>
      <c r="H64" s="333">
        <v>268.20652000000001</v>
      </c>
      <c r="I64" s="330">
        <v>773.44611999999995</v>
      </c>
      <c r="J64" s="331">
        <v>34.196120000000001</v>
      </c>
      <c r="K64" s="334">
        <v>0.26156446398299998</v>
      </c>
    </row>
    <row r="65" spans="1:11" ht="14.4" customHeight="1" thickBot="1" x14ac:dyDescent="0.35">
      <c r="A65" s="355" t="s">
        <v>236</v>
      </c>
      <c r="B65" s="335">
        <v>2106.00019012861</v>
      </c>
      <c r="C65" s="335">
        <v>2246.328</v>
      </c>
      <c r="D65" s="336">
        <v>140.32780987138801</v>
      </c>
      <c r="E65" s="337">
        <v>1.0666323823370001</v>
      </c>
      <c r="F65" s="335">
        <v>2192</v>
      </c>
      <c r="G65" s="336">
        <v>548</v>
      </c>
      <c r="H65" s="338">
        <v>197.28399999999999</v>
      </c>
      <c r="I65" s="335">
        <v>568.92899999999997</v>
      </c>
      <c r="J65" s="336">
        <v>20.928999999999998</v>
      </c>
      <c r="K65" s="339">
        <v>0.25954790145899997</v>
      </c>
    </row>
    <row r="66" spans="1:11" ht="14.4" customHeight="1" thickBot="1" x14ac:dyDescent="0.35">
      <c r="A66" s="351" t="s">
        <v>237</v>
      </c>
      <c r="B66" s="335">
        <v>2040.0001841701701</v>
      </c>
      <c r="C66" s="335">
        <v>2186.328</v>
      </c>
      <c r="D66" s="336">
        <v>146.32781582983401</v>
      </c>
      <c r="E66" s="337">
        <v>1.0717293150089999</v>
      </c>
      <c r="F66" s="335">
        <v>2126</v>
      </c>
      <c r="G66" s="336">
        <v>531.5</v>
      </c>
      <c r="H66" s="338">
        <v>192.28399999999999</v>
      </c>
      <c r="I66" s="335">
        <v>553.92899999999997</v>
      </c>
      <c r="J66" s="336">
        <v>22.428999999999998</v>
      </c>
      <c r="K66" s="339">
        <v>0.26054985888900001</v>
      </c>
    </row>
    <row r="67" spans="1:11" ht="14.4" customHeight="1" thickBot="1" x14ac:dyDescent="0.35">
      <c r="A67" s="352" t="s">
        <v>238</v>
      </c>
      <c r="B67" s="330">
        <v>2040.0001841701701</v>
      </c>
      <c r="C67" s="330">
        <v>2186.328</v>
      </c>
      <c r="D67" s="331">
        <v>146.32781582983401</v>
      </c>
      <c r="E67" s="332">
        <v>1.0717293150089999</v>
      </c>
      <c r="F67" s="330">
        <v>2126</v>
      </c>
      <c r="G67" s="331">
        <v>531.5</v>
      </c>
      <c r="H67" s="333">
        <v>192.28399999999999</v>
      </c>
      <c r="I67" s="330">
        <v>553.92899999999997</v>
      </c>
      <c r="J67" s="331">
        <v>22.428999999999998</v>
      </c>
      <c r="K67" s="334">
        <v>0.26054985888900001</v>
      </c>
    </row>
    <row r="68" spans="1:11" ht="14.4" customHeight="1" thickBot="1" x14ac:dyDescent="0.35">
      <c r="A68" s="351" t="s">
        <v>239</v>
      </c>
      <c r="B68" s="335">
        <v>60.000005416769</v>
      </c>
      <c r="C68" s="335">
        <v>60</v>
      </c>
      <c r="D68" s="336">
        <v>-5.4167695893170301E-6</v>
      </c>
      <c r="E68" s="337">
        <v>0.99999990971999997</v>
      </c>
      <c r="F68" s="335">
        <v>60</v>
      </c>
      <c r="G68" s="336">
        <v>15</v>
      </c>
      <c r="H68" s="338">
        <v>5</v>
      </c>
      <c r="I68" s="335">
        <v>15</v>
      </c>
      <c r="J68" s="336">
        <v>2.1316282072802999E-14</v>
      </c>
      <c r="K68" s="339">
        <v>0.25</v>
      </c>
    </row>
    <row r="69" spans="1:11" ht="14.4" customHeight="1" thickBot="1" x14ac:dyDescent="0.35">
      <c r="A69" s="352" t="s">
        <v>240</v>
      </c>
      <c r="B69" s="330">
        <v>60.000005416769</v>
      </c>
      <c r="C69" s="330">
        <v>60</v>
      </c>
      <c r="D69" s="331">
        <v>-5.4167695893170301E-6</v>
      </c>
      <c r="E69" s="332">
        <v>0.99999990971999997</v>
      </c>
      <c r="F69" s="330">
        <v>60</v>
      </c>
      <c r="G69" s="331">
        <v>15</v>
      </c>
      <c r="H69" s="333">
        <v>5</v>
      </c>
      <c r="I69" s="330">
        <v>15</v>
      </c>
      <c r="J69" s="331">
        <v>2.1316282072802999E-14</v>
      </c>
      <c r="K69" s="334">
        <v>0.25</v>
      </c>
    </row>
    <row r="70" spans="1:11" ht="14.4" customHeight="1" thickBot="1" x14ac:dyDescent="0.35">
      <c r="A70" s="351" t="s">
        <v>241</v>
      </c>
      <c r="B70" s="335">
        <v>6.0000005416760001</v>
      </c>
      <c r="C70" s="335">
        <v>0</v>
      </c>
      <c r="D70" s="336">
        <v>-6.0000005416760001</v>
      </c>
      <c r="E70" s="337">
        <v>0</v>
      </c>
      <c r="F70" s="335">
        <v>6</v>
      </c>
      <c r="G70" s="336">
        <v>1.5</v>
      </c>
      <c r="H70" s="338">
        <v>0</v>
      </c>
      <c r="I70" s="335">
        <v>0</v>
      </c>
      <c r="J70" s="336">
        <v>-1.5</v>
      </c>
      <c r="K70" s="339">
        <v>0</v>
      </c>
    </row>
    <row r="71" spans="1:11" ht="14.4" customHeight="1" thickBot="1" x14ac:dyDescent="0.35">
      <c r="A71" s="352" t="s">
        <v>242</v>
      </c>
      <c r="B71" s="330">
        <v>6.0000005416760001</v>
      </c>
      <c r="C71" s="330">
        <v>0</v>
      </c>
      <c r="D71" s="331">
        <v>-6.0000005416760001</v>
      </c>
      <c r="E71" s="332">
        <v>0</v>
      </c>
      <c r="F71" s="330">
        <v>6</v>
      </c>
      <c r="G71" s="331">
        <v>1.5</v>
      </c>
      <c r="H71" s="333">
        <v>0</v>
      </c>
      <c r="I71" s="330">
        <v>0</v>
      </c>
      <c r="J71" s="331">
        <v>-1.5</v>
      </c>
      <c r="K71" s="334">
        <v>0</v>
      </c>
    </row>
    <row r="72" spans="1:11" ht="14.4" customHeight="1" thickBot="1" x14ac:dyDescent="0.35">
      <c r="A72" s="350" t="s">
        <v>243</v>
      </c>
      <c r="B72" s="330">
        <v>694.00006265396905</v>
      </c>
      <c r="C72" s="330">
        <v>763.75121000000001</v>
      </c>
      <c r="D72" s="331">
        <v>69.751147346031004</v>
      </c>
      <c r="E72" s="332">
        <v>1.100505966929</v>
      </c>
      <c r="F72" s="330">
        <v>721.99999999999898</v>
      </c>
      <c r="G72" s="331">
        <v>180.5</v>
      </c>
      <c r="H72" s="333">
        <v>67.076279999999997</v>
      </c>
      <c r="I72" s="330">
        <v>193.43589</v>
      </c>
      <c r="J72" s="331">
        <v>12.935890000000001</v>
      </c>
      <c r="K72" s="334">
        <v>0.26791674515199998</v>
      </c>
    </row>
    <row r="73" spans="1:11" ht="14.4" customHeight="1" thickBot="1" x14ac:dyDescent="0.35">
      <c r="A73" s="351" t="s">
        <v>244</v>
      </c>
      <c r="B73" s="335">
        <v>184.00001661142699</v>
      </c>
      <c r="C73" s="335">
        <v>202.16917000000001</v>
      </c>
      <c r="D73" s="336">
        <v>18.169153388573001</v>
      </c>
      <c r="E73" s="337">
        <v>1.098745389936</v>
      </c>
      <c r="F73" s="335">
        <v>190.99999999999901</v>
      </c>
      <c r="G73" s="336">
        <v>47.749999999998998</v>
      </c>
      <c r="H73" s="338">
        <v>17.755269999999999</v>
      </c>
      <c r="I73" s="335">
        <v>51.203629999999997</v>
      </c>
      <c r="J73" s="336">
        <v>3.45363</v>
      </c>
      <c r="K73" s="339">
        <v>0.26808183246</v>
      </c>
    </row>
    <row r="74" spans="1:11" ht="14.4" customHeight="1" thickBot="1" x14ac:dyDescent="0.35">
      <c r="A74" s="352" t="s">
        <v>245</v>
      </c>
      <c r="B74" s="330">
        <v>184.00001661142699</v>
      </c>
      <c r="C74" s="330">
        <v>202.16917000000001</v>
      </c>
      <c r="D74" s="331">
        <v>18.169153388573001</v>
      </c>
      <c r="E74" s="332">
        <v>1.098745389936</v>
      </c>
      <c r="F74" s="330">
        <v>190.99999999999901</v>
      </c>
      <c r="G74" s="331">
        <v>47.749999999998998</v>
      </c>
      <c r="H74" s="333">
        <v>17.755269999999999</v>
      </c>
      <c r="I74" s="330">
        <v>51.203629999999997</v>
      </c>
      <c r="J74" s="331">
        <v>3.45363</v>
      </c>
      <c r="K74" s="334">
        <v>0.26808183246</v>
      </c>
    </row>
    <row r="75" spans="1:11" ht="14.4" customHeight="1" thickBot="1" x14ac:dyDescent="0.35">
      <c r="A75" s="351" t="s">
        <v>246</v>
      </c>
      <c r="B75" s="335">
        <v>510.00004604254201</v>
      </c>
      <c r="C75" s="335">
        <v>561.58204000000001</v>
      </c>
      <c r="D75" s="336">
        <v>51.581993957458003</v>
      </c>
      <c r="E75" s="337">
        <v>1.101141155491</v>
      </c>
      <c r="F75" s="335">
        <v>531</v>
      </c>
      <c r="G75" s="336">
        <v>132.75</v>
      </c>
      <c r="H75" s="338">
        <v>49.321010000000001</v>
      </c>
      <c r="I75" s="335">
        <v>142.23226</v>
      </c>
      <c r="J75" s="336">
        <v>9.4822600000000001</v>
      </c>
      <c r="K75" s="339">
        <v>0.267857363465</v>
      </c>
    </row>
    <row r="76" spans="1:11" ht="14.4" customHeight="1" thickBot="1" x14ac:dyDescent="0.35">
      <c r="A76" s="352" t="s">
        <v>247</v>
      </c>
      <c r="B76" s="330">
        <v>510.00004604254201</v>
      </c>
      <c r="C76" s="330">
        <v>561.58204000000001</v>
      </c>
      <c r="D76" s="331">
        <v>51.581993957458003</v>
      </c>
      <c r="E76" s="332">
        <v>1.101141155491</v>
      </c>
      <c r="F76" s="330">
        <v>531</v>
      </c>
      <c r="G76" s="331">
        <v>132.75</v>
      </c>
      <c r="H76" s="333">
        <v>49.321010000000001</v>
      </c>
      <c r="I76" s="330">
        <v>142.23226</v>
      </c>
      <c r="J76" s="331">
        <v>9.4822600000000001</v>
      </c>
      <c r="K76" s="334">
        <v>0.267857363465</v>
      </c>
    </row>
    <row r="77" spans="1:11" ht="14.4" customHeight="1" thickBot="1" x14ac:dyDescent="0.35">
      <c r="A77" s="350" t="s">
        <v>248</v>
      </c>
      <c r="B77" s="330">
        <v>31.000002798663999</v>
      </c>
      <c r="C77" s="330">
        <v>32.792050000000003</v>
      </c>
      <c r="D77" s="331">
        <v>1.792047201335</v>
      </c>
      <c r="E77" s="332">
        <v>1.0578079690169999</v>
      </c>
      <c r="F77" s="330">
        <v>43</v>
      </c>
      <c r="G77" s="331">
        <v>10.75</v>
      </c>
      <c r="H77" s="333">
        <v>3.8462399999999999</v>
      </c>
      <c r="I77" s="330">
        <v>11.08123</v>
      </c>
      <c r="J77" s="331">
        <v>0.33122999999899999</v>
      </c>
      <c r="K77" s="334">
        <v>0.257703023255</v>
      </c>
    </row>
    <row r="78" spans="1:11" ht="14.4" customHeight="1" thickBot="1" x14ac:dyDescent="0.35">
      <c r="A78" s="351" t="s">
        <v>249</v>
      </c>
      <c r="B78" s="335">
        <v>31.000002798663999</v>
      </c>
      <c r="C78" s="335">
        <v>32.792050000000003</v>
      </c>
      <c r="D78" s="336">
        <v>1.792047201335</v>
      </c>
      <c r="E78" s="337">
        <v>1.0578079690169999</v>
      </c>
      <c r="F78" s="335">
        <v>43</v>
      </c>
      <c r="G78" s="336">
        <v>10.75</v>
      </c>
      <c r="H78" s="338">
        <v>3.8462399999999999</v>
      </c>
      <c r="I78" s="335">
        <v>11.08123</v>
      </c>
      <c r="J78" s="336">
        <v>0.33122999999899999</v>
      </c>
      <c r="K78" s="339">
        <v>0.257703023255</v>
      </c>
    </row>
    <row r="79" spans="1:11" ht="14.4" customHeight="1" thickBot="1" x14ac:dyDescent="0.35">
      <c r="A79" s="352" t="s">
        <v>250</v>
      </c>
      <c r="B79" s="330">
        <v>31.000002798663999</v>
      </c>
      <c r="C79" s="330">
        <v>32.792050000000003</v>
      </c>
      <c r="D79" s="331">
        <v>1.792047201335</v>
      </c>
      <c r="E79" s="332">
        <v>1.0578079690169999</v>
      </c>
      <c r="F79" s="330">
        <v>43</v>
      </c>
      <c r="G79" s="331">
        <v>10.75</v>
      </c>
      <c r="H79" s="333">
        <v>3.8462399999999999</v>
      </c>
      <c r="I79" s="330">
        <v>11.08123</v>
      </c>
      <c r="J79" s="331">
        <v>0.33122999999899999</v>
      </c>
      <c r="K79" s="334">
        <v>0.257703023255</v>
      </c>
    </row>
    <row r="80" spans="1:11" ht="14.4" customHeight="1" thickBot="1" x14ac:dyDescent="0.35">
      <c r="A80" s="349" t="s">
        <v>251</v>
      </c>
      <c r="B80" s="330">
        <v>0</v>
      </c>
      <c r="C80" s="330">
        <v>19.7302</v>
      </c>
      <c r="D80" s="331">
        <v>19.7302</v>
      </c>
      <c r="E80" s="341" t="s">
        <v>179</v>
      </c>
      <c r="F80" s="330">
        <v>0</v>
      </c>
      <c r="G80" s="331">
        <v>0</v>
      </c>
      <c r="H80" s="333">
        <v>4.5599999999999996</v>
      </c>
      <c r="I80" s="330">
        <v>8.5</v>
      </c>
      <c r="J80" s="331">
        <v>8.5</v>
      </c>
      <c r="K80" s="340" t="s">
        <v>179</v>
      </c>
    </row>
    <row r="81" spans="1:11" ht="14.4" customHeight="1" thickBot="1" x14ac:dyDescent="0.35">
      <c r="A81" s="350" t="s">
        <v>252</v>
      </c>
      <c r="B81" s="330">
        <v>0</v>
      </c>
      <c r="C81" s="330">
        <v>19.7302</v>
      </c>
      <c r="D81" s="331">
        <v>19.7302</v>
      </c>
      <c r="E81" s="341" t="s">
        <v>179</v>
      </c>
      <c r="F81" s="330">
        <v>0</v>
      </c>
      <c r="G81" s="331">
        <v>0</v>
      </c>
      <c r="H81" s="333">
        <v>4.5599999999999996</v>
      </c>
      <c r="I81" s="330">
        <v>8.5</v>
      </c>
      <c r="J81" s="331">
        <v>8.5</v>
      </c>
      <c r="K81" s="340" t="s">
        <v>179</v>
      </c>
    </row>
    <row r="82" spans="1:11" ht="14.4" customHeight="1" thickBot="1" x14ac:dyDescent="0.35">
      <c r="A82" s="351" t="s">
        <v>253</v>
      </c>
      <c r="B82" s="335">
        <v>0</v>
      </c>
      <c r="C82" s="335">
        <v>18.280200000000001</v>
      </c>
      <c r="D82" s="336">
        <v>18.280200000000001</v>
      </c>
      <c r="E82" s="343" t="s">
        <v>179</v>
      </c>
      <c r="F82" s="335">
        <v>0</v>
      </c>
      <c r="G82" s="336">
        <v>0</v>
      </c>
      <c r="H82" s="338">
        <v>4.5599999999999996</v>
      </c>
      <c r="I82" s="335">
        <v>8.5</v>
      </c>
      <c r="J82" s="336">
        <v>8.5</v>
      </c>
      <c r="K82" s="342" t="s">
        <v>179</v>
      </c>
    </row>
    <row r="83" spans="1:11" ht="14.4" customHeight="1" thickBot="1" x14ac:dyDescent="0.35">
      <c r="A83" s="352" t="s">
        <v>254</v>
      </c>
      <c r="B83" s="330">
        <v>0</v>
      </c>
      <c r="C83" s="330">
        <v>0.38719999999999999</v>
      </c>
      <c r="D83" s="331">
        <v>0.38719999999999999</v>
      </c>
      <c r="E83" s="341" t="s">
        <v>191</v>
      </c>
      <c r="F83" s="330">
        <v>0</v>
      </c>
      <c r="G83" s="331">
        <v>0</v>
      </c>
      <c r="H83" s="333">
        <v>0</v>
      </c>
      <c r="I83" s="330">
        <v>0</v>
      </c>
      <c r="J83" s="331">
        <v>0</v>
      </c>
      <c r="K83" s="340" t="s">
        <v>179</v>
      </c>
    </row>
    <row r="84" spans="1:11" ht="14.4" customHeight="1" thickBot="1" x14ac:dyDescent="0.35">
      <c r="A84" s="352" t="s">
        <v>255</v>
      </c>
      <c r="B84" s="330">
        <v>0</v>
      </c>
      <c r="C84" s="330">
        <v>17.562999999999999</v>
      </c>
      <c r="D84" s="331">
        <v>17.562999999999999</v>
      </c>
      <c r="E84" s="341" t="s">
        <v>179</v>
      </c>
      <c r="F84" s="330">
        <v>0</v>
      </c>
      <c r="G84" s="331">
        <v>0</v>
      </c>
      <c r="H84" s="333">
        <v>4.5599999999999996</v>
      </c>
      <c r="I84" s="330">
        <v>8.5</v>
      </c>
      <c r="J84" s="331">
        <v>8.5</v>
      </c>
      <c r="K84" s="340" t="s">
        <v>179</v>
      </c>
    </row>
    <row r="85" spans="1:11" ht="14.4" customHeight="1" thickBot="1" x14ac:dyDescent="0.35">
      <c r="A85" s="352" t="s">
        <v>256</v>
      </c>
      <c r="B85" s="330">
        <v>0</v>
      </c>
      <c r="C85" s="330">
        <v>0.33</v>
      </c>
      <c r="D85" s="331">
        <v>0.33</v>
      </c>
      <c r="E85" s="341" t="s">
        <v>179</v>
      </c>
      <c r="F85" s="330">
        <v>0</v>
      </c>
      <c r="G85" s="331">
        <v>0</v>
      </c>
      <c r="H85" s="333">
        <v>0</v>
      </c>
      <c r="I85" s="330">
        <v>0</v>
      </c>
      <c r="J85" s="331">
        <v>0</v>
      </c>
      <c r="K85" s="340" t="s">
        <v>179</v>
      </c>
    </row>
    <row r="86" spans="1:11" ht="14.4" customHeight="1" thickBot="1" x14ac:dyDescent="0.35">
      <c r="A86" s="354" t="s">
        <v>257</v>
      </c>
      <c r="B86" s="330">
        <v>0</v>
      </c>
      <c r="C86" s="330">
        <v>1.45</v>
      </c>
      <c r="D86" s="331">
        <v>1.45</v>
      </c>
      <c r="E86" s="341" t="s">
        <v>179</v>
      </c>
      <c r="F86" s="330">
        <v>0</v>
      </c>
      <c r="G86" s="331">
        <v>0</v>
      </c>
      <c r="H86" s="333">
        <v>0</v>
      </c>
      <c r="I86" s="330">
        <v>0</v>
      </c>
      <c r="J86" s="331">
        <v>0</v>
      </c>
      <c r="K86" s="340" t="s">
        <v>179</v>
      </c>
    </row>
    <row r="87" spans="1:11" ht="14.4" customHeight="1" thickBot="1" x14ac:dyDescent="0.35">
      <c r="A87" s="352" t="s">
        <v>258</v>
      </c>
      <c r="B87" s="330">
        <v>0</v>
      </c>
      <c r="C87" s="330">
        <v>1.45</v>
      </c>
      <c r="D87" s="331">
        <v>1.45</v>
      </c>
      <c r="E87" s="341" t="s">
        <v>179</v>
      </c>
      <c r="F87" s="330">
        <v>0</v>
      </c>
      <c r="G87" s="331">
        <v>0</v>
      </c>
      <c r="H87" s="333">
        <v>0</v>
      </c>
      <c r="I87" s="330">
        <v>0</v>
      </c>
      <c r="J87" s="331">
        <v>0</v>
      </c>
      <c r="K87" s="340" t="s">
        <v>179</v>
      </c>
    </row>
    <row r="88" spans="1:11" ht="14.4" customHeight="1" thickBot="1" x14ac:dyDescent="0.35">
      <c r="A88" s="349" t="s">
        <v>259</v>
      </c>
      <c r="B88" s="330">
        <v>72.000166266695004</v>
      </c>
      <c r="C88" s="330">
        <v>71.256</v>
      </c>
      <c r="D88" s="331">
        <v>-0.74416626669499997</v>
      </c>
      <c r="E88" s="332">
        <v>0.98966438127400003</v>
      </c>
      <c r="F88" s="330">
        <v>72</v>
      </c>
      <c r="G88" s="331">
        <v>18</v>
      </c>
      <c r="H88" s="333">
        <v>5.9379999999999997</v>
      </c>
      <c r="I88" s="330">
        <v>17.814</v>
      </c>
      <c r="J88" s="331">
        <v>-0.186</v>
      </c>
      <c r="K88" s="334">
        <v>0.24741666666600001</v>
      </c>
    </row>
    <row r="89" spans="1:11" ht="14.4" customHeight="1" thickBot="1" x14ac:dyDescent="0.35">
      <c r="A89" s="350" t="s">
        <v>260</v>
      </c>
      <c r="B89" s="330">
        <v>72.000166266695004</v>
      </c>
      <c r="C89" s="330">
        <v>71.256</v>
      </c>
      <c r="D89" s="331">
        <v>-0.74416626669499997</v>
      </c>
      <c r="E89" s="332">
        <v>0.98966438127400003</v>
      </c>
      <c r="F89" s="330">
        <v>72</v>
      </c>
      <c r="G89" s="331">
        <v>18</v>
      </c>
      <c r="H89" s="333">
        <v>5.9379999999999997</v>
      </c>
      <c r="I89" s="330">
        <v>17.814</v>
      </c>
      <c r="J89" s="331">
        <v>-0.186</v>
      </c>
      <c r="K89" s="334">
        <v>0.24741666666600001</v>
      </c>
    </row>
    <row r="90" spans="1:11" ht="14.4" customHeight="1" thickBot="1" x14ac:dyDescent="0.35">
      <c r="A90" s="351" t="s">
        <v>261</v>
      </c>
      <c r="B90" s="335">
        <v>72.000166266695004</v>
      </c>
      <c r="C90" s="335">
        <v>71.256</v>
      </c>
      <c r="D90" s="336">
        <v>-0.74416626669499997</v>
      </c>
      <c r="E90" s="337">
        <v>0.98966438127400003</v>
      </c>
      <c r="F90" s="335">
        <v>72</v>
      </c>
      <c r="G90" s="336">
        <v>18</v>
      </c>
      <c r="H90" s="338">
        <v>5.9379999999999997</v>
      </c>
      <c r="I90" s="335">
        <v>17.814</v>
      </c>
      <c r="J90" s="336">
        <v>-0.186</v>
      </c>
      <c r="K90" s="339">
        <v>0.24741666666600001</v>
      </c>
    </row>
    <row r="91" spans="1:11" ht="14.4" customHeight="1" thickBot="1" x14ac:dyDescent="0.35">
      <c r="A91" s="352" t="s">
        <v>262</v>
      </c>
      <c r="B91" s="330">
        <v>15.000034638894</v>
      </c>
      <c r="C91" s="330">
        <v>14.58</v>
      </c>
      <c r="D91" s="331">
        <v>-0.420034638894</v>
      </c>
      <c r="E91" s="332">
        <v>0.97199775540400002</v>
      </c>
      <c r="F91" s="330">
        <v>15</v>
      </c>
      <c r="G91" s="331">
        <v>3.75</v>
      </c>
      <c r="H91" s="333">
        <v>1.2150000000000001</v>
      </c>
      <c r="I91" s="330">
        <v>3.645</v>
      </c>
      <c r="J91" s="331">
        <v>-0.105</v>
      </c>
      <c r="K91" s="334">
        <v>0.24299999999999999</v>
      </c>
    </row>
    <row r="92" spans="1:11" ht="14.4" customHeight="1" thickBot="1" x14ac:dyDescent="0.35">
      <c r="A92" s="352" t="s">
        <v>263</v>
      </c>
      <c r="B92" s="330">
        <v>57.000131627800002</v>
      </c>
      <c r="C92" s="330">
        <v>56.676000000000002</v>
      </c>
      <c r="D92" s="331">
        <v>-0.32413162779999999</v>
      </c>
      <c r="E92" s="332">
        <v>0.99431349334499997</v>
      </c>
      <c r="F92" s="330">
        <v>57</v>
      </c>
      <c r="G92" s="331">
        <v>14.25</v>
      </c>
      <c r="H92" s="333">
        <v>4.7229999999999999</v>
      </c>
      <c r="I92" s="330">
        <v>14.169</v>
      </c>
      <c r="J92" s="331">
        <v>-8.1000000000000003E-2</v>
      </c>
      <c r="K92" s="334">
        <v>0.24857894736799999</v>
      </c>
    </row>
    <row r="93" spans="1:11" ht="14.4" customHeight="1" thickBot="1" x14ac:dyDescent="0.35">
      <c r="A93" s="348" t="s">
        <v>264</v>
      </c>
      <c r="B93" s="330">
        <v>149.91698991823799</v>
      </c>
      <c r="C93" s="330">
        <v>6.1600799999999998</v>
      </c>
      <c r="D93" s="331">
        <v>-143.75690991823799</v>
      </c>
      <c r="E93" s="332">
        <v>4.1089939194000002E-2</v>
      </c>
      <c r="F93" s="330">
        <v>5.2240593417429997</v>
      </c>
      <c r="G93" s="331">
        <v>1.3060148354350001</v>
      </c>
      <c r="H93" s="333">
        <v>0.11</v>
      </c>
      <c r="I93" s="330">
        <v>0.11</v>
      </c>
      <c r="J93" s="331">
        <v>-1.196014835435</v>
      </c>
      <c r="K93" s="334">
        <v>2.1056422371999998E-2</v>
      </c>
    </row>
    <row r="94" spans="1:11" ht="14.4" customHeight="1" thickBot="1" x14ac:dyDescent="0.35">
      <c r="A94" s="349" t="s">
        <v>265</v>
      </c>
      <c r="B94" s="330">
        <v>0.70850209533200004</v>
      </c>
      <c r="C94" s="330">
        <v>0</v>
      </c>
      <c r="D94" s="331">
        <v>-0.70850209533200004</v>
      </c>
      <c r="E94" s="332">
        <v>0</v>
      </c>
      <c r="F94" s="330">
        <v>0</v>
      </c>
      <c r="G94" s="331">
        <v>0</v>
      </c>
      <c r="H94" s="333">
        <v>0</v>
      </c>
      <c r="I94" s="330">
        <v>0</v>
      </c>
      <c r="J94" s="331">
        <v>0</v>
      </c>
      <c r="K94" s="340" t="s">
        <v>179</v>
      </c>
    </row>
    <row r="95" spans="1:11" ht="14.4" customHeight="1" thickBot="1" x14ac:dyDescent="0.35">
      <c r="A95" s="350" t="s">
        <v>266</v>
      </c>
      <c r="B95" s="330">
        <v>0.70850209533200004</v>
      </c>
      <c r="C95" s="330">
        <v>0</v>
      </c>
      <c r="D95" s="331">
        <v>-0.70850209533200004</v>
      </c>
      <c r="E95" s="332">
        <v>0</v>
      </c>
      <c r="F95" s="330">
        <v>0</v>
      </c>
      <c r="G95" s="331">
        <v>0</v>
      </c>
      <c r="H95" s="333">
        <v>0</v>
      </c>
      <c r="I95" s="330">
        <v>0</v>
      </c>
      <c r="J95" s="331">
        <v>0</v>
      </c>
      <c r="K95" s="340" t="s">
        <v>179</v>
      </c>
    </row>
    <row r="96" spans="1:11" ht="14.4" customHeight="1" thickBot="1" x14ac:dyDescent="0.35">
      <c r="A96" s="351" t="s">
        <v>267</v>
      </c>
      <c r="B96" s="335">
        <v>0.70850209533200004</v>
      </c>
      <c r="C96" s="335">
        <v>0</v>
      </c>
      <c r="D96" s="336">
        <v>-0.70850209533200004</v>
      </c>
      <c r="E96" s="337">
        <v>0</v>
      </c>
      <c r="F96" s="335">
        <v>0</v>
      </c>
      <c r="G96" s="336">
        <v>0</v>
      </c>
      <c r="H96" s="338">
        <v>0</v>
      </c>
      <c r="I96" s="335">
        <v>0</v>
      </c>
      <c r="J96" s="336">
        <v>0</v>
      </c>
      <c r="K96" s="339">
        <v>0</v>
      </c>
    </row>
    <row r="97" spans="1:11" ht="14.4" customHeight="1" thickBot="1" x14ac:dyDescent="0.35">
      <c r="A97" s="352" t="s">
        <v>268</v>
      </c>
      <c r="B97" s="330">
        <v>0.70850209533200004</v>
      </c>
      <c r="C97" s="330">
        <v>0</v>
      </c>
      <c r="D97" s="331">
        <v>-0.70850209533200004</v>
      </c>
      <c r="E97" s="332">
        <v>0</v>
      </c>
      <c r="F97" s="330">
        <v>0</v>
      </c>
      <c r="G97" s="331">
        <v>0</v>
      </c>
      <c r="H97" s="333">
        <v>0</v>
      </c>
      <c r="I97" s="330">
        <v>0</v>
      </c>
      <c r="J97" s="331">
        <v>0</v>
      </c>
      <c r="K97" s="334">
        <v>0</v>
      </c>
    </row>
    <row r="98" spans="1:11" ht="14.4" customHeight="1" thickBot="1" x14ac:dyDescent="0.35">
      <c r="A98" s="349" t="s">
        <v>269</v>
      </c>
      <c r="B98" s="330">
        <v>149.20848782290599</v>
      </c>
      <c r="C98" s="330">
        <v>6.1600799999999998</v>
      </c>
      <c r="D98" s="331">
        <v>-143.048407822906</v>
      </c>
      <c r="E98" s="332">
        <v>4.1285050801999998E-2</v>
      </c>
      <c r="F98" s="330">
        <v>5.2240593417429997</v>
      </c>
      <c r="G98" s="331">
        <v>1.3060148354350001</v>
      </c>
      <c r="H98" s="333">
        <v>0.11</v>
      </c>
      <c r="I98" s="330">
        <v>0.11</v>
      </c>
      <c r="J98" s="331">
        <v>-1.196014835435</v>
      </c>
      <c r="K98" s="334">
        <v>2.1056422371999998E-2</v>
      </c>
    </row>
    <row r="99" spans="1:11" ht="14.4" customHeight="1" thickBot="1" x14ac:dyDescent="0.35">
      <c r="A99" s="355" t="s">
        <v>270</v>
      </c>
      <c r="B99" s="335">
        <v>149.20848782290599</v>
      </c>
      <c r="C99" s="335">
        <v>6.1600799999999998</v>
      </c>
      <c r="D99" s="336">
        <v>-143.048407822906</v>
      </c>
      <c r="E99" s="337">
        <v>4.1285050801999998E-2</v>
      </c>
      <c r="F99" s="335">
        <v>5.2240593417429997</v>
      </c>
      <c r="G99" s="336">
        <v>1.3060148354350001</v>
      </c>
      <c r="H99" s="338">
        <v>0.11</v>
      </c>
      <c r="I99" s="335">
        <v>0.11</v>
      </c>
      <c r="J99" s="336">
        <v>-1.196014835435</v>
      </c>
      <c r="K99" s="339">
        <v>2.1056422371999998E-2</v>
      </c>
    </row>
    <row r="100" spans="1:11" ht="14.4" customHeight="1" thickBot="1" x14ac:dyDescent="0.35">
      <c r="A100" s="351" t="s">
        <v>271</v>
      </c>
      <c r="B100" s="335">
        <v>149.20848782290599</v>
      </c>
      <c r="C100" s="335">
        <v>6.1600799999999998</v>
      </c>
      <c r="D100" s="336">
        <v>-143.048407822906</v>
      </c>
      <c r="E100" s="337">
        <v>4.1285050801999998E-2</v>
      </c>
      <c r="F100" s="335">
        <v>5.2240593417429997</v>
      </c>
      <c r="G100" s="336">
        <v>1.3060148354350001</v>
      </c>
      <c r="H100" s="338">
        <v>0.11</v>
      </c>
      <c r="I100" s="335">
        <v>0.11</v>
      </c>
      <c r="J100" s="336">
        <v>-1.196014835435</v>
      </c>
      <c r="K100" s="339">
        <v>2.1056422371999998E-2</v>
      </c>
    </row>
    <row r="101" spans="1:11" ht="14.4" customHeight="1" thickBot="1" x14ac:dyDescent="0.35">
      <c r="A101" s="352" t="s">
        <v>272</v>
      </c>
      <c r="B101" s="330">
        <v>0.80962967675099995</v>
      </c>
      <c r="C101" s="330">
        <v>0.21</v>
      </c>
      <c r="D101" s="331">
        <v>-0.59962967675099998</v>
      </c>
      <c r="E101" s="332">
        <v>0.25937784400699998</v>
      </c>
      <c r="F101" s="330">
        <v>0</v>
      </c>
      <c r="G101" s="331">
        <v>0</v>
      </c>
      <c r="H101" s="333">
        <v>0.11</v>
      </c>
      <c r="I101" s="330">
        <v>0.11</v>
      </c>
      <c r="J101" s="331">
        <v>0.11</v>
      </c>
      <c r="K101" s="340" t="s">
        <v>179</v>
      </c>
    </row>
    <row r="102" spans="1:11" ht="14.4" customHeight="1" thickBot="1" x14ac:dyDescent="0.35">
      <c r="A102" s="352" t="s">
        <v>273</v>
      </c>
      <c r="B102" s="330">
        <v>148.39885814615499</v>
      </c>
      <c r="C102" s="330">
        <v>5.9500799999999998</v>
      </c>
      <c r="D102" s="331">
        <v>-142.44877814615501</v>
      </c>
      <c r="E102" s="332">
        <v>4.0095187215000001E-2</v>
      </c>
      <c r="F102" s="330">
        <v>5.2240593417429997</v>
      </c>
      <c r="G102" s="331">
        <v>1.3060148354350001</v>
      </c>
      <c r="H102" s="333">
        <v>0</v>
      </c>
      <c r="I102" s="330">
        <v>0</v>
      </c>
      <c r="J102" s="331">
        <v>-1.3060148354350001</v>
      </c>
      <c r="K102" s="334">
        <v>0</v>
      </c>
    </row>
    <row r="103" spans="1:11" ht="14.4" customHeight="1" thickBot="1" x14ac:dyDescent="0.35">
      <c r="A103" s="348" t="s">
        <v>274</v>
      </c>
      <c r="B103" s="330">
        <v>501.42696791205799</v>
      </c>
      <c r="C103" s="330">
        <v>495.05142999999998</v>
      </c>
      <c r="D103" s="331">
        <v>-6.3755379120580002</v>
      </c>
      <c r="E103" s="332">
        <v>0.987285211366</v>
      </c>
      <c r="F103" s="330">
        <v>442.79417767830699</v>
      </c>
      <c r="G103" s="331">
        <v>110.698544419577</v>
      </c>
      <c r="H103" s="333">
        <v>42.121760000000002</v>
      </c>
      <c r="I103" s="330">
        <v>109.73043</v>
      </c>
      <c r="J103" s="331">
        <v>-0.96811441957599997</v>
      </c>
      <c r="K103" s="334">
        <v>0.247813624323</v>
      </c>
    </row>
    <row r="104" spans="1:11" ht="14.4" customHeight="1" thickBot="1" x14ac:dyDescent="0.35">
      <c r="A104" s="353" t="s">
        <v>275</v>
      </c>
      <c r="B104" s="335">
        <v>501.42696791205799</v>
      </c>
      <c r="C104" s="335">
        <v>495.05142999999998</v>
      </c>
      <c r="D104" s="336">
        <v>-6.3755379120580002</v>
      </c>
      <c r="E104" s="337">
        <v>0.987285211366</v>
      </c>
      <c r="F104" s="335">
        <v>442.79417767830699</v>
      </c>
      <c r="G104" s="336">
        <v>110.698544419577</v>
      </c>
      <c r="H104" s="338">
        <v>42.121760000000002</v>
      </c>
      <c r="I104" s="335">
        <v>109.73043</v>
      </c>
      <c r="J104" s="336">
        <v>-0.96811441957599997</v>
      </c>
      <c r="K104" s="339">
        <v>0.247813624323</v>
      </c>
    </row>
    <row r="105" spans="1:11" ht="14.4" customHeight="1" thickBot="1" x14ac:dyDescent="0.35">
      <c r="A105" s="355" t="s">
        <v>38</v>
      </c>
      <c r="B105" s="335">
        <v>501.42696791205799</v>
      </c>
      <c r="C105" s="335">
        <v>495.05142999999998</v>
      </c>
      <c r="D105" s="336">
        <v>-6.3755379120580002</v>
      </c>
      <c r="E105" s="337">
        <v>0.987285211366</v>
      </c>
      <c r="F105" s="335">
        <v>442.79417767830699</v>
      </c>
      <c r="G105" s="336">
        <v>110.698544419577</v>
      </c>
      <c r="H105" s="338">
        <v>42.121760000000002</v>
      </c>
      <c r="I105" s="335">
        <v>109.73043</v>
      </c>
      <c r="J105" s="336">
        <v>-0.96811441957599997</v>
      </c>
      <c r="K105" s="339">
        <v>0.247813624323</v>
      </c>
    </row>
    <row r="106" spans="1:11" ht="14.4" customHeight="1" thickBot="1" x14ac:dyDescent="0.35">
      <c r="A106" s="351" t="s">
        <v>276</v>
      </c>
      <c r="B106" s="335">
        <v>42.601398573247003</v>
      </c>
      <c r="C106" s="335">
        <v>15.6295</v>
      </c>
      <c r="D106" s="336">
        <v>-26.971898573247</v>
      </c>
      <c r="E106" s="337">
        <v>0.36687762663700002</v>
      </c>
      <c r="F106" s="335">
        <v>28.454718974555</v>
      </c>
      <c r="G106" s="336">
        <v>7.1136797436380004</v>
      </c>
      <c r="H106" s="338">
        <v>0.1011</v>
      </c>
      <c r="I106" s="335">
        <v>7.6778000000000004</v>
      </c>
      <c r="J106" s="336">
        <v>0.56412025636100005</v>
      </c>
      <c r="K106" s="339">
        <v>0.26982519162599999</v>
      </c>
    </row>
    <row r="107" spans="1:11" ht="14.4" customHeight="1" thickBot="1" x14ac:dyDescent="0.35">
      <c r="A107" s="352" t="s">
        <v>277</v>
      </c>
      <c r="B107" s="330">
        <v>41.832161039033998</v>
      </c>
      <c r="C107" s="330">
        <v>15.115</v>
      </c>
      <c r="D107" s="331">
        <v>-26.717161039034</v>
      </c>
      <c r="E107" s="332">
        <v>0.36132486643200001</v>
      </c>
      <c r="F107" s="330">
        <v>27.903881028560999</v>
      </c>
      <c r="G107" s="331">
        <v>6.9759702571400002</v>
      </c>
      <c r="H107" s="333">
        <v>0.1011</v>
      </c>
      <c r="I107" s="330">
        <v>7.3102999999999998</v>
      </c>
      <c r="J107" s="331">
        <v>0.33432974285900002</v>
      </c>
      <c r="K107" s="334">
        <v>0.26198147822200002</v>
      </c>
    </row>
    <row r="108" spans="1:11" ht="14.4" customHeight="1" thickBot="1" x14ac:dyDescent="0.35">
      <c r="A108" s="352" t="s">
        <v>278</v>
      </c>
      <c r="B108" s="330">
        <v>0.76923753421200003</v>
      </c>
      <c r="C108" s="330">
        <v>0.51449999999999996</v>
      </c>
      <c r="D108" s="331">
        <v>-0.25473753421200002</v>
      </c>
      <c r="E108" s="332">
        <v>0.66884411786599995</v>
      </c>
      <c r="F108" s="330">
        <v>0.55083794599299996</v>
      </c>
      <c r="G108" s="331">
        <v>0.13770948649799999</v>
      </c>
      <c r="H108" s="333">
        <v>0</v>
      </c>
      <c r="I108" s="330">
        <v>0.36749999999999999</v>
      </c>
      <c r="J108" s="331">
        <v>0.22979051350099999</v>
      </c>
      <c r="K108" s="334">
        <v>0.66716536628000001</v>
      </c>
    </row>
    <row r="109" spans="1:11" ht="14.4" customHeight="1" thickBot="1" x14ac:dyDescent="0.35">
      <c r="A109" s="351" t="s">
        <v>279</v>
      </c>
      <c r="B109" s="335">
        <v>5.3832688803610003</v>
      </c>
      <c r="C109" s="335">
        <v>5.4831000000000003</v>
      </c>
      <c r="D109" s="336">
        <v>9.9831119637999996E-2</v>
      </c>
      <c r="E109" s="337">
        <v>1.0185447024580001</v>
      </c>
      <c r="F109" s="335">
        <v>5.3653403454199999</v>
      </c>
      <c r="G109" s="336">
        <v>1.341335086355</v>
      </c>
      <c r="H109" s="338">
        <v>0.51229999999999998</v>
      </c>
      <c r="I109" s="335">
        <v>1.5662</v>
      </c>
      <c r="J109" s="336">
        <v>0.22486491364399999</v>
      </c>
      <c r="K109" s="339">
        <v>0.29191065229099999</v>
      </c>
    </row>
    <row r="110" spans="1:11" ht="14.4" customHeight="1" thickBot="1" x14ac:dyDescent="0.35">
      <c r="A110" s="352" t="s">
        <v>280</v>
      </c>
      <c r="B110" s="330">
        <v>5.3832688803610003</v>
      </c>
      <c r="C110" s="330">
        <v>5.4831000000000003</v>
      </c>
      <c r="D110" s="331">
        <v>9.9831119637999996E-2</v>
      </c>
      <c r="E110" s="332">
        <v>1.0185447024580001</v>
      </c>
      <c r="F110" s="330">
        <v>5.3653403454199999</v>
      </c>
      <c r="G110" s="331">
        <v>1.341335086355</v>
      </c>
      <c r="H110" s="333">
        <v>0.51229999999999998</v>
      </c>
      <c r="I110" s="330">
        <v>1.5662</v>
      </c>
      <c r="J110" s="331">
        <v>0.22486491364399999</v>
      </c>
      <c r="K110" s="334">
        <v>0.29191065229099999</v>
      </c>
    </row>
    <row r="111" spans="1:11" ht="14.4" customHeight="1" thickBot="1" x14ac:dyDescent="0.35">
      <c r="A111" s="351" t="s">
        <v>281</v>
      </c>
      <c r="B111" s="335">
        <v>152.30162555027701</v>
      </c>
      <c r="C111" s="335">
        <v>145.72031999999999</v>
      </c>
      <c r="D111" s="336">
        <v>-6.5813055502770004</v>
      </c>
      <c r="E111" s="337">
        <v>0.95678768675899994</v>
      </c>
      <c r="F111" s="335">
        <v>119.44878591118599</v>
      </c>
      <c r="G111" s="336">
        <v>29.862196477796001</v>
      </c>
      <c r="H111" s="338">
        <v>9.2336799999999997</v>
      </c>
      <c r="I111" s="335">
        <v>22.42587</v>
      </c>
      <c r="J111" s="336">
        <v>-7.4363264777960003</v>
      </c>
      <c r="K111" s="339">
        <v>0.18774464578200001</v>
      </c>
    </row>
    <row r="112" spans="1:11" ht="14.4" customHeight="1" thickBot="1" x14ac:dyDescent="0.35">
      <c r="A112" s="352" t="s">
        <v>282</v>
      </c>
      <c r="B112" s="330">
        <v>152.30162555027701</v>
      </c>
      <c r="C112" s="330">
        <v>145.72031999999999</v>
      </c>
      <c r="D112" s="331">
        <v>-6.5813055502770004</v>
      </c>
      <c r="E112" s="332">
        <v>0.95678768675899994</v>
      </c>
      <c r="F112" s="330">
        <v>119.44878591118599</v>
      </c>
      <c r="G112" s="331">
        <v>29.862196477796001</v>
      </c>
      <c r="H112" s="333">
        <v>9.2336799999999997</v>
      </c>
      <c r="I112" s="330">
        <v>22.42587</v>
      </c>
      <c r="J112" s="331">
        <v>-7.4363264777960003</v>
      </c>
      <c r="K112" s="334">
        <v>0.18774464578200001</v>
      </c>
    </row>
    <row r="113" spans="1:11" ht="14.4" customHeight="1" thickBot="1" x14ac:dyDescent="0.35">
      <c r="A113" s="351" t="s">
        <v>283</v>
      </c>
      <c r="B113" s="335">
        <v>0</v>
      </c>
      <c r="C113" s="335">
        <v>15.638</v>
      </c>
      <c r="D113" s="336">
        <v>15.638</v>
      </c>
      <c r="E113" s="343" t="s">
        <v>191</v>
      </c>
      <c r="F113" s="335">
        <v>0</v>
      </c>
      <c r="G113" s="336">
        <v>0</v>
      </c>
      <c r="H113" s="338">
        <v>4.4859999999999998</v>
      </c>
      <c r="I113" s="335">
        <v>4.4859999999999998</v>
      </c>
      <c r="J113" s="336">
        <v>4.4859999999999998</v>
      </c>
      <c r="K113" s="342" t="s">
        <v>191</v>
      </c>
    </row>
    <row r="114" spans="1:11" ht="14.4" customHeight="1" thickBot="1" x14ac:dyDescent="0.35">
      <c r="A114" s="352" t="s">
        <v>284</v>
      </c>
      <c r="B114" s="330">
        <v>0</v>
      </c>
      <c r="C114" s="330">
        <v>15.638</v>
      </c>
      <c r="D114" s="331">
        <v>15.638</v>
      </c>
      <c r="E114" s="341" t="s">
        <v>191</v>
      </c>
      <c r="F114" s="330">
        <v>0</v>
      </c>
      <c r="G114" s="331">
        <v>0</v>
      </c>
      <c r="H114" s="333">
        <v>4.4859999999999998</v>
      </c>
      <c r="I114" s="330">
        <v>4.4859999999999998</v>
      </c>
      <c r="J114" s="331">
        <v>4.4859999999999998</v>
      </c>
      <c r="K114" s="340" t="s">
        <v>191</v>
      </c>
    </row>
    <row r="115" spans="1:11" ht="14.4" customHeight="1" thickBot="1" x14ac:dyDescent="0.35">
      <c r="A115" s="351" t="s">
        <v>285</v>
      </c>
      <c r="B115" s="335">
        <v>301.14067490817098</v>
      </c>
      <c r="C115" s="335">
        <v>312.58051</v>
      </c>
      <c r="D115" s="336">
        <v>11.439835091828</v>
      </c>
      <c r="E115" s="337">
        <v>1.037988342475</v>
      </c>
      <c r="F115" s="335">
        <v>289.52533244714499</v>
      </c>
      <c r="G115" s="336">
        <v>72.381333111786006</v>
      </c>
      <c r="H115" s="338">
        <v>27.788679999999999</v>
      </c>
      <c r="I115" s="335">
        <v>73.574560000000005</v>
      </c>
      <c r="J115" s="336">
        <v>1.1932268882129999</v>
      </c>
      <c r="K115" s="339">
        <v>0.254121321191</v>
      </c>
    </row>
    <row r="116" spans="1:11" ht="14.4" customHeight="1" thickBot="1" x14ac:dyDescent="0.35">
      <c r="A116" s="352" t="s">
        <v>286</v>
      </c>
      <c r="B116" s="330">
        <v>301.14067490817098</v>
      </c>
      <c r="C116" s="330">
        <v>312.58051</v>
      </c>
      <c r="D116" s="331">
        <v>11.439835091828</v>
      </c>
      <c r="E116" s="332">
        <v>1.037988342475</v>
      </c>
      <c r="F116" s="330">
        <v>289.52533244714499</v>
      </c>
      <c r="G116" s="331">
        <v>72.381333111786006</v>
      </c>
      <c r="H116" s="333">
        <v>27.788679999999999</v>
      </c>
      <c r="I116" s="330">
        <v>73.574560000000005</v>
      </c>
      <c r="J116" s="331">
        <v>1.1932268882129999</v>
      </c>
      <c r="K116" s="334">
        <v>0.254121321191</v>
      </c>
    </row>
    <row r="117" spans="1:11" ht="14.4" customHeight="1" thickBot="1" x14ac:dyDescent="0.35">
      <c r="A117" s="356"/>
      <c r="B117" s="330">
        <v>-3853.6280916659198</v>
      </c>
      <c r="C117" s="330">
        <v>-4131.4663200000005</v>
      </c>
      <c r="D117" s="331">
        <v>-277.83822833407999</v>
      </c>
      <c r="E117" s="332">
        <v>1.0720978313739999</v>
      </c>
      <c r="F117" s="330">
        <v>-3912.5602056910898</v>
      </c>
      <c r="G117" s="331">
        <v>-978.14005142277301</v>
      </c>
      <c r="H117" s="333">
        <v>-392.54226999999997</v>
      </c>
      <c r="I117" s="330">
        <v>-1052.56097</v>
      </c>
      <c r="J117" s="331">
        <v>-74.420918577226999</v>
      </c>
      <c r="K117" s="334">
        <v>0.26902102834500002</v>
      </c>
    </row>
    <row r="118" spans="1:11" ht="14.4" customHeight="1" thickBot="1" x14ac:dyDescent="0.35">
      <c r="A118" s="357" t="s">
        <v>50</v>
      </c>
      <c r="B118" s="344">
        <v>-3853.6280916659198</v>
      </c>
      <c r="C118" s="344">
        <v>-4131.4663200000005</v>
      </c>
      <c r="D118" s="345">
        <v>-277.83822833407999</v>
      </c>
      <c r="E118" s="346">
        <v>-1.986301531232</v>
      </c>
      <c r="F118" s="344">
        <v>-3912.5602056910898</v>
      </c>
      <c r="G118" s="345">
        <v>-978.14005142277301</v>
      </c>
      <c r="H118" s="344">
        <v>-392.54226999999997</v>
      </c>
      <c r="I118" s="344">
        <v>-1052.56097</v>
      </c>
      <c r="J118" s="345">
        <v>-74.420918577226999</v>
      </c>
      <c r="K118" s="347">
        <v>0.26902102834500002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14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162" customWidth="1"/>
    <col min="2" max="2" width="61.109375" style="162" customWidth="1"/>
    <col min="3" max="3" width="9.5546875" style="95" hidden="1" customWidth="1" outlineLevel="1"/>
    <col min="4" max="4" width="9.5546875" style="163" customWidth="1" collapsed="1"/>
    <col min="5" max="5" width="2.21875" style="163" customWidth="1"/>
    <col min="6" max="6" width="9.5546875" style="164" customWidth="1"/>
    <col min="7" max="7" width="9.5546875" style="161" customWidth="1"/>
    <col min="8" max="9" width="9.5546875" style="95" customWidth="1"/>
    <col min="10" max="10" width="0" style="95" hidden="1" customWidth="1"/>
    <col min="11" max="16384" width="8.88671875" style="95"/>
  </cols>
  <sheetData>
    <row r="1" spans="1:10" ht="18.600000000000001" customHeight="1" thickBot="1" x14ac:dyDescent="0.4">
      <c r="A1" s="312" t="s">
        <v>77</v>
      </c>
      <c r="B1" s="313"/>
      <c r="C1" s="313"/>
      <c r="D1" s="313"/>
      <c r="E1" s="313"/>
      <c r="F1" s="313"/>
      <c r="G1" s="283"/>
      <c r="H1" s="314"/>
      <c r="I1" s="314"/>
    </row>
    <row r="2" spans="1:10" ht="14.4" customHeight="1" thickBot="1" x14ac:dyDescent="0.35">
      <c r="A2" s="173" t="s">
        <v>178</v>
      </c>
      <c r="B2" s="160"/>
      <c r="C2" s="160"/>
      <c r="D2" s="160"/>
      <c r="E2" s="160"/>
      <c r="F2" s="160"/>
    </row>
    <row r="3" spans="1:10" ht="14.4" customHeight="1" thickBot="1" x14ac:dyDescent="0.35">
      <c r="A3" s="173"/>
      <c r="B3" s="255"/>
      <c r="C3" s="254">
        <v>2015</v>
      </c>
      <c r="D3" s="228">
        <v>2016</v>
      </c>
      <c r="E3" s="7"/>
      <c r="F3" s="291">
        <v>2017</v>
      </c>
      <c r="G3" s="309"/>
      <c r="H3" s="309"/>
      <c r="I3" s="292"/>
    </row>
    <row r="4" spans="1:10" ht="14.4" customHeight="1" thickBot="1" x14ac:dyDescent="0.35">
      <c r="A4" s="232" t="s">
        <v>0</v>
      </c>
      <c r="B4" s="233" t="s">
        <v>133</v>
      </c>
      <c r="C4" s="310" t="s">
        <v>55</v>
      </c>
      <c r="D4" s="311"/>
      <c r="E4" s="234"/>
      <c r="F4" s="229" t="s">
        <v>55</v>
      </c>
      <c r="G4" s="230" t="s">
        <v>56</v>
      </c>
      <c r="H4" s="230" t="s">
        <v>52</v>
      </c>
      <c r="I4" s="231" t="s">
        <v>57</v>
      </c>
    </row>
    <row r="5" spans="1:10" ht="14.4" customHeight="1" x14ac:dyDescent="0.3">
      <c r="A5" s="358" t="s">
        <v>287</v>
      </c>
      <c r="B5" s="359" t="s">
        <v>288</v>
      </c>
      <c r="C5" s="360" t="s">
        <v>289</v>
      </c>
      <c r="D5" s="360" t="s">
        <v>289</v>
      </c>
      <c r="E5" s="360"/>
      <c r="F5" s="360" t="s">
        <v>289</v>
      </c>
      <c r="G5" s="360" t="s">
        <v>289</v>
      </c>
      <c r="H5" s="360" t="s">
        <v>289</v>
      </c>
      <c r="I5" s="361" t="s">
        <v>289</v>
      </c>
      <c r="J5" s="362" t="s">
        <v>53</v>
      </c>
    </row>
    <row r="6" spans="1:10" ht="14.4" customHeight="1" x14ac:dyDescent="0.3">
      <c r="A6" s="358" t="s">
        <v>287</v>
      </c>
      <c r="B6" s="359" t="s">
        <v>185</v>
      </c>
      <c r="C6" s="360">
        <v>0.40909000000000001</v>
      </c>
      <c r="D6" s="360">
        <v>0.15182999999999999</v>
      </c>
      <c r="E6" s="360"/>
      <c r="F6" s="360">
        <v>0.41959999999999997</v>
      </c>
      <c r="G6" s="360">
        <v>1.25</v>
      </c>
      <c r="H6" s="360">
        <v>-0.83040000000000003</v>
      </c>
      <c r="I6" s="361">
        <v>0.33567999999999998</v>
      </c>
      <c r="J6" s="362" t="s">
        <v>1</v>
      </c>
    </row>
    <row r="7" spans="1:10" ht="14.4" customHeight="1" x14ac:dyDescent="0.3">
      <c r="A7" s="358" t="s">
        <v>287</v>
      </c>
      <c r="B7" s="359" t="s">
        <v>290</v>
      </c>
      <c r="C7" s="360">
        <v>0.40909000000000001</v>
      </c>
      <c r="D7" s="360">
        <v>0.15182999999999999</v>
      </c>
      <c r="E7" s="360"/>
      <c r="F7" s="360">
        <v>0.41959999999999997</v>
      </c>
      <c r="G7" s="360">
        <v>1.25</v>
      </c>
      <c r="H7" s="360">
        <v>-0.83040000000000003</v>
      </c>
      <c r="I7" s="361">
        <v>0.33567999999999998</v>
      </c>
      <c r="J7" s="362" t="s">
        <v>291</v>
      </c>
    </row>
    <row r="9" spans="1:10" ht="14.4" customHeight="1" x14ac:dyDescent="0.3">
      <c r="A9" s="358" t="s">
        <v>287</v>
      </c>
      <c r="B9" s="359" t="s">
        <v>288</v>
      </c>
      <c r="C9" s="360" t="s">
        <v>289</v>
      </c>
      <c r="D9" s="360" t="s">
        <v>289</v>
      </c>
      <c r="E9" s="360"/>
      <c r="F9" s="360" t="s">
        <v>289</v>
      </c>
      <c r="G9" s="360" t="s">
        <v>289</v>
      </c>
      <c r="H9" s="360" t="s">
        <v>289</v>
      </c>
      <c r="I9" s="361" t="s">
        <v>289</v>
      </c>
      <c r="J9" s="362" t="s">
        <v>53</v>
      </c>
    </row>
    <row r="10" spans="1:10" ht="14.4" customHeight="1" x14ac:dyDescent="0.3">
      <c r="A10" s="358" t="s">
        <v>292</v>
      </c>
      <c r="B10" s="359" t="s">
        <v>288</v>
      </c>
      <c r="C10" s="360" t="s">
        <v>289</v>
      </c>
      <c r="D10" s="360" t="s">
        <v>289</v>
      </c>
      <c r="E10" s="360"/>
      <c r="F10" s="360" t="s">
        <v>289</v>
      </c>
      <c r="G10" s="360" t="s">
        <v>289</v>
      </c>
      <c r="H10" s="360" t="s">
        <v>289</v>
      </c>
      <c r="I10" s="361" t="s">
        <v>289</v>
      </c>
      <c r="J10" s="362" t="s">
        <v>0</v>
      </c>
    </row>
    <row r="11" spans="1:10" ht="14.4" customHeight="1" x14ac:dyDescent="0.3">
      <c r="A11" s="358" t="s">
        <v>292</v>
      </c>
      <c r="B11" s="359" t="s">
        <v>185</v>
      </c>
      <c r="C11" s="360">
        <v>0.40909000000000001</v>
      </c>
      <c r="D11" s="360">
        <v>0.15182999999999999</v>
      </c>
      <c r="E11" s="360"/>
      <c r="F11" s="360">
        <v>0.41959999999999997</v>
      </c>
      <c r="G11" s="360">
        <v>1.25</v>
      </c>
      <c r="H11" s="360">
        <v>-0.83040000000000003</v>
      </c>
      <c r="I11" s="361">
        <v>0.33567999999999998</v>
      </c>
      <c r="J11" s="362" t="s">
        <v>1</v>
      </c>
    </row>
    <row r="12" spans="1:10" ht="14.4" customHeight="1" x14ac:dyDescent="0.3">
      <c r="A12" s="358" t="s">
        <v>292</v>
      </c>
      <c r="B12" s="359" t="s">
        <v>290</v>
      </c>
      <c r="C12" s="360">
        <v>0.40909000000000001</v>
      </c>
      <c r="D12" s="360">
        <v>0.15182999999999999</v>
      </c>
      <c r="E12" s="360"/>
      <c r="F12" s="360">
        <v>0.41959999999999997</v>
      </c>
      <c r="G12" s="360">
        <v>1.25</v>
      </c>
      <c r="H12" s="360">
        <v>-0.83040000000000003</v>
      </c>
      <c r="I12" s="361">
        <v>0.33567999999999998</v>
      </c>
      <c r="J12" s="362" t="s">
        <v>293</v>
      </c>
    </row>
    <row r="13" spans="1:10" ht="14.4" customHeight="1" x14ac:dyDescent="0.3">
      <c r="A13" s="358" t="s">
        <v>289</v>
      </c>
      <c r="B13" s="359" t="s">
        <v>289</v>
      </c>
      <c r="C13" s="360" t="s">
        <v>289</v>
      </c>
      <c r="D13" s="360" t="s">
        <v>289</v>
      </c>
      <c r="E13" s="360"/>
      <c r="F13" s="360" t="s">
        <v>289</v>
      </c>
      <c r="G13" s="360" t="s">
        <v>289</v>
      </c>
      <c r="H13" s="360" t="s">
        <v>289</v>
      </c>
      <c r="I13" s="361" t="s">
        <v>289</v>
      </c>
      <c r="J13" s="362" t="s">
        <v>294</v>
      </c>
    </row>
    <row r="14" spans="1:10" ht="14.4" customHeight="1" x14ac:dyDescent="0.3">
      <c r="A14" s="358" t="s">
        <v>287</v>
      </c>
      <c r="B14" s="359" t="s">
        <v>290</v>
      </c>
      <c r="C14" s="360">
        <v>0.40909000000000001</v>
      </c>
      <c r="D14" s="360">
        <v>0.15182999999999999</v>
      </c>
      <c r="E14" s="360"/>
      <c r="F14" s="360">
        <v>0.41959999999999997</v>
      </c>
      <c r="G14" s="360">
        <v>1.25</v>
      </c>
      <c r="H14" s="360">
        <v>-0.83040000000000003</v>
      </c>
      <c r="I14" s="361">
        <v>0.33567999999999998</v>
      </c>
      <c r="J14" s="362" t="s">
        <v>291</v>
      </c>
    </row>
  </sheetData>
  <mergeCells count="3">
    <mergeCell ref="F3:I3"/>
    <mergeCell ref="C4:D4"/>
    <mergeCell ref="A1:I1"/>
  </mergeCells>
  <conditionalFormatting sqref="F8 F15:F65537">
    <cfRule type="cellIs" dxfId="42" priority="18" stopIfTrue="1" operator="greaterThan">
      <formula>1</formula>
    </cfRule>
  </conditionalFormatting>
  <conditionalFormatting sqref="H5:H7">
    <cfRule type="expression" dxfId="41" priority="14">
      <formula>$H5&gt;0</formula>
    </cfRule>
  </conditionalFormatting>
  <conditionalFormatting sqref="I5:I7">
    <cfRule type="expression" dxfId="40" priority="15">
      <formula>$I5&gt;1</formula>
    </cfRule>
  </conditionalFormatting>
  <conditionalFormatting sqref="B5:B7">
    <cfRule type="expression" dxfId="39" priority="11">
      <formula>OR($J5="NS",$J5="SumaNS",$J5="Účet")</formula>
    </cfRule>
  </conditionalFormatting>
  <conditionalFormatting sqref="B5:D7 F5:I7">
    <cfRule type="expression" dxfId="38" priority="17">
      <formula>AND($J5&lt;&gt;"",$J5&lt;&gt;"mezeraKL")</formula>
    </cfRule>
  </conditionalFormatting>
  <conditionalFormatting sqref="B5:D7 F5:I7">
    <cfRule type="expression" dxfId="37" priority="12">
      <formula>OR($J5="KL",$J5="SumaKL")</formula>
    </cfRule>
    <cfRule type="expression" priority="16" stopIfTrue="1">
      <formula>OR($J5="mezeraNS",$J5="mezeraKL")</formula>
    </cfRule>
  </conditionalFormatting>
  <conditionalFormatting sqref="F5:I7 B5:D7">
    <cfRule type="expression" dxfId="36" priority="13">
      <formula>OR($J5="SumaNS",$J5="NS")</formula>
    </cfRule>
  </conditionalFormatting>
  <conditionalFormatting sqref="A5:A7">
    <cfRule type="expression" dxfId="35" priority="9">
      <formula>AND($J5&lt;&gt;"mezeraKL",$J5&lt;&gt;"")</formula>
    </cfRule>
  </conditionalFormatting>
  <conditionalFormatting sqref="A5:A7">
    <cfRule type="expression" dxfId="34" priority="10">
      <formula>AND($J5&lt;&gt;"",$J5&lt;&gt;"mezeraKL")</formula>
    </cfRule>
  </conditionalFormatting>
  <conditionalFormatting sqref="H9:H14">
    <cfRule type="expression" dxfId="33" priority="5">
      <formula>$H9&gt;0</formula>
    </cfRule>
  </conditionalFormatting>
  <conditionalFormatting sqref="A9:A14">
    <cfRule type="expression" dxfId="32" priority="2">
      <formula>AND($J9&lt;&gt;"mezeraKL",$J9&lt;&gt;"")</formula>
    </cfRule>
  </conditionalFormatting>
  <conditionalFormatting sqref="I9:I14">
    <cfRule type="expression" dxfId="31" priority="6">
      <formula>$I9&gt;1</formula>
    </cfRule>
  </conditionalFormatting>
  <conditionalFormatting sqref="B9:B14">
    <cfRule type="expression" dxfId="30" priority="1">
      <formula>OR($J9="NS",$J9="SumaNS",$J9="Účet")</formula>
    </cfRule>
  </conditionalFormatting>
  <conditionalFormatting sqref="A9:D14 F9:I14">
    <cfRule type="expression" dxfId="29" priority="8">
      <formula>AND($J9&lt;&gt;"",$J9&lt;&gt;"mezeraKL")</formula>
    </cfRule>
  </conditionalFormatting>
  <conditionalFormatting sqref="B9:D14 F9:I14">
    <cfRule type="expression" dxfId="28" priority="3">
      <formula>OR($J9="KL",$J9="SumaKL")</formula>
    </cfRule>
    <cfRule type="expression" priority="7" stopIfTrue="1">
      <formula>OR($J9="mezeraNS",$J9="mezeraKL")</formula>
    </cfRule>
  </conditionalFormatting>
  <conditionalFormatting sqref="B9:D14 F9:I14">
    <cfRule type="expression" dxfId="27" priority="4">
      <formula>OR($J9="SumaNS",$J9="NS")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6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95" hidden="1" customWidth="1" outlineLevel="1"/>
    <col min="2" max="2" width="28.33203125" style="95" hidden="1" customWidth="1" outlineLevel="1"/>
    <col min="3" max="3" width="5.33203125" style="163" bestFit="1" customWidth="1" collapsed="1"/>
    <col min="4" max="4" width="18.77734375" style="167" customWidth="1"/>
    <col min="5" max="5" width="9" style="163" bestFit="1" customWidth="1"/>
    <col min="6" max="6" width="18.77734375" style="167" customWidth="1"/>
    <col min="7" max="7" width="5" style="163" customWidth="1"/>
    <col min="8" max="8" width="12.44140625" style="163" hidden="1" customWidth="1" outlineLevel="1"/>
    <col min="9" max="9" width="8.5546875" style="163" hidden="1" customWidth="1" outlineLevel="1"/>
    <col min="10" max="10" width="25.77734375" style="163" customWidth="1" collapsed="1"/>
    <col min="11" max="11" width="8.77734375" style="163" customWidth="1"/>
    <col min="12" max="13" width="7.77734375" style="161" customWidth="1"/>
    <col min="14" max="14" width="12.6640625" style="161" customWidth="1"/>
    <col min="15" max="16384" width="8.88671875" style="95"/>
  </cols>
  <sheetData>
    <row r="1" spans="1:14" ht="18.600000000000001" customHeight="1" thickBot="1" x14ac:dyDescent="0.4">
      <c r="A1" s="319" t="s">
        <v>93</v>
      </c>
      <c r="B1" s="283"/>
      <c r="C1" s="283"/>
      <c r="D1" s="283"/>
      <c r="E1" s="283"/>
      <c r="F1" s="283"/>
      <c r="G1" s="283"/>
      <c r="H1" s="283"/>
      <c r="I1" s="283"/>
      <c r="J1" s="283"/>
      <c r="K1" s="283"/>
      <c r="L1" s="283"/>
      <c r="M1" s="283"/>
      <c r="N1" s="283"/>
    </row>
    <row r="2" spans="1:14" ht="14.4" customHeight="1" thickBot="1" x14ac:dyDescent="0.35">
      <c r="A2" s="173" t="s">
        <v>178</v>
      </c>
      <c r="B2" s="57"/>
      <c r="C2" s="165"/>
      <c r="D2" s="165"/>
      <c r="E2" s="165"/>
      <c r="F2" s="165"/>
      <c r="G2" s="165"/>
      <c r="H2" s="165"/>
      <c r="I2" s="165"/>
      <c r="J2" s="165"/>
      <c r="K2" s="165"/>
      <c r="L2" s="166"/>
      <c r="M2" s="166"/>
      <c r="N2" s="166"/>
    </row>
    <row r="3" spans="1:14" ht="14.4" customHeight="1" thickBot="1" x14ac:dyDescent="0.35">
      <c r="A3" s="57"/>
      <c r="B3" s="57"/>
      <c r="C3" s="315"/>
      <c r="D3" s="316"/>
      <c r="E3" s="316"/>
      <c r="F3" s="316"/>
      <c r="G3" s="316"/>
      <c r="H3" s="316"/>
      <c r="I3" s="316"/>
      <c r="J3" s="317" t="s">
        <v>75</v>
      </c>
      <c r="K3" s="318"/>
      <c r="L3" s="71">
        <f>IF(M3&lt;&gt;0,N3/M3,0)</f>
        <v>69.934060526102513</v>
      </c>
      <c r="M3" s="71">
        <f>SUBTOTAL(9,M5:M1048576)</f>
        <v>6</v>
      </c>
      <c r="N3" s="72">
        <f>SUBTOTAL(9,N5:N1048576)</f>
        <v>419.60436315661508</v>
      </c>
    </row>
    <row r="4" spans="1:14" s="162" customFormat="1" ht="14.4" customHeight="1" thickBot="1" x14ac:dyDescent="0.35">
      <c r="A4" s="363" t="s">
        <v>3</v>
      </c>
      <c r="B4" s="364" t="s">
        <v>4</v>
      </c>
      <c r="C4" s="364" t="s">
        <v>0</v>
      </c>
      <c r="D4" s="364" t="s">
        <v>5</v>
      </c>
      <c r="E4" s="364" t="s">
        <v>6</v>
      </c>
      <c r="F4" s="364" t="s">
        <v>1</v>
      </c>
      <c r="G4" s="364" t="s">
        <v>7</v>
      </c>
      <c r="H4" s="364" t="s">
        <v>8</v>
      </c>
      <c r="I4" s="364" t="s">
        <v>9</v>
      </c>
      <c r="J4" s="365" t="s">
        <v>10</v>
      </c>
      <c r="K4" s="365" t="s">
        <v>11</v>
      </c>
      <c r="L4" s="366" t="s">
        <v>81</v>
      </c>
      <c r="M4" s="366" t="s">
        <v>12</v>
      </c>
      <c r="N4" s="367" t="s">
        <v>89</v>
      </c>
    </row>
    <row r="5" spans="1:14" ht="14.4" customHeight="1" x14ac:dyDescent="0.3">
      <c r="A5" s="368" t="s">
        <v>287</v>
      </c>
      <c r="B5" s="369" t="s">
        <v>302</v>
      </c>
      <c r="C5" s="370" t="s">
        <v>292</v>
      </c>
      <c r="D5" s="371" t="s">
        <v>288</v>
      </c>
      <c r="E5" s="370" t="s">
        <v>295</v>
      </c>
      <c r="F5" s="371" t="s">
        <v>303</v>
      </c>
      <c r="G5" s="370" t="s">
        <v>296</v>
      </c>
      <c r="H5" s="370" t="s">
        <v>297</v>
      </c>
      <c r="I5" s="370" t="s">
        <v>298</v>
      </c>
      <c r="J5" s="370" t="s">
        <v>299</v>
      </c>
      <c r="K5" s="370"/>
      <c r="L5" s="372">
        <v>78.826101774006943</v>
      </c>
      <c r="M5" s="372">
        <v>4</v>
      </c>
      <c r="N5" s="373">
        <v>315.30440709602777</v>
      </c>
    </row>
    <row r="6" spans="1:14" ht="14.4" customHeight="1" thickBot="1" x14ac:dyDescent="0.35">
      <c r="A6" s="374" t="s">
        <v>287</v>
      </c>
      <c r="B6" s="375" t="s">
        <v>302</v>
      </c>
      <c r="C6" s="376" t="s">
        <v>292</v>
      </c>
      <c r="D6" s="377" t="s">
        <v>288</v>
      </c>
      <c r="E6" s="376" t="s">
        <v>295</v>
      </c>
      <c r="F6" s="377" t="s">
        <v>303</v>
      </c>
      <c r="G6" s="376" t="s">
        <v>296</v>
      </c>
      <c r="H6" s="376" t="s">
        <v>300</v>
      </c>
      <c r="I6" s="376" t="s">
        <v>298</v>
      </c>
      <c r="J6" s="376" t="s">
        <v>301</v>
      </c>
      <c r="K6" s="376"/>
      <c r="L6" s="378">
        <v>52.149978030293653</v>
      </c>
      <c r="M6" s="378">
        <v>2</v>
      </c>
      <c r="N6" s="379">
        <v>104.29995606058731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7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247" customWidth="1"/>
    <col min="2" max="2" width="5.44140625" style="161" bestFit="1" customWidth="1"/>
    <col min="3" max="3" width="6.109375" style="161" bestFit="1" customWidth="1"/>
    <col min="4" max="4" width="7.44140625" style="161" bestFit="1" customWidth="1"/>
    <col min="5" max="5" width="6.21875" style="161" bestFit="1" customWidth="1"/>
    <col min="6" max="6" width="6.33203125" style="164" bestFit="1" customWidth="1"/>
    <col min="7" max="7" width="6.109375" style="164" bestFit="1" customWidth="1"/>
    <col min="8" max="8" width="7.44140625" style="164" bestFit="1" customWidth="1"/>
    <col min="9" max="9" width="6.21875" style="164" bestFit="1" customWidth="1"/>
    <col min="10" max="10" width="5.44140625" style="161" bestFit="1" customWidth="1"/>
    <col min="11" max="11" width="6.109375" style="161" bestFit="1" customWidth="1"/>
    <col min="12" max="12" width="7.44140625" style="161" bestFit="1" customWidth="1"/>
    <col min="13" max="13" width="6.21875" style="161" bestFit="1" customWidth="1"/>
    <col min="14" max="14" width="5.33203125" style="164" bestFit="1" customWidth="1"/>
    <col min="15" max="15" width="6.109375" style="164" bestFit="1" customWidth="1"/>
    <col min="16" max="16" width="7.44140625" style="164" bestFit="1" customWidth="1"/>
    <col min="17" max="17" width="6.21875" style="164" bestFit="1" customWidth="1"/>
    <col min="18" max="16384" width="8.88671875" style="95"/>
  </cols>
  <sheetData>
    <row r="1" spans="1:17" ht="18.600000000000001" customHeight="1" thickBot="1" x14ac:dyDescent="0.4">
      <c r="A1" s="320" t="s">
        <v>134</v>
      </c>
      <c r="B1" s="320"/>
      <c r="C1" s="320"/>
      <c r="D1" s="320"/>
      <c r="E1" s="320"/>
      <c r="F1" s="283"/>
      <c r="G1" s="283"/>
      <c r="H1" s="283"/>
      <c r="I1" s="283"/>
      <c r="J1" s="314"/>
      <c r="K1" s="314"/>
      <c r="L1" s="314"/>
      <c r="M1" s="314"/>
      <c r="N1" s="314"/>
      <c r="O1" s="314"/>
      <c r="P1" s="314"/>
      <c r="Q1" s="314"/>
    </row>
    <row r="2" spans="1:17" ht="14.4" customHeight="1" thickBot="1" x14ac:dyDescent="0.35">
      <c r="A2" s="173" t="s">
        <v>178</v>
      </c>
      <c r="B2" s="168"/>
      <c r="C2" s="168"/>
      <c r="D2" s="168"/>
      <c r="E2" s="168"/>
    </row>
    <row r="3" spans="1:17" ht="14.4" customHeight="1" thickBot="1" x14ac:dyDescent="0.35">
      <c r="A3" s="236" t="s">
        <v>2</v>
      </c>
      <c r="B3" s="240">
        <f>SUM(B6:B1048576)</f>
        <v>6</v>
      </c>
      <c r="C3" s="241">
        <f>SUM(C6:C1048576)</f>
        <v>0</v>
      </c>
      <c r="D3" s="241">
        <f>SUM(D6:D1048576)</f>
        <v>0</v>
      </c>
      <c r="E3" s="242">
        <f>SUM(E6:E1048576)</f>
        <v>0</v>
      </c>
      <c r="F3" s="239">
        <f>IF(SUM($B3:$E3)=0,"",B3/SUM($B3:$E3))</f>
        <v>1</v>
      </c>
      <c r="G3" s="237">
        <f t="shared" ref="G3:I3" si="0">IF(SUM($B3:$E3)=0,"",C3/SUM($B3:$E3))</f>
        <v>0</v>
      </c>
      <c r="H3" s="237">
        <f t="shared" si="0"/>
        <v>0</v>
      </c>
      <c r="I3" s="238">
        <f t="shared" si="0"/>
        <v>0</v>
      </c>
      <c r="J3" s="241">
        <f>SUM(J6:J1048576)</f>
        <v>3</v>
      </c>
      <c r="K3" s="241">
        <f>SUM(K6:K1048576)</f>
        <v>0</v>
      </c>
      <c r="L3" s="241">
        <f>SUM(L6:L1048576)</f>
        <v>0</v>
      </c>
      <c r="M3" s="242">
        <f>SUM(M6:M1048576)</f>
        <v>0</v>
      </c>
      <c r="N3" s="239">
        <f>IF(SUM($J3:$M3)=0,"",J3/SUM($J3:$M3))</f>
        <v>1</v>
      </c>
      <c r="O3" s="237">
        <f t="shared" ref="O3:Q3" si="1">IF(SUM($J3:$M3)=0,"",K3/SUM($J3:$M3))</f>
        <v>0</v>
      </c>
      <c r="P3" s="237">
        <f t="shared" si="1"/>
        <v>0</v>
      </c>
      <c r="Q3" s="238">
        <f t="shared" si="1"/>
        <v>0</v>
      </c>
    </row>
    <row r="4" spans="1:17" ht="14.4" customHeight="1" thickBot="1" x14ac:dyDescent="0.35">
      <c r="A4" s="235"/>
      <c r="B4" s="324" t="s">
        <v>136</v>
      </c>
      <c r="C4" s="325"/>
      <c r="D4" s="325"/>
      <c r="E4" s="326"/>
      <c r="F4" s="321" t="s">
        <v>141</v>
      </c>
      <c r="G4" s="322"/>
      <c r="H4" s="322"/>
      <c r="I4" s="323"/>
      <c r="J4" s="324" t="s">
        <v>142</v>
      </c>
      <c r="K4" s="325"/>
      <c r="L4" s="325"/>
      <c r="M4" s="326"/>
      <c r="N4" s="321" t="s">
        <v>143</v>
      </c>
      <c r="O4" s="322"/>
      <c r="P4" s="322"/>
      <c r="Q4" s="323"/>
    </row>
    <row r="5" spans="1:17" ht="14.4" customHeight="1" thickBot="1" x14ac:dyDescent="0.35">
      <c r="A5" s="380" t="s">
        <v>135</v>
      </c>
      <c r="B5" s="381" t="s">
        <v>137</v>
      </c>
      <c r="C5" s="381" t="s">
        <v>138</v>
      </c>
      <c r="D5" s="381" t="s">
        <v>139</v>
      </c>
      <c r="E5" s="382" t="s">
        <v>140</v>
      </c>
      <c r="F5" s="383" t="s">
        <v>137</v>
      </c>
      <c r="G5" s="384" t="s">
        <v>138</v>
      </c>
      <c r="H5" s="384" t="s">
        <v>139</v>
      </c>
      <c r="I5" s="385" t="s">
        <v>140</v>
      </c>
      <c r="J5" s="381" t="s">
        <v>137</v>
      </c>
      <c r="K5" s="381" t="s">
        <v>138</v>
      </c>
      <c r="L5" s="381" t="s">
        <v>139</v>
      </c>
      <c r="M5" s="382" t="s">
        <v>140</v>
      </c>
      <c r="N5" s="383" t="s">
        <v>137</v>
      </c>
      <c r="O5" s="384" t="s">
        <v>138</v>
      </c>
      <c r="P5" s="384" t="s">
        <v>139</v>
      </c>
      <c r="Q5" s="385" t="s">
        <v>140</v>
      </c>
    </row>
    <row r="6" spans="1:17" ht="14.4" customHeight="1" x14ac:dyDescent="0.3">
      <c r="A6" s="390" t="s">
        <v>304</v>
      </c>
      <c r="B6" s="394"/>
      <c r="C6" s="372"/>
      <c r="D6" s="372"/>
      <c r="E6" s="373"/>
      <c r="F6" s="392"/>
      <c r="G6" s="386"/>
      <c r="H6" s="386"/>
      <c r="I6" s="396"/>
      <c r="J6" s="394"/>
      <c r="K6" s="372"/>
      <c r="L6" s="372"/>
      <c r="M6" s="373"/>
      <c r="N6" s="392"/>
      <c r="O6" s="386"/>
      <c r="P6" s="386"/>
      <c r="Q6" s="387"/>
    </row>
    <row r="7" spans="1:17" ht="14.4" customHeight="1" thickBot="1" x14ac:dyDescent="0.35">
      <c r="A7" s="391" t="s">
        <v>305</v>
      </c>
      <c r="B7" s="395">
        <v>6</v>
      </c>
      <c r="C7" s="378"/>
      <c r="D7" s="378"/>
      <c r="E7" s="379"/>
      <c r="F7" s="393">
        <v>1</v>
      </c>
      <c r="G7" s="388">
        <v>0</v>
      </c>
      <c r="H7" s="388">
        <v>0</v>
      </c>
      <c r="I7" s="397">
        <v>0</v>
      </c>
      <c r="J7" s="395">
        <v>3</v>
      </c>
      <c r="K7" s="378"/>
      <c r="L7" s="378"/>
      <c r="M7" s="379"/>
      <c r="N7" s="393">
        <v>1</v>
      </c>
      <c r="O7" s="388">
        <v>0</v>
      </c>
      <c r="P7" s="388">
        <v>0</v>
      </c>
      <c r="Q7" s="389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26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20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162" customWidth="1"/>
    <col min="2" max="2" width="61.109375" style="162" customWidth="1"/>
    <col min="3" max="3" width="9.5546875" style="95" hidden="1" customWidth="1" outlineLevel="1"/>
    <col min="4" max="4" width="9.5546875" style="163" customWidth="1" collapsed="1"/>
    <col min="5" max="5" width="2.21875" style="163" customWidth="1"/>
    <col min="6" max="6" width="9.5546875" style="164" customWidth="1"/>
    <col min="7" max="7" width="9.5546875" style="161" customWidth="1"/>
    <col min="8" max="9" width="9.5546875" style="95" customWidth="1"/>
    <col min="10" max="10" width="0" style="95" hidden="1" customWidth="1"/>
    <col min="11" max="16384" width="8.88671875" style="95"/>
  </cols>
  <sheetData>
    <row r="1" spans="1:10" ht="18.600000000000001" customHeight="1" thickBot="1" x14ac:dyDescent="0.4">
      <c r="A1" s="312" t="s">
        <v>78</v>
      </c>
      <c r="B1" s="313"/>
      <c r="C1" s="313"/>
      <c r="D1" s="313"/>
      <c r="E1" s="313"/>
      <c r="F1" s="313"/>
      <c r="G1" s="283"/>
      <c r="H1" s="314"/>
      <c r="I1" s="314"/>
    </row>
    <row r="2" spans="1:10" ht="14.4" customHeight="1" thickBot="1" x14ac:dyDescent="0.35">
      <c r="A2" s="173" t="s">
        <v>178</v>
      </c>
      <c r="B2" s="160"/>
      <c r="C2" s="160"/>
      <c r="D2" s="160"/>
      <c r="E2" s="160"/>
      <c r="F2" s="160"/>
    </row>
    <row r="3" spans="1:10" ht="14.4" customHeight="1" thickBot="1" x14ac:dyDescent="0.35">
      <c r="A3" s="173"/>
      <c r="B3" s="255"/>
      <c r="C3" s="227">
        <v>2015</v>
      </c>
      <c r="D3" s="228">
        <v>2016</v>
      </c>
      <c r="E3" s="7"/>
      <c r="F3" s="291">
        <v>2017</v>
      </c>
      <c r="G3" s="309"/>
      <c r="H3" s="309"/>
      <c r="I3" s="292"/>
    </row>
    <row r="4" spans="1:10" ht="14.4" customHeight="1" thickBot="1" x14ac:dyDescent="0.35">
      <c r="A4" s="232" t="s">
        <v>0</v>
      </c>
      <c r="B4" s="233" t="s">
        <v>133</v>
      </c>
      <c r="C4" s="310" t="s">
        <v>55</v>
      </c>
      <c r="D4" s="311"/>
      <c r="E4" s="234"/>
      <c r="F4" s="229" t="s">
        <v>55</v>
      </c>
      <c r="G4" s="230" t="s">
        <v>56</v>
      </c>
      <c r="H4" s="230" t="s">
        <v>52</v>
      </c>
      <c r="I4" s="231" t="s">
        <v>57</v>
      </c>
    </row>
    <row r="5" spans="1:10" ht="14.4" customHeight="1" x14ac:dyDescent="0.3">
      <c r="A5" s="358" t="s">
        <v>287</v>
      </c>
      <c r="B5" s="359" t="s">
        <v>288</v>
      </c>
      <c r="C5" s="360" t="s">
        <v>289</v>
      </c>
      <c r="D5" s="360" t="s">
        <v>289</v>
      </c>
      <c r="E5" s="360"/>
      <c r="F5" s="360" t="s">
        <v>289</v>
      </c>
      <c r="G5" s="360" t="s">
        <v>289</v>
      </c>
      <c r="H5" s="360" t="s">
        <v>289</v>
      </c>
      <c r="I5" s="361" t="s">
        <v>289</v>
      </c>
      <c r="J5" s="362" t="s">
        <v>53</v>
      </c>
    </row>
    <row r="6" spans="1:10" ht="14.4" customHeight="1" x14ac:dyDescent="0.3">
      <c r="A6" s="358" t="s">
        <v>287</v>
      </c>
      <c r="B6" s="359" t="s">
        <v>187</v>
      </c>
      <c r="C6" s="360">
        <v>16.31419</v>
      </c>
      <c r="D6" s="360">
        <v>13.950959999999998</v>
      </c>
      <c r="E6" s="360"/>
      <c r="F6" s="360">
        <v>21.480980000000002</v>
      </c>
      <c r="G6" s="360">
        <v>15</v>
      </c>
      <c r="H6" s="360">
        <v>6.4809800000000024</v>
      </c>
      <c r="I6" s="361">
        <v>1.4320653333333335</v>
      </c>
      <c r="J6" s="362" t="s">
        <v>1</v>
      </c>
    </row>
    <row r="7" spans="1:10" ht="14.4" customHeight="1" x14ac:dyDescent="0.3">
      <c r="A7" s="358" t="s">
        <v>287</v>
      </c>
      <c r="B7" s="359" t="s">
        <v>188</v>
      </c>
      <c r="C7" s="360">
        <v>0</v>
      </c>
      <c r="D7" s="360">
        <v>0</v>
      </c>
      <c r="E7" s="360"/>
      <c r="F7" s="360">
        <v>2.42</v>
      </c>
      <c r="G7" s="360">
        <v>1</v>
      </c>
      <c r="H7" s="360">
        <v>1.42</v>
      </c>
      <c r="I7" s="361">
        <v>2.42</v>
      </c>
      <c r="J7" s="362" t="s">
        <v>1</v>
      </c>
    </row>
    <row r="8" spans="1:10" ht="14.4" customHeight="1" x14ac:dyDescent="0.3">
      <c r="A8" s="358" t="s">
        <v>287</v>
      </c>
      <c r="B8" s="359" t="s">
        <v>189</v>
      </c>
      <c r="C8" s="360" t="s">
        <v>289</v>
      </c>
      <c r="D8" s="360" t="s">
        <v>289</v>
      </c>
      <c r="E8" s="360"/>
      <c r="F8" s="360">
        <v>0</v>
      </c>
      <c r="G8" s="360">
        <v>1.2916666666665</v>
      </c>
      <c r="H8" s="360">
        <v>-1.2916666666665</v>
      </c>
      <c r="I8" s="361">
        <v>0</v>
      </c>
      <c r="J8" s="362" t="s">
        <v>1</v>
      </c>
    </row>
    <row r="9" spans="1:10" ht="14.4" customHeight="1" x14ac:dyDescent="0.3">
      <c r="A9" s="358" t="s">
        <v>287</v>
      </c>
      <c r="B9" s="359" t="s">
        <v>190</v>
      </c>
      <c r="C9" s="360">
        <v>0</v>
      </c>
      <c r="D9" s="360">
        <v>0</v>
      </c>
      <c r="E9" s="360"/>
      <c r="F9" s="360">
        <v>0.27600000000000002</v>
      </c>
      <c r="G9" s="360">
        <v>0</v>
      </c>
      <c r="H9" s="360">
        <v>0.27600000000000002</v>
      </c>
      <c r="I9" s="361" t="s">
        <v>289</v>
      </c>
      <c r="J9" s="362" t="s">
        <v>1</v>
      </c>
    </row>
    <row r="10" spans="1:10" ht="14.4" customHeight="1" x14ac:dyDescent="0.3">
      <c r="A10" s="358" t="s">
        <v>287</v>
      </c>
      <c r="B10" s="359" t="s">
        <v>290</v>
      </c>
      <c r="C10" s="360">
        <v>16.31419</v>
      </c>
      <c r="D10" s="360">
        <v>13.950959999999998</v>
      </c>
      <c r="E10" s="360"/>
      <c r="F10" s="360">
        <v>24.176980000000004</v>
      </c>
      <c r="G10" s="360">
        <v>17.291666666666501</v>
      </c>
      <c r="H10" s="360">
        <v>6.885313333333503</v>
      </c>
      <c r="I10" s="361">
        <v>1.3981867951807365</v>
      </c>
      <c r="J10" s="362" t="s">
        <v>291</v>
      </c>
    </row>
    <row r="12" spans="1:10" ht="14.4" customHeight="1" x14ac:dyDescent="0.3">
      <c r="A12" s="358" t="s">
        <v>287</v>
      </c>
      <c r="B12" s="359" t="s">
        <v>288</v>
      </c>
      <c r="C12" s="360" t="s">
        <v>289</v>
      </c>
      <c r="D12" s="360" t="s">
        <v>289</v>
      </c>
      <c r="E12" s="360"/>
      <c r="F12" s="360" t="s">
        <v>289</v>
      </c>
      <c r="G12" s="360" t="s">
        <v>289</v>
      </c>
      <c r="H12" s="360" t="s">
        <v>289</v>
      </c>
      <c r="I12" s="361" t="s">
        <v>289</v>
      </c>
      <c r="J12" s="362" t="s">
        <v>53</v>
      </c>
    </row>
    <row r="13" spans="1:10" ht="14.4" customHeight="1" x14ac:dyDescent="0.3">
      <c r="A13" s="358" t="s">
        <v>292</v>
      </c>
      <c r="B13" s="359" t="s">
        <v>288</v>
      </c>
      <c r="C13" s="360" t="s">
        <v>289</v>
      </c>
      <c r="D13" s="360" t="s">
        <v>289</v>
      </c>
      <c r="E13" s="360"/>
      <c r="F13" s="360" t="s">
        <v>289</v>
      </c>
      <c r="G13" s="360" t="s">
        <v>289</v>
      </c>
      <c r="H13" s="360" t="s">
        <v>289</v>
      </c>
      <c r="I13" s="361" t="s">
        <v>289</v>
      </c>
      <c r="J13" s="362" t="s">
        <v>0</v>
      </c>
    </row>
    <row r="14" spans="1:10" ht="14.4" customHeight="1" x14ac:dyDescent="0.3">
      <c r="A14" s="358" t="s">
        <v>292</v>
      </c>
      <c r="B14" s="359" t="s">
        <v>187</v>
      </c>
      <c r="C14" s="360">
        <v>16.31419</v>
      </c>
      <c r="D14" s="360">
        <v>13.950959999999998</v>
      </c>
      <c r="E14" s="360"/>
      <c r="F14" s="360">
        <v>21.480980000000002</v>
      </c>
      <c r="G14" s="360">
        <v>15</v>
      </c>
      <c r="H14" s="360">
        <v>6.4809800000000024</v>
      </c>
      <c r="I14" s="361">
        <v>1.4320653333333335</v>
      </c>
      <c r="J14" s="362" t="s">
        <v>1</v>
      </c>
    </row>
    <row r="15" spans="1:10" ht="14.4" customHeight="1" x14ac:dyDescent="0.3">
      <c r="A15" s="358" t="s">
        <v>292</v>
      </c>
      <c r="B15" s="359" t="s">
        <v>188</v>
      </c>
      <c r="C15" s="360">
        <v>0</v>
      </c>
      <c r="D15" s="360">
        <v>0</v>
      </c>
      <c r="E15" s="360"/>
      <c r="F15" s="360">
        <v>2.42</v>
      </c>
      <c r="G15" s="360">
        <v>1</v>
      </c>
      <c r="H15" s="360">
        <v>1.42</v>
      </c>
      <c r="I15" s="361">
        <v>2.42</v>
      </c>
      <c r="J15" s="362" t="s">
        <v>1</v>
      </c>
    </row>
    <row r="16" spans="1:10" ht="14.4" customHeight="1" x14ac:dyDescent="0.3">
      <c r="A16" s="358" t="s">
        <v>292</v>
      </c>
      <c r="B16" s="359" t="s">
        <v>189</v>
      </c>
      <c r="C16" s="360" t="s">
        <v>289</v>
      </c>
      <c r="D16" s="360" t="s">
        <v>289</v>
      </c>
      <c r="E16" s="360"/>
      <c r="F16" s="360">
        <v>0</v>
      </c>
      <c r="G16" s="360">
        <v>1.2916666666665</v>
      </c>
      <c r="H16" s="360">
        <v>-1.2916666666665</v>
      </c>
      <c r="I16" s="361">
        <v>0</v>
      </c>
      <c r="J16" s="362" t="s">
        <v>1</v>
      </c>
    </row>
    <row r="17" spans="1:10" ht="14.4" customHeight="1" x14ac:dyDescent="0.3">
      <c r="A17" s="358" t="s">
        <v>292</v>
      </c>
      <c r="B17" s="359" t="s">
        <v>190</v>
      </c>
      <c r="C17" s="360">
        <v>0</v>
      </c>
      <c r="D17" s="360">
        <v>0</v>
      </c>
      <c r="E17" s="360"/>
      <c r="F17" s="360">
        <v>0.27600000000000002</v>
      </c>
      <c r="G17" s="360">
        <v>0</v>
      </c>
      <c r="H17" s="360">
        <v>0.27600000000000002</v>
      </c>
      <c r="I17" s="361" t="s">
        <v>289</v>
      </c>
      <c r="J17" s="362" t="s">
        <v>1</v>
      </c>
    </row>
    <row r="18" spans="1:10" ht="14.4" customHeight="1" x14ac:dyDescent="0.3">
      <c r="A18" s="358" t="s">
        <v>292</v>
      </c>
      <c r="B18" s="359" t="s">
        <v>290</v>
      </c>
      <c r="C18" s="360">
        <v>16.31419</v>
      </c>
      <c r="D18" s="360">
        <v>13.950959999999998</v>
      </c>
      <c r="E18" s="360"/>
      <c r="F18" s="360">
        <v>24.176980000000004</v>
      </c>
      <c r="G18" s="360">
        <v>17.291666666666501</v>
      </c>
      <c r="H18" s="360">
        <v>6.885313333333503</v>
      </c>
      <c r="I18" s="361">
        <v>1.3981867951807365</v>
      </c>
      <c r="J18" s="362" t="s">
        <v>293</v>
      </c>
    </row>
    <row r="19" spans="1:10" ht="14.4" customHeight="1" x14ac:dyDescent="0.3">
      <c r="A19" s="358" t="s">
        <v>289</v>
      </c>
      <c r="B19" s="359" t="s">
        <v>289</v>
      </c>
      <c r="C19" s="360" t="s">
        <v>289</v>
      </c>
      <c r="D19" s="360" t="s">
        <v>289</v>
      </c>
      <c r="E19" s="360"/>
      <c r="F19" s="360" t="s">
        <v>289</v>
      </c>
      <c r="G19" s="360" t="s">
        <v>289</v>
      </c>
      <c r="H19" s="360" t="s">
        <v>289</v>
      </c>
      <c r="I19" s="361" t="s">
        <v>289</v>
      </c>
      <c r="J19" s="362" t="s">
        <v>294</v>
      </c>
    </row>
    <row r="20" spans="1:10" ht="14.4" customHeight="1" x14ac:dyDescent="0.3">
      <c r="A20" s="358" t="s">
        <v>287</v>
      </c>
      <c r="B20" s="359" t="s">
        <v>290</v>
      </c>
      <c r="C20" s="360">
        <v>16.31419</v>
      </c>
      <c r="D20" s="360">
        <v>13.950959999999998</v>
      </c>
      <c r="E20" s="360"/>
      <c r="F20" s="360">
        <v>24.176980000000004</v>
      </c>
      <c r="G20" s="360">
        <v>17.291666666666501</v>
      </c>
      <c r="H20" s="360">
        <v>6.885313333333503</v>
      </c>
      <c r="I20" s="361">
        <v>1.3981867951807365</v>
      </c>
      <c r="J20" s="362" t="s">
        <v>291</v>
      </c>
    </row>
  </sheetData>
  <mergeCells count="3">
    <mergeCell ref="A1:I1"/>
    <mergeCell ref="F3:I3"/>
    <mergeCell ref="C4:D4"/>
  </mergeCells>
  <conditionalFormatting sqref="F11 F21:F65537">
    <cfRule type="cellIs" dxfId="25" priority="18" stopIfTrue="1" operator="greaterThan">
      <formula>1</formula>
    </cfRule>
  </conditionalFormatting>
  <conditionalFormatting sqref="H5:H10">
    <cfRule type="expression" dxfId="24" priority="14">
      <formula>$H5&gt;0</formula>
    </cfRule>
  </conditionalFormatting>
  <conditionalFormatting sqref="I5:I10">
    <cfRule type="expression" dxfId="23" priority="15">
      <formula>$I5&gt;1</formula>
    </cfRule>
  </conditionalFormatting>
  <conditionalFormatting sqref="B5:B10">
    <cfRule type="expression" dxfId="22" priority="11">
      <formula>OR($J5="NS",$J5="SumaNS",$J5="Účet")</formula>
    </cfRule>
  </conditionalFormatting>
  <conditionalFormatting sqref="F5:I10 B5:D10">
    <cfRule type="expression" dxfId="21" priority="17">
      <formula>AND($J5&lt;&gt;"",$J5&lt;&gt;"mezeraKL")</formula>
    </cfRule>
  </conditionalFormatting>
  <conditionalFormatting sqref="B5:D10 F5:I10">
    <cfRule type="expression" dxfId="20" priority="12">
      <formula>OR($J5="KL",$J5="SumaKL")</formula>
    </cfRule>
    <cfRule type="expression" priority="16" stopIfTrue="1">
      <formula>OR($J5="mezeraNS",$J5="mezeraKL")</formula>
    </cfRule>
  </conditionalFormatting>
  <conditionalFormatting sqref="B5:D10 F5:I10">
    <cfRule type="expression" dxfId="19" priority="13">
      <formula>OR($J5="SumaNS",$J5="NS")</formula>
    </cfRule>
  </conditionalFormatting>
  <conditionalFormatting sqref="A5:A10">
    <cfRule type="expression" dxfId="18" priority="9">
      <formula>AND($J5&lt;&gt;"mezeraKL",$J5&lt;&gt;"")</formula>
    </cfRule>
  </conditionalFormatting>
  <conditionalFormatting sqref="A5:A10">
    <cfRule type="expression" dxfId="17" priority="10">
      <formula>AND($J5&lt;&gt;"",$J5&lt;&gt;"mezeraKL")</formula>
    </cfRule>
  </conditionalFormatting>
  <conditionalFormatting sqref="H12:H20">
    <cfRule type="expression" dxfId="16" priority="5">
      <formula>$H12&gt;0</formula>
    </cfRule>
  </conditionalFormatting>
  <conditionalFormatting sqref="A12:A20">
    <cfRule type="expression" dxfId="15" priority="2">
      <formula>AND($J12&lt;&gt;"mezeraKL",$J12&lt;&gt;"")</formula>
    </cfRule>
  </conditionalFormatting>
  <conditionalFormatting sqref="I12:I20">
    <cfRule type="expression" dxfId="14" priority="6">
      <formula>$I12&gt;1</formula>
    </cfRule>
  </conditionalFormatting>
  <conditionalFormatting sqref="B12:B20">
    <cfRule type="expression" dxfId="13" priority="1">
      <formula>OR($J12="NS",$J12="SumaNS",$J12="Účet")</formula>
    </cfRule>
  </conditionalFormatting>
  <conditionalFormatting sqref="A12:D20 F12:I20">
    <cfRule type="expression" dxfId="12" priority="8">
      <formula>AND($J12&lt;&gt;"",$J12&lt;&gt;"mezeraKL")</formula>
    </cfRule>
  </conditionalFormatting>
  <conditionalFormatting sqref="B12:D20 F12:I20">
    <cfRule type="expression" dxfId="11" priority="3">
      <formula>OR($J12="KL",$J12="SumaKL")</formula>
    </cfRule>
    <cfRule type="expression" priority="7" stopIfTrue="1">
      <formula>OR($J12="mezeraNS",$J12="mezeraKL")</formula>
    </cfRule>
  </conditionalFormatting>
  <conditionalFormatting sqref="B12:D20 F12:I20">
    <cfRule type="expression" dxfId="10" priority="4">
      <formula>OR($J12="SumaNS",$J12="NS")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12</vt:i4>
      </vt:variant>
      <vt:variant>
        <vt:lpstr>Pojmenované oblasti</vt:lpstr>
      </vt:variant>
      <vt:variant>
        <vt:i4>1</vt:i4>
      </vt:variant>
    </vt:vector>
  </HeadingPairs>
  <TitlesOfParts>
    <vt:vector size="13" baseType="lpstr">
      <vt:lpstr>Obsah</vt:lpstr>
      <vt:lpstr>Motivace</vt:lpstr>
      <vt:lpstr>HI</vt:lpstr>
      <vt:lpstr>Man Tab</vt:lpstr>
      <vt:lpstr>HV</vt:lpstr>
      <vt:lpstr>Léky Žádanky</vt:lpstr>
      <vt:lpstr>LŽ Detail</vt:lpstr>
      <vt:lpstr>LŽ Statim</vt:lpstr>
      <vt:lpstr>Materiál Žádanky</vt:lpstr>
      <vt:lpstr>MŽ Detail</vt:lpstr>
      <vt:lpstr>Osobní náklady</vt:lpstr>
      <vt:lpstr>ON Data</vt:lpstr>
      <vt:lpstr>Obdobi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2014-08-21T08:13:26Z</cp:lastPrinted>
  <dcterms:created xsi:type="dcterms:W3CDTF">2013-04-17T20:15:29Z</dcterms:created>
  <dcterms:modified xsi:type="dcterms:W3CDTF">2017-04-25T10:31:50Z</dcterms:modified>
</cp:coreProperties>
</file>