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G20" i="419" l="1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D18" i="419" l="1"/>
  <c r="F18" i="419"/>
  <c r="C18" i="419"/>
  <c r="G18" i="419"/>
  <c r="E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8" i="414"/>
  <c r="A7" i="414"/>
  <c r="F21" i="419" l="1"/>
  <c r="F22" i="419" s="1"/>
  <c r="E21" i="419"/>
  <c r="D21" i="419"/>
  <c r="D22" i="419" s="1"/>
  <c r="E23" i="419" l="1"/>
  <c r="D23" i="419"/>
  <c r="F23" i="419"/>
  <c r="E22" i="419"/>
  <c r="N3" i="418"/>
  <c r="C21" i="419" l="1"/>
  <c r="C22" i="419" s="1"/>
  <c r="C23" i="419" l="1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C6" i="419" l="1"/>
  <c r="D6" i="419"/>
  <c r="E6" i="419"/>
  <c r="F6" i="419"/>
  <c r="G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4" i="414"/>
  <c r="D13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<sst xmlns="http://schemas.openxmlformats.org/spreadsheetml/2006/main" count="672" uniqueCount="341">
  <si>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</si>
  <si>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</si>
  <si>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</si>
  <si>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</si>
  <si>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</si>
  <si>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</si>
  <si>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</si>
  <si>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</si>
  <si>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</si>
  <si>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</si>
  <si>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</si>
  <si>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</si>
  <si>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</si>
  <si>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</si>
  <si>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</si>
  <si>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</si>
  <si>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</si>
  <si>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</si>
  <si>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</si>
  <si>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</si>
  <si>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</si>
  <si>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</si>
  <si>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</si>
  <si>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</si>
  <si>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</si>
  <si>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</si>
  <si>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</si>
  <si>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</si>
  <si>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</si>
  <si>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</si>
  <si>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</si>
  <si>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</si>
  <si>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</si>
  <si>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</si>
  <si>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</si>
  <si>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</si>
  <si>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</si>
  <si>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</si>
  <si>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</si>
  <si>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</si>
  <si>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</si>
  <si>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</si>
  <si>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</si>
  <si>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</si>
  <si>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</si>
  <si>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</si>
  <si>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</si>
  <si>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</si>
  <si>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</si>
  <si>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</si>
  <si>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</si>
  <si>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</si>
  <si>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</si>
  <si>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</si>
  <si>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</si>
  <si>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</si>
  <si>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</si>
  <si>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</si>
  <si>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</si>
  <si>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</si>
  <si>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</si>
  <si>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</si>
  <si>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</si>
  <si>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</si>
  <si>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</si>
  <si>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</si>
  <si>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</si>
  <si>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</si>
  <si>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</si>
  <si>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</si>
  <si>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</si>
  <si>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</si>
  <si>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</si>
  <si>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</si>
  <si>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</si>
  <si>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</si>
  <si>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</si>
  <si>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</si>
  <si>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</si>
  <si>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</si>
  <si>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</si>
  <si>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</si>
  <si>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</si>
  <si>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</si>
  <si>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</si>
  <si>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</si>
  <si>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</si>
  <si>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</si>
  <si>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</si>
  <si>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</si>
  <si>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</si>
  <si>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</si>
  <si>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</si>
  <si>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</si>
  <si>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</si>
  <si>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</si>
  <si>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</si>
  <si>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</si>
  <si>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</si>
  <si>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</si>
  <si>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</si>
  <si>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</si>
  <si>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</si>
  <si>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</si>
  <si>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</si>
  <si>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</si>
  <si>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</si>
  <si>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</si>
  <si>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</si>
  <si>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</si>
  <si>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</si>
  <si>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</si>
  <si>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</si>
  <si>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</si>
  <si>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</si>
  <si>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</si>
  <si>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</si>
  <si>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</si>
  <si>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</si>
  <si>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</si>
  <si>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</si>
  <si>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</si>
  <si>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</si>
  <si>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</si>
  <si>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</si>
  <si>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</si>
  <si>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</si>
  <si>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</si>
  <si>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</si>
  <si>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</si>
  <si>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</si>
  <si>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</si>
  <si>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</si>
  <si>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</si>
  <si>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</si>
  <si>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</si>
  <si>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</si>
  <si>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</si>
  <si>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</si>
  <si>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</si>
  <si>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</si>
  <si>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</si>
  <si>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</si>
  <si>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</si>
  <si>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</si>
  <si>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</si>
  <si>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</si>
  <si>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</si>
  <si>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</si>
  <si>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</si>
  <si>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</si>
  <si>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</si>
  <si>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</si>
  <si>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</si>
  <si>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</si>
  <si>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</si>
  <si>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</si>
  <si>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</si>
  <si>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</si>
  <si>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</si>
  <si>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</si>
  <si>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</si>
  <si>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</si>
  <si>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</si>
  <si>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</si>
  <si>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</si>
  <si>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</si>
  <si>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</si>
  <si>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</si>
  <si>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</si>
  <si>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</si>
  <si>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</si>
  <si>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</si>
  <si>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</si>
  <si>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</si>
  <si>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</si>
  <si>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</si>
  <si>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</si>
  <si>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</si>
  <si>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</si>
  <si>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</si>
  <si>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</si>
  <si>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</si>
  <si>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</si>
  <si>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</si>
  <si>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</si>
  <si>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</si>
  <si>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</si>
  <si>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</si>
  <si>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</si>
  <si>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</si>
  <si>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</si>
  <si>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</si>
  <si>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</si>
  <si>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</si>
  <si>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</si>
  <si>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</si>
  <si>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</si>
  <si>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</si>
  <si>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</si>
  <si>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</si>
  <si>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</si>
  <si>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</si>
  <si>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</si>
  <si>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</si>
  <si>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</si>
  <si>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</si>
  <si>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</si>
  <si>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</si>
  <si>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</si>
  <si>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</si>
  <si>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</si>
  <si>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</si>
  <si>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</si>
  <si>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</si>
  <si>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</si>
  <si>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</si>
  <si>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</si>
  <si>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</si>
  <si>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</si>
  <si>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</si>
  <si>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</si>
  <si>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</si>
  <si>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</si>
  <si>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</si>
  <si>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</si>
  <si>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</si>
  <si>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</si>
  <si>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</si>
  <si>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</si>
  <si>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</si>
  <si>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</si>
  <si>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</si>
  <si>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</si>
  <si>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</si>
  <si>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</si>
  <si>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</si>
  <si>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</si>
  <si>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</si>
  <si>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</si>
  <si>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</si>
  <si>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</si>
  <si>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</si>
  <si>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</si>
  <si>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</si>
  <si>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</si>
  <si>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</si>
  <si>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</si>
  <si>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</si>
  <si>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</si>
  <si>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</si>
  <si>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</si>
  <si>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</si>
  <si>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</si>
  <si>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</si>
  <si>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</si>
  <si>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</si>
  <si>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</si>
  <si>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</si>
  <si>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</si>
  <si>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</si>
  <si>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</si>
  <si>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</si>
  <si>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</si>
  <si>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</si>
  <si>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</si>
  <si>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</si>
  <si>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</si>
  <si>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</si>
  <si>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</si>
  <si>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</si>
  <si>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</si>
  <si>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</si>
  <si>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</si>
  <si>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</si>
  <si>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</si>
  <si>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</si>
  <si>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</si>
  <si>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</si>
  <si>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</si>
  <si>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</si>
  <si>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</si>
  <si>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</si>
  <si>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</si>
  <si>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</si>
  <si>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</si>
  <si>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</si>
  <si>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</si>
  <si>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</si>
  <si>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</si>
  <si>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</si>
  <si>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</si>
  <si>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</si>
  <si>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</si>
  <si>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</si>
  <si>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</si>
  <si>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</si>
  <si>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</si>
  <si>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</si>
  <si>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</si>
  <si>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</si>
  <si>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</si>
  <si>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</si>
  <si>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</si>
  <si>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</si>
  <si>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</si>
  <si>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</si>
  <si>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</si>
  <si>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</si>
  <si>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</si>
  <si>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</si>
  <si>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</si>
  <si>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</si>
  <si>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</si>
  <si>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</si>
  <si>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</si>
  <si>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</si>
  <si>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</si>
  <si>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</si>
  <si>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</si>
  <si>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</si>
  <si>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</si>
  <si>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Glukózový bujon (5 ml)</t>
  </si>
  <si>
    <t>DC521</t>
  </si>
  <si>
    <t>OXITEST</t>
  </si>
  <si>
    <t>DA999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</si>
  <si>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</si>
  <si>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</si>
  <si>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</si>
  <si>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</si>
  <si>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</si>
  <si>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</si>
  <si>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</si>
  <si>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</si>
  <si>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</si>
  <si>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50115067</t>
  </si>
  <si>
    <t>ZPr - rukavice (Z532)</t>
  </si>
  <si>
    <t>ZM292</t>
  </si>
  <si>
    <t>Rukavice nitril sempercare bez p. M bal. á 200 ks 30803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</si>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</sst>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9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3" xfId="0" applyNumberFormat="1" applyFont="1" applyFill="1" applyBorder="1"/>
    <xf numFmtId="3" fontId="51" fillId="8" borderId="54" xfId="0" applyNumberFormat="1" applyFont="1" applyFill="1" applyBorder="1"/>
    <xf numFmtId="3" fontId="51" fillId="8" borderId="53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8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/>
    </xf>
    <xf numFmtId="0" fontId="53" fillId="2" borderId="61" xfId="0" applyFont="1" applyFill="1" applyBorder="1" applyAlignment="1">
      <alignment horizontal="center" vertical="center" wrapText="1"/>
    </xf>
    <xf numFmtId="0" fontId="53" fillId="2" borderId="62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/>
    <xf numFmtId="0" fontId="39" fillId="2" borderId="65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3" xfId="0" applyFont="1" applyFill="1" applyBorder="1" applyAlignment="1"/>
    <xf numFmtId="0" fontId="39" fillId="4" borderId="65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5" xfId="0" quotePrefix="1" applyFont="1" applyFill="1" applyBorder="1" applyAlignment="1">
      <alignment horizontal="left" indent="2"/>
    </xf>
    <xf numFmtId="0" fontId="32" fillId="2" borderId="71" xfId="0" quotePrefix="1" applyFont="1" applyFill="1" applyBorder="1" applyAlignment="1">
      <alignment horizontal="left" indent="2"/>
    </xf>
    <xf numFmtId="0" fontId="39" fillId="2" borderId="63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5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3" fillId="2" borderId="78" xfId="0" applyNumberFormat="1" applyFont="1" applyFill="1" applyBorder="1" applyAlignment="1">
      <alignment horizontal="center" vertical="center" wrapText="1"/>
    </xf>
    <xf numFmtId="173" fontId="39" fillId="4" borderId="64" xfId="0" applyNumberFormat="1" applyFont="1" applyFill="1" applyBorder="1" applyAlignment="1"/>
    <xf numFmtId="173" fontId="39" fillId="4" borderId="58" xfId="0" applyNumberFormat="1" applyFont="1" applyFill="1" applyBorder="1" applyAlignment="1"/>
    <xf numFmtId="173" fontId="39" fillId="4" borderId="59" xfId="0" applyNumberFormat="1" applyFont="1" applyFill="1" applyBorder="1" applyAlignment="1"/>
    <xf numFmtId="173" fontId="39" fillId="0" borderId="66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7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3" fontId="39" fillId="2" borderId="79" xfId="0" applyNumberFormat="1" applyFont="1" applyFill="1" applyBorder="1" applyAlignment="1"/>
    <xf numFmtId="173" fontId="39" fillId="2" borderId="58" xfId="0" applyNumberFormat="1" applyFont="1" applyFill="1" applyBorder="1" applyAlignment="1"/>
    <xf numFmtId="173" fontId="39" fillId="2" borderId="59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2" fillId="0" borderId="75" xfId="0" applyNumberFormat="1" applyFont="1" applyBorder="1"/>
    <xf numFmtId="174" fontId="39" fillId="2" borderId="64" xfId="0" applyNumberFormat="1" applyFont="1" applyFill="1" applyBorder="1" applyAlignment="1"/>
    <xf numFmtId="174" fontId="32" fillId="2" borderId="58" xfId="0" applyNumberFormat="1" applyFont="1" applyFill="1" applyBorder="1" applyAlignment="1"/>
    <xf numFmtId="174" fontId="32" fillId="2" borderId="59" xfId="0" applyNumberFormat="1" applyFont="1" applyFill="1" applyBorder="1" applyAlignment="1"/>
    <xf numFmtId="174" fontId="39" fillId="0" borderId="66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2" fillId="0" borderId="75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4" xfId="0" applyNumberFormat="1" applyFont="1" applyFill="1" applyBorder="1" applyAlignment="1">
      <alignment horizontal="center"/>
    </xf>
    <xf numFmtId="175" fontId="39" fillId="0" borderId="72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9" xfId="0" applyFont="1" applyFill="1" applyBorder="1"/>
    <xf numFmtId="0" fontId="32" fillId="0" borderId="70" xfId="0" applyFont="1" applyBorder="1" applyAlignment="1"/>
    <xf numFmtId="9" fontId="32" fillId="0" borderId="68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68" xfId="0" applyNumberFormat="1" applyFont="1" applyBorder="1"/>
    <xf numFmtId="9" fontId="32" fillId="0" borderId="69" xfId="0" applyNumberFormat="1" applyFont="1" applyBorder="1"/>
    <xf numFmtId="49" fontId="37" fillId="2" borderId="68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3" fontId="32" fillId="0" borderId="0" xfId="0" applyNumberFormat="1" applyFont="1" applyBorder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5" fontId="32" fillId="0" borderId="6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2" fillId="0" borderId="62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89" xfId="0" applyNumberFormat="1" applyFont="1" applyBorder="1"/>
    <xf numFmtId="9" fontId="32" fillId="0" borderId="65" xfId="0" applyNumberFormat="1" applyFont="1" applyBorder="1"/>
    <xf numFmtId="173" fontId="32" fillId="0" borderId="76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173" fontId="39" fillId="0" borderId="19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2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166" fontId="39" fillId="2" borderId="56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4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4" xfId="80" applyNumberFormat="1" applyFont="1" applyFill="1" applyBorder="1"/>
    <xf numFmtId="3" fontId="3" fillId="2" borderId="7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" fillId="2" borderId="75" xfId="80" applyNumberFormat="1" applyFont="1" applyFill="1" applyBorder="1"/>
    <xf numFmtId="9" fontId="32" fillId="0" borderId="58" xfId="0" applyNumberFormat="1" applyFont="1" applyFill="1" applyBorder="1"/>
    <xf numFmtId="9" fontId="32" fillId="0" borderId="59" xfId="0" applyNumberFormat="1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80" xfId="0" applyNumberFormat="1" applyFont="1" applyFill="1" applyBorder="1"/>
    <xf numFmtId="9" fontId="32" fillId="0" borderId="7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106" xfId="0" applyNumberFormat="1" applyFont="1" applyFill="1" applyBorder="1"/>
    <xf numFmtId="9" fontId="32" fillId="0" borderId="107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84" t="s">
        <v>63</v>
      </c>
      <c r="B1" s="284"/>
    </row>
    <row r="2" spans="1:3" ht="14.4" customHeight="1" thickBot="1" x14ac:dyDescent="0.35">
      <c r="A2" s="173" t="s">
        <v>179</v>
      </c>
      <c r="B2" s="41"/>
    </row>
    <row r="3" spans="1:3" ht="14.4" customHeight="1" thickBot="1" x14ac:dyDescent="0.35">
      <c r="A3" s="280" t="s">
        <v>79</v>
      </c>
      <c r="B3" s="281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181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82" t="s">
        <v>64</v>
      </c>
      <c r="B9" s="281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0" t="str">
        <f t="shared" si="2"/>
        <v>LŽ Statim</v>
      </c>
      <c r="B12" s="243" t="s">
        <v>135</v>
      </c>
      <c r="C12" s="42" t="s">
        <v>145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0" t="str">
        <f t="shared" si="2"/>
        <v>MŽ Detail</v>
      </c>
      <c r="B14" s="63" t="s">
        <v>339</v>
      </c>
      <c r="C14" s="42" t="s">
        <v>71</v>
      </c>
    </row>
    <row r="15" spans="1:3" ht="14.4" customHeight="1" thickBot="1" x14ac:dyDescent="0.35">
      <c r="A15" s="112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83" t="s">
        <v>65</v>
      </c>
      <c r="B17" s="281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321" t="s">
        <v>339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4.4" customHeight="1" thickBot="1" x14ac:dyDescent="0.35">
      <c r="A2" s="173" t="s">
        <v>179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317"/>
      <c r="D3" s="318"/>
      <c r="E3" s="318"/>
      <c r="F3" s="318"/>
      <c r="G3" s="318"/>
      <c r="H3" s="107" t="s">
        <v>75</v>
      </c>
      <c r="I3" s="71">
        <f>IF(J3&lt;&gt;0,K3/J3,0)</f>
        <v>8.1246478953109609</v>
      </c>
      <c r="J3" s="71">
        <f>SUBTOTAL(9,J5:J1048576)</f>
        <v>4316</v>
      </c>
      <c r="K3" s="72">
        <f>SUBTOTAL(9,K5:K1048576)</f>
        <v>35065.980316162109</v>
      </c>
    </row>
    <row r="4" spans="1:11" s="162" customFormat="1" ht="14.4" customHeight="1" thickBot="1" x14ac:dyDescent="0.35">
      <c r="A4" s="365" t="s">
        <v>3</v>
      </c>
      <c r="B4" s="366" t="s">
        <v>4</v>
      </c>
      <c r="C4" s="366" t="s">
        <v>0</v>
      </c>
      <c r="D4" s="366" t="s">
        <v>5</v>
      </c>
      <c r="E4" s="366" t="s">
        <v>6</v>
      </c>
      <c r="F4" s="366" t="s">
        <v>1</v>
      </c>
      <c r="G4" s="366" t="s">
        <v>54</v>
      </c>
      <c r="H4" s="368" t="s">
        <v>10</v>
      </c>
      <c r="I4" s="369" t="s">
        <v>81</v>
      </c>
      <c r="J4" s="369" t="s">
        <v>12</v>
      </c>
      <c r="K4" s="370" t="s">
        <v>89</v>
      </c>
    </row>
    <row r="5" spans="1:11" ht="14.4" customHeight="1" x14ac:dyDescent="0.3">
      <c r="A5" s="371" t="s">
        <v>295</v>
      </c>
      <c r="B5" s="372" t="s">
        <v>296</v>
      </c>
      <c r="C5" s="373" t="s">
        <v>301</v>
      </c>
      <c r="D5" s="374" t="s">
        <v>296</v>
      </c>
      <c r="E5" s="373" t="s">
        <v>313</v>
      </c>
      <c r="F5" s="374" t="s">
        <v>314</v>
      </c>
      <c r="G5" s="373" t="s">
        <v>315</v>
      </c>
      <c r="H5" s="373" t="s">
        <v>316</v>
      </c>
      <c r="I5" s="376">
        <v>482.79000854492187</v>
      </c>
      <c r="J5" s="376">
        <v>2</v>
      </c>
      <c r="K5" s="377">
        <v>965.58001708984375</v>
      </c>
    </row>
    <row r="6" spans="1:11" ht="14.4" customHeight="1" x14ac:dyDescent="0.3">
      <c r="A6" s="403" t="s">
        <v>295</v>
      </c>
      <c r="B6" s="404" t="s">
        <v>296</v>
      </c>
      <c r="C6" s="405" t="s">
        <v>301</v>
      </c>
      <c r="D6" s="406" t="s">
        <v>296</v>
      </c>
      <c r="E6" s="405" t="s">
        <v>313</v>
      </c>
      <c r="F6" s="406" t="s">
        <v>314</v>
      </c>
      <c r="G6" s="405" t="s">
        <v>317</v>
      </c>
      <c r="H6" s="405" t="s">
        <v>318</v>
      </c>
      <c r="I6" s="407">
        <v>12.305314336504255</v>
      </c>
      <c r="J6" s="407">
        <v>300</v>
      </c>
      <c r="K6" s="408">
        <v>3691.4299926757812</v>
      </c>
    </row>
    <row r="7" spans="1:11" ht="14.4" customHeight="1" x14ac:dyDescent="0.3">
      <c r="A7" s="403" t="s">
        <v>295</v>
      </c>
      <c r="B7" s="404" t="s">
        <v>296</v>
      </c>
      <c r="C7" s="405" t="s">
        <v>301</v>
      </c>
      <c r="D7" s="406" t="s">
        <v>296</v>
      </c>
      <c r="E7" s="405" t="s">
        <v>313</v>
      </c>
      <c r="F7" s="406" t="s">
        <v>314</v>
      </c>
      <c r="G7" s="405" t="s">
        <v>319</v>
      </c>
      <c r="H7" s="405" t="s">
        <v>320</v>
      </c>
      <c r="I7" s="407">
        <v>15.54890022277832</v>
      </c>
      <c r="J7" s="407">
        <v>180</v>
      </c>
      <c r="K7" s="408">
        <v>2798.719970703125</v>
      </c>
    </row>
    <row r="8" spans="1:11" ht="14.4" customHeight="1" x14ac:dyDescent="0.3">
      <c r="A8" s="403" t="s">
        <v>295</v>
      </c>
      <c r="B8" s="404" t="s">
        <v>296</v>
      </c>
      <c r="C8" s="405" t="s">
        <v>301</v>
      </c>
      <c r="D8" s="406" t="s">
        <v>296</v>
      </c>
      <c r="E8" s="405" t="s">
        <v>313</v>
      </c>
      <c r="F8" s="406" t="s">
        <v>314</v>
      </c>
      <c r="G8" s="405" t="s">
        <v>321</v>
      </c>
      <c r="H8" s="405" t="s">
        <v>322</v>
      </c>
      <c r="I8" s="407">
        <v>15.814285550798688</v>
      </c>
      <c r="J8" s="407">
        <v>1150</v>
      </c>
      <c r="K8" s="408">
        <v>18186.400268554688</v>
      </c>
    </row>
    <row r="9" spans="1:11" ht="14.4" customHeight="1" x14ac:dyDescent="0.3">
      <c r="A9" s="403" t="s">
        <v>295</v>
      </c>
      <c r="B9" s="404" t="s">
        <v>296</v>
      </c>
      <c r="C9" s="405" t="s">
        <v>301</v>
      </c>
      <c r="D9" s="406" t="s">
        <v>296</v>
      </c>
      <c r="E9" s="405" t="s">
        <v>313</v>
      </c>
      <c r="F9" s="406" t="s">
        <v>314</v>
      </c>
      <c r="G9" s="405" t="s">
        <v>323</v>
      </c>
      <c r="H9" s="405" t="s">
        <v>324</v>
      </c>
      <c r="I9" s="407">
        <v>151.25</v>
      </c>
      <c r="J9" s="407">
        <v>2</v>
      </c>
      <c r="K9" s="408">
        <v>302.5</v>
      </c>
    </row>
    <row r="10" spans="1:11" ht="14.4" customHeight="1" x14ac:dyDescent="0.3">
      <c r="A10" s="403" t="s">
        <v>295</v>
      </c>
      <c r="B10" s="404" t="s">
        <v>296</v>
      </c>
      <c r="C10" s="405" t="s">
        <v>301</v>
      </c>
      <c r="D10" s="406" t="s">
        <v>296</v>
      </c>
      <c r="E10" s="405" t="s">
        <v>313</v>
      </c>
      <c r="F10" s="406" t="s">
        <v>314</v>
      </c>
      <c r="G10" s="405" t="s">
        <v>325</v>
      </c>
      <c r="H10" s="405" t="s">
        <v>326</v>
      </c>
      <c r="I10" s="407">
        <v>18.150666554768879</v>
      </c>
      <c r="J10" s="407">
        <v>120</v>
      </c>
      <c r="K10" s="408">
        <v>2178.0800170898437</v>
      </c>
    </row>
    <row r="11" spans="1:11" ht="14.4" customHeight="1" x14ac:dyDescent="0.3">
      <c r="A11" s="403" t="s">
        <v>295</v>
      </c>
      <c r="B11" s="404" t="s">
        <v>296</v>
      </c>
      <c r="C11" s="405" t="s">
        <v>301</v>
      </c>
      <c r="D11" s="406" t="s">
        <v>296</v>
      </c>
      <c r="E11" s="405" t="s">
        <v>313</v>
      </c>
      <c r="F11" s="406" t="s">
        <v>314</v>
      </c>
      <c r="G11" s="405" t="s">
        <v>327</v>
      </c>
      <c r="H11" s="405" t="s">
        <v>328</v>
      </c>
      <c r="I11" s="407">
        <v>719.95001220703125</v>
      </c>
      <c r="J11" s="407">
        <v>2</v>
      </c>
      <c r="K11" s="408">
        <v>1439.9000244140625</v>
      </c>
    </row>
    <row r="12" spans="1:11" ht="14.4" customHeight="1" x14ac:dyDescent="0.3">
      <c r="A12" s="403" t="s">
        <v>295</v>
      </c>
      <c r="B12" s="404" t="s">
        <v>296</v>
      </c>
      <c r="C12" s="405" t="s">
        <v>301</v>
      </c>
      <c r="D12" s="406" t="s">
        <v>296</v>
      </c>
      <c r="E12" s="405" t="s">
        <v>313</v>
      </c>
      <c r="F12" s="406" t="s">
        <v>314</v>
      </c>
      <c r="G12" s="405" t="s">
        <v>329</v>
      </c>
      <c r="H12" s="405" t="s">
        <v>330</v>
      </c>
      <c r="I12" s="407">
        <v>17.546780014038085</v>
      </c>
      <c r="J12" s="407">
        <v>160</v>
      </c>
      <c r="K12" s="408">
        <v>2807.3700256347656</v>
      </c>
    </row>
    <row r="13" spans="1:11" ht="14.4" customHeight="1" x14ac:dyDescent="0.3">
      <c r="A13" s="403" t="s">
        <v>295</v>
      </c>
      <c r="B13" s="404" t="s">
        <v>296</v>
      </c>
      <c r="C13" s="405" t="s">
        <v>301</v>
      </c>
      <c r="D13" s="406" t="s">
        <v>296</v>
      </c>
      <c r="E13" s="405" t="s">
        <v>331</v>
      </c>
      <c r="F13" s="406" t="s">
        <v>332</v>
      </c>
      <c r="G13" s="405" t="s">
        <v>333</v>
      </c>
      <c r="H13" s="405" t="s">
        <v>334</v>
      </c>
      <c r="I13" s="407">
        <v>1.2100000381469727</v>
      </c>
      <c r="J13" s="407">
        <v>2000</v>
      </c>
      <c r="K13" s="408">
        <v>2420</v>
      </c>
    </row>
    <row r="14" spans="1:11" ht="14.4" customHeight="1" thickBot="1" x14ac:dyDescent="0.35">
      <c r="A14" s="378" t="s">
        <v>295</v>
      </c>
      <c r="B14" s="379" t="s">
        <v>296</v>
      </c>
      <c r="C14" s="380" t="s">
        <v>301</v>
      </c>
      <c r="D14" s="381" t="s">
        <v>296</v>
      </c>
      <c r="E14" s="380" t="s">
        <v>335</v>
      </c>
      <c r="F14" s="381" t="s">
        <v>336</v>
      </c>
      <c r="G14" s="380" t="s">
        <v>337</v>
      </c>
      <c r="H14" s="380" t="s">
        <v>338</v>
      </c>
      <c r="I14" s="383">
        <v>0.68999999761581421</v>
      </c>
      <c r="J14" s="383">
        <v>400</v>
      </c>
      <c r="K14" s="384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8" ht="18.600000000000001" thickBot="1" x14ac:dyDescent="0.4">
      <c r="A1" s="331" t="s">
        <v>61</v>
      </c>
      <c r="B1" s="331"/>
      <c r="C1" s="274"/>
      <c r="D1" s="274"/>
      <c r="E1" s="274"/>
      <c r="F1" s="274"/>
      <c r="G1" s="274"/>
      <c r="H1" s="253"/>
    </row>
    <row r="2" spans="1:8" ht="15" thickBot="1" x14ac:dyDescent="0.35">
      <c r="A2" s="173" t="s">
        <v>179</v>
      </c>
      <c r="B2" s="174"/>
      <c r="C2" s="174"/>
      <c r="D2" s="174"/>
      <c r="E2" s="174"/>
      <c r="F2" s="174"/>
      <c r="H2" s="253"/>
    </row>
    <row r="3" spans="1:8" x14ac:dyDescent="0.3">
      <c r="A3" s="192" t="s">
        <v>124</v>
      </c>
      <c r="B3" s="329" t="s">
        <v>108</v>
      </c>
      <c r="C3" s="195">
        <v>101</v>
      </c>
      <c r="D3" s="195">
        <v>409</v>
      </c>
      <c r="E3" s="195">
        <v>526</v>
      </c>
      <c r="F3" s="175">
        <v>528</v>
      </c>
      <c r="G3" s="176">
        <v>746</v>
      </c>
      <c r="H3" s="253"/>
    </row>
    <row r="4" spans="1:8" ht="36.6" outlineLevel="1" thickBot="1" x14ac:dyDescent="0.35">
      <c r="A4" s="193">
        <v>2017</v>
      </c>
      <c r="B4" s="330"/>
      <c r="C4" s="196" t="s">
        <v>147</v>
      </c>
      <c r="D4" s="196" t="s">
        <v>130</v>
      </c>
      <c r="E4" s="196" t="s">
        <v>131</v>
      </c>
      <c r="F4" s="177" t="s">
        <v>133</v>
      </c>
      <c r="G4" s="178" t="s">
        <v>132</v>
      </c>
      <c r="H4" s="253"/>
    </row>
    <row r="5" spans="1:8" x14ac:dyDescent="0.3">
      <c r="A5" s="179" t="s">
        <v>109</v>
      </c>
      <c r="B5" s="212"/>
      <c r="C5" s="213"/>
      <c r="D5" s="213"/>
      <c r="E5" s="213"/>
      <c r="F5" s="213"/>
      <c r="G5" s="214"/>
      <c r="H5" s="253"/>
    </row>
    <row r="6" spans="1:8" ht="15" collapsed="1" thickBot="1" x14ac:dyDescent="0.35">
      <c r="A6" s="180" t="s">
        <v>55</v>
      </c>
      <c r="B6" s="215">
        <f xml:space="preserve">
TRUNC(IF($A$4&lt;=12,SUMIFS('ON Data'!F:F,'ON Data'!$D:$D,$A$4,'ON Data'!$E:$E,1),SUMIFS('ON Data'!F:F,'ON Data'!$E:$E,1)/'ON Data'!$D$3),1)</f>
        <v>3.5</v>
      </c>
      <c r="C6" s="216">
        <f xml:space="preserve">
TRUNC(IF($A$4&lt;=12,SUMIFS('ON Data'!L:L,'ON Data'!$D:$D,$A$4,'ON Data'!$E:$E,1),SUMIFS('ON Data'!L:L,'ON Data'!$E:$E,1)/'ON Data'!$D$3),1)</f>
        <v>1.7</v>
      </c>
      <c r="D6" s="216">
        <f xml:space="preserve">
TRUNC(IF($A$4&lt;=12,SUMIFS('ON Data'!W:W,'ON Data'!$D:$D,$A$4,'ON Data'!$E:$E,1),SUMIFS('ON Data'!W:W,'ON Data'!$E:$E,1)/'ON Data'!$D$3),1)</f>
        <v>0.8</v>
      </c>
      <c r="E6" s="216">
        <f xml:space="preserve">
TRUNC(IF($A$4&lt;=12,SUMIFS('ON Data'!AL:AL,'ON Data'!$D:$D,$A$4,'ON Data'!$E:$E,1),SUMIFS('ON Data'!AL:AL,'ON Data'!$E:$E,1)/'ON Data'!$D$3),1)</f>
        <v>0</v>
      </c>
      <c r="F6" s="216">
        <f xml:space="preserve">
TRUNC(IF($A$4&lt;=12,SUMIFS('ON Data'!AN:AN,'ON Data'!$D:$D,$A$4,'ON Data'!$E:$E,1),SUMIFS('ON Data'!AN:AN,'ON Data'!$E:$E,1)/'ON Data'!$D$3),1)</f>
        <v>0.8</v>
      </c>
      <c r="G6" s="217">
        <f xml:space="preserve">
TRUNC(IF($A$4&lt;=12,SUMIFS('ON Data'!AW:AW,'ON Data'!$D:$D,$A$4,'ON Data'!$E:$E,1),SUMIFS('ON Data'!AW:AW,'ON Data'!$E:$E,1)/'ON Data'!$D$3),1)</f>
        <v>0</v>
      </c>
      <c r="H6" s="253"/>
    </row>
    <row r="7" spans="1:8" ht="15" hidden="1" outlineLevel="1" thickBot="1" x14ac:dyDescent="0.35">
      <c r="A7" s="180" t="s">
        <v>62</v>
      </c>
      <c r="B7" s="215"/>
      <c r="C7" s="216"/>
      <c r="D7" s="216"/>
      <c r="E7" s="216"/>
      <c r="F7" s="216"/>
      <c r="G7" s="217"/>
      <c r="H7" s="253"/>
    </row>
    <row r="8" spans="1:8" ht="15" hidden="1" outlineLevel="1" thickBot="1" x14ac:dyDescent="0.35">
      <c r="A8" s="180" t="s">
        <v>57</v>
      </c>
      <c r="B8" s="215"/>
      <c r="C8" s="216"/>
      <c r="D8" s="216"/>
      <c r="E8" s="216"/>
      <c r="F8" s="216"/>
      <c r="G8" s="217"/>
      <c r="H8" s="253"/>
    </row>
    <row r="9" spans="1:8" ht="15" hidden="1" outlineLevel="1" thickBot="1" x14ac:dyDescent="0.35">
      <c r="A9" s="181" t="s">
        <v>52</v>
      </c>
      <c r="B9" s="218"/>
      <c r="C9" s="219"/>
      <c r="D9" s="219"/>
      <c r="E9" s="219"/>
      <c r="F9" s="219"/>
      <c r="G9" s="220"/>
      <c r="H9" s="253"/>
    </row>
    <row r="10" spans="1:8" x14ac:dyDescent="0.3">
      <c r="A10" s="182" t="s">
        <v>110</v>
      </c>
      <c r="B10" s="197"/>
      <c r="C10" s="198"/>
      <c r="D10" s="198"/>
      <c r="E10" s="198"/>
      <c r="F10" s="198"/>
      <c r="G10" s="199"/>
      <c r="H10" s="253"/>
    </row>
    <row r="11" spans="1:8" x14ac:dyDescent="0.3">
      <c r="A11" s="183" t="s">
        <v>111</v>
      </c>
      <c r="B11" s="200">
        <f xml:space="preserve">
IF($A$4&lt;=12,SUMIFS('ON Data'!F:F,'ON Data'!$D:$D,$A$4,'ON Data'!$E:$E,2),SUMIFS('ON Data'!F:F,'ON Data'!$E:$E,2))</f>
        <v>4488</v>
      </c>
      <c r="C11" s="201">
        <f xml:space="preserve">
IF($A$4&lt;=12,SUMIFS('ON Data'!L:L,'ON Data'!$D:$D,$A$4,'ON Data'!$E:$E,2),SUMIFS('ON Data'!L:L,'ON Data'!$E:$E,2))</f>
        <v>2280</v>
      </c>
      <c r="D11" s="201">
        <f xml:space="preserve">
IF($A$4&lt;=12,SUMIFS('ON Data'!W:W,'ON Data'!$D:$D,$A$4,'ON Data'!$E:$E,2),SUMIFS('ON Data'!W:W,'ON Data'!$E:$E,2))</f>
        <v>1112</v>
      </c>
      <c r="E11" s="201">
        <f xml:space="preserve">
IF($A$4&lt;=12,SUMIFS('ON Data'!AL:AL,'ON Data'!$D:$D,$A$4,'ON Data'!$E:$E,2),SUMIFS('ON Data'!AL:AL,'ON Data'!$E:$E,2))</f>
        <v>0</v>
      </c>
      <c r="F11" s="201">
        <f xml:space="preserve">
IF($A$4&lt;=12,SUMIFS('ON Data'!AN:AN,'ON Data'!$D:$D,$A$4,'ON Data'!$E:$E,2),SUMIFS('ON Data'!AN:AN,'ON Data'!$E:$E,2))</f>
        <v>1096</v>
      </c>
      <c r="G11" s="202">
        <f xml:space="preserve">
IF($A$4&lt;=12,SUMIFS('ON Data'!AW:AW,'ON Data'!$D:$D,$A$4,'ON Data'!$E:$E,2),SUMIFS('ON Data'!AW:AW,'ON Data'!$E:$E,2))</f>
        <v>0</v>
      </c>
      <c r="H11" s="253"/>
    </row>
    <row r="12" spans="1:8" x14ac:dyDescent="0.3">
      <c r="A12" s="183" t="s">
        <v>112</v>
      </c>
      <c r="B12" s="200">
        <f xml:space="preserve">
IF($A$4&lt;=12,SUMIFS('ON Data'!F:F,'ON Data'!$D:$D,$A$4,'ON Data'!$E:$E,3),SUMIFS('ON Data'!F:F,'ON Data'!$E:$E,3))</f>
        <v>0</v>
      </c>
      <c r="C12" s="201">
        <f xml:space="preserve">
IF($A$4&lt;=12,SUMIFS('ON Data'!L:L,'ON Data'!$D:$D,$A$4,'ON Data'!$E:$E,3),SUMIFS('ON Data'!L:L,'ON Data'!$E:$E,3))</f>
        <v>0</v>
      </c>
      <c r="D12" s="201">
        <f xml:space="preserve">
IF($A$4&lt;=12,SUMIFS('ON Data'!W:W,'ON Data'!$D:$D,$A$4,'ON Data'!$E:$E,3),SUMIFS('ON Data'!W:W,'ON Data'!$E:$E,3))</f>
        <v>0</v>
      </c>
      <c r="E12" s="201">
        <f xml:space="preserve">
IF($A$4&lt;=12,SUMIFS('ON Data'!AL:AL,'ON Data'!$D:$D,$A$4,'ON Data'!$E:$E,3),SUMIFS('ON Data'!AL:AL,'ON Data'!$E:$E,3))</f>
        <v>0</v>
      </c>
      <c r="F12" s="201">
        <f xml:space="preserve">
IF($A$4&lt;=12,SUMIFS('ON Data'!AN:AN,'ON Data'!$D:$D,$A$4,'ON Data'!$E:$E,3),SUMIFS('ON Data'!AN:AN,'ON Data'!$E:$E,3))</f>
        <v>0</v>
      </c>
      <c r="G12" s="202">
        <f xml:space="preserve">
IF($A$4&lt;=12,SUMIFS('ON Data'!AW:AW,'ON Data'!$D:$D,$A$4,'ON Data'!$E:$E,3),SUMIFS('ON Data'!AW:AW,'ON Data'!$E:$E,3))</f>
        <v>0</v>
      </c>
      <c r="H12" s="253"/>
    </row>
    <row r="13" spans="1:8" x14ac:dyDescent="0.3">
      <c r="A13" s="183" t="s">
        <v>119</v>
      </c>
      <c r="B13" s="200">
        <f xml:space="preserve">
IF($A$4&lt;=12,SUMIFS('ON Data'!F:F,'ON Data'!$D:$D,$A$4,'ON Data'!$E:$E,4),SUMIFS('ON Data'!F:F,'ON Data'!$E:$E,4))</f>
        <v>0</v>
      </c>
      <c r="C13" s="201">
        <f xml:space="preserve">
IF($A$4&lt;=12,SUMIFS('ON Data'!L:L,'ON Data'!$D:$D,$A$4,'ON Data'!$E:$E,4),SUMIFS('ON Data'!L:L,'ON Data'!$E:$E,4))</f>
        <v>0</v>
      </c>
      <c r="D13" s="201">
        <f xml:space="preserve">
IF($A$4&lt;=12,SUMIFS('ON Data'!W:W,'ON Data'!$D:$D,$A$4,'ON Data'!$E:$E,4),SUMIFS('ON Data'!W:W,'ON Data'!$E:$E,4))</f>
        <v>0</v>
      </c>
      <c r="E13" s="201">
        <f xml:space="preserve">
IF($A$4&lt;=12,SUMIFS('ON Data'!AL:AL,'ON Data'!$D:$D,$A$4,'ON Data'!$E:$E,4),SUMIFS('ON Data'!AL:AL,'ON Data'!$E:$E,4))</f>
        <v>0</v>
      </c>
      <c r="F13" s="201">
        <f xml:space="preserve">
IF($A$4&lt;=12,SUMIFS('ON Data'!AN:AN,'ON Data'!$D:$D,$A$4,'ON Data'!$E:$E,4),SUMIFS('ON Data'!AN:AN,'ON Data'!$E:$E,4))</f>
        <v>0</v>
      </c>
      <c r="G13" s="202">
        <f xml:space="preserve">
IF($A$4&lt;=12,SUMIFS('ON Data'!AW:AW,'ON Data'!$D:$D,$A$4,'ON Data'!$E:$E,4),SUMIFS('ON Data'!AW:AW,'ON Data'!$E:$E,4))</f>
        <v>0</v>
      </c>
      <c r="H13" s="253"/>
    </row>
    <row r="14" spans="1:8" ht="15" thickBot="1" x14ac:dyDescent="0.35">
      <c r="A14" s="184" t="s">
        <v>113</v>
      </c>
      <c r="B14" s="203">
        <f xml:space="preserve">
IF($A$4&lt;=12,SUMIFS('ON Data'!F:F,'ON Data'!$D:$D,$A$4,'ON Data'!$E:$E,5),SUMIFS('ON Data'!F:F,'ON Data'!$E:$E,5))</f>
        <v>140</v>
      </c>
      <c r="C14" s="204">
        <f xml:space="preserve">
IF($A$4&lt;=12,SUMIFS('ON Data'!L:L,'ON Data'!$D:$D,$A$4,'ON Data'!$E:$E,5),SUMIFS('ON Data'!L:L,'ON Data'!$E:$E,5))</f>
        <v>140</v>
      </c>
      <c r="D14" s="204">
        <f xml:space="preserve">
IF($A$4&lt;=12,SUMIFS('ON Data'!W:W,'ON Data'!$D:$D,$A$4,'ON Data'!$E:$E,5),SUMIFS('ON Data'!W:W,'ON Data'!$E:$E,5))</f>
        <v>0</v>
      </c>
      <c r="E14" s="204">
        <f xml:space="preserve">
IF($A$4&lt;=12,SUMIFS('ON Data'!AL:AL,'ON Data'!$D:$D,$A$4,'ON Data'!$E:$E,5),SUMIFS('ON Data'!AL:AL,'ON Data'!$E:$E,5))</f>
        <v>0</v>
      </c>
      <c r="F14" s="204">
        <f xml:space="preserve">
IF($A$4&lt;=12,SUMIFS('ON Data'!AN:AN,'ON Data'!$D:$D,$A$4,'ON Data'!$E:$E,5),SUMIFS('ON Data'!AN:AN,'ON Data'!$E:$E,5))</f>
        <v>0</v>
      </c>
      <c r="G14" s="205">
        <f xml:space="preserve">
IF($A$4&lt;=12,SUMIFS('ON Data'!AW:AW,'ON Data'!$D:$D,$A$4,'ON Data'!$E:$E,5),SUMIFS('ON Data'!AW:AW,'ON Data'!$E:$E,5))</f>
        <v>0</v>
      </c>
      <c r="H14" s="253"/>
    </row>
    <row r="15" spans="1:8" x14ac:dyDescent="0.3">
      <c r="A15" s="125" t="s">
        <v>123</v>
      </c>
      <c r="B15" s="206"/>
      <c r="C15" s="207"/>
      <c r="D15" s="207"/>
      <c r="E15" s="207"/>
      <c r="F15" s="207"/>
      <c r="G15" s="208"/>
      <c r="H15" s="253"/>
    </row>
    <row r="16" spans="1:8" x14ac:dyDescent="0.3">
      <c r="A16" s="185" t="s">
        <v>114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Data'!L:L,'ON Data'!$D:$D,$A$4,'ON Data'!$E:$E,7),SUMIFS('ON Data'!L:L,'ON Data'!$E:$E,7))</f>
        <v>0</v>
      </c>
      <c r="D16" s="201">
        <f xml:space="preserve">
IF($A$4&lt;=12,SUMIFS('ON Data'!W:W,'ON Data'!$D:$D,$A$4,'ON Data'!$E:$E,7),SUMIFS('ON Data'!W:W,'ON Data'!$E:$E,7))</f>
        <v>0</v>
      </c>
      <c r="E16" s="201">
        <f xml:space="preserve">
IF($A$4&lt;=12,SUMIFS('ON Data'!AL:AL,'ON Data'!$D:$D,$A$4,'ON Data'!$E:$E,7),SUMIFS('ON Data'!AL:AL,'ON Data'!$E:$E,7))</f>
        <v>0</v>
      </c>
      <c r="F16" s="201">
        <f xml:space="preserve">
IF($A$4&lt;=12,SUMIFS('ON Data'!AN:AN,'ON Data'!$D:$D,$A$4,'ON Data'!$E:$E,7),SUMIFS('ON Data'!AN:AN,'ON Data'!$E:$E,7))</f>
        <v>0</v>
      </c>
      <c r="G16" s="202">
        <f xml:space="preserve">
IF($A$4&lt;=12,SUMIFS('ON Data'!AW:AW,'ON Data'!$D:$D,$A$4,'ON Data'!$E:$E,7),SUMIFS('ON Data'!AW:AW,'ON Data'!$E:$E,7))</f>
        <v>0</v>
      </c>
      <c r="H16" s="253"/>
    </row>
    <row r="17" spans="1:46" x14ac:dyDescent="0.3">
      <c r="A17" s="185" t="s">
        <v>115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Data'!L:L,'ON Data'!$D:$D,$A$4,'ON Data'!$E:$E,8),SUMIFS('ON Data'!L:L,'ON Data'!$E:$E,8))</f>
        <v>0</v>
      </c>
      <c r="D17" s="201">
        <f xml:space="preserve">
IF($A$4&lt;=12,SUMIFS('ON Data'!W:W,'ON Data'!$D:$D,$A$4,'ON Data'!$E:$E,8),SUMIFS('ON Data'!W:W,'ON Data'!$E:$E,8))</f>
        <v>0</v>
      </c>
      <c r="E17" s="201">
        <f xml:space="preserve">
IF($A$4&lt;=12,SUMIFS('ON Data'!AL:AL,'ON Data'!$D:$D,$A$4,'ON Data'!$E:$E,8),SUMIFS('ON Data'!AL:AL,'ON Data'!$E:$E,8))</f>
        <v>0</v>
      </c>
      <c r="F17" s="201">
        <f xml:space="preserve">
IF($A$4&lt;=12,SUMIFS('ON Data'!AN:AN,'ON Data'!$D:$D,$A$4,'ON Data'!$E:$E,8),SUMIFS('ON Data'!AN:AN,'ON Data'!$E:$E,8))</f>
        <v>0</v>
      </c>
      <c r="G17" s="202">
        <f xml:space="preserve">
IF($A$4&lt;=12,SUMIFS('ON Data'!AW:AW,'ON Data'!$D:$D,$A$4,'ON Data'!$E:$E,8),SUMIFS('ON Data'!AW:AW,'ON Data'!$E:$E,8))</f>
        <v>0</v>
      </c>
      <c r="H17" s="253"/>
    </row>
    <row r="18" spans="1:46" x14ac:dyDescent="0.3">
      <c r="A18" s="185" t="s">
        <v>116</v>
      </c>
      <c r="B18" s="200">
        <f xml:space="preserve">
B19-B16-B17</f>
        <v>100878</v>
      </c>
      <c r="C18" s="201">
        <f t="shared" ref="C18:G18" si="0" xml:space="preserve">
C19-C16-C17</f>
        <v>80905</v>
      </c>
      <c r="D18" s="201">
        <f t="shared" si="0"/>
        <v>9289</v>
      </c>
      <c r="E18" s="201">
        <f t="shared" si="0"/>
        <v>0</v>
      </c>
      <c r="F18" s="201">
        <f t="shared" si="0"/>
        <v>10684</v>
      </c>
      <c r="G18" s="202">
        <f t="shared" si="0"/>
        <v>0</v>
      </c>
      <c r="H18" s="253"/>
    </row>
    <row r="19" spans="1:46" ht="15" thickBot="1" x14ac:dyDescent="0.35">
      <c r="A19" s="186" t="s">
        <v>117</v>
      </c>
      <c r="B19" s="209">
        <f xml:space="preserve">
IF($A$4&lt;=12,SUMIFS('ON Data'!F:F,'ON Data'!$D:$D,$A$4,'ON Data'!$E:$E,9),SUMIFS('ON Data'!F:F,'ON Data'!$E:$E,9))</f>
        <v>100878</v>
      </c>
      <c r="C19" s="210">
        <f xml:space="preserve">
IF($A$4&lt;=12,SUMIFS('ON Data'!L:L,'ON Data'!$D:$D,$A$4,'ON Data'!$E:$E,9),SUMIFS('ON Data'!L:L,'ON Data'!$E:$E,9))</f>
        <v>80905</v>
      </c>
      <c r="D19" s="210">
        <f xml:space="preserve">
IF($A$4&lt;=12,SUMIFS('ON Data'!W:W,'ON Data'!$D:$D,$A$4,'ON Data'!$E:$E,9),SUMIFS('ON Data'!W:W,'ON Data'!$E:$E,9))</f>
        <v>9289</v>
      </c>
      <c r="E19" s="210">
        <f xml:space="preserve">
IF($A$4&lt;=12,SUMIFS('ON Data'!AL:AL,'ON Data'!$D:$D,$A$4,'ON Data'!$E:$E,9),SUMIFS('ON Data'!AL:AL,'ON Data'!$E:$E,9))</f>
        <v>0</v>
      </c>
      <c r="F19" s="210">
        <f xml:space="preserve">
IF($A$4&lt;=12,SUMIFS('ON Data'!AN:AN,'ON Data'!$D:$D,$A$4,'ON Data'!$E:$E,9),SUMIFS('ON Data'!AN:AN,'ON Data'!$E:$E,9))</f>
        <v>10684</v>
      </c>
      <c r="G19" s="211">
        <f xml:space="preserve">
IF($A$4&lt;=12,SUMIFS('ON Data'!AW:AW,'ON Data'!$D:$D,$A$4,'ON Data'!$E:$E,9),SUMIFS('ON Data'!AW:AW,'ON Data'!$E:$E,9))</f>
        <v>0</v>
      </c>
      <c r="H19" s="253"/>
    </row>
    <row r="20" spans="1:46" ht="15" collapsed="1" thickBot="1" x14ac:dyDescent="0.35">
      <c r="A20" s="187" t="s">
        <v>55</v>
      </c>
      <c r="B20" s="277">
        <f xml:space="preserve">
IF($A$4&lt;=12,SUMIFS('ON Data'!F:F,'ON Data'!$D:$D,$A$4,'ON Data'!$E:$E,6),SUMIFS('ON Data'!F:F,'ON Data'!$E:$E,6))</f>
        <v>1411036</v>
      </c>
      <c r="C20" s="278">
        <f xml:space="preserve">
IF($A$4&lt;=12,SUMIFS('ON Data'!L:L,'ON Data'!$D:$D,$A$4,'ON Data'!$E:$E,6),SUMIFS('ON Data'!L:L,'ON Data'!$E:$E,6))</f>
        <v>970756</v>
      </c>
      <c r="D20" s="278">
        <f xml:space="preserve">
IF($A$4&lt;=12,SUMIFS('ON Data'!W:W,'ON Data'!$D:$D,$A$4,'ON Data'!$E:$E,6),SUMIFS('ON Data'!W:W,'ON Data'!$E:$E,6))</f>
        <v>215172</v>
      </c>
      <c r="E20" s="278">
        <f xml:space="preserve">
IF($A$4&lt;=12,SUMIFS('ON Data'!AL:AL,'ON Data'!$D:$D,$A$4,'ON Data'!$E:$E,6),SUMIFS('ON Data'!AL:AL,'ON Data'!$E:$E,6))</f>
        <v>2119</v>
      </c>
      <c r="F20" s="278">
        <f xml:space="preserve">
IF($A$4&lt;=12,SUMIFS('ON Data'!AN:AN,'ON Data'!$D:$D,$A$4,'ON Data'!$E:$E,6),SUMIFS('ON Data'!AN:AN,'ON Data'!$E:$E,6))</f>
        <v>221189</v>
      </c>
      <c r="G20" s="279">
        <f xml:space="preserve">
IF($A$4&lt;=12,SUMIFS('ON Data'!AW:AW,'ON Data'!$D:$D,$A$4,'ON Data'!$E:$E,6),SUMIFS('ON Data'!AW:AW,'ON Data'!$E:$E,6))</f>
        <v>1800</v>
      </c>
      <c r="H20" s="253"/>
    </row>
    <row r="21" spans="1:46" ht="15" hidden="1" outlineLevel="1" thickBot="1" x14ac:dyDescent="0.35">
      <c r="A21" s="180" t="s">
        <v>62</v>
      </c>
      <c r="B21" s="271">
        <f xml:space="preserve">
IF($A$4&lt;=12,SUMIFS('ON Data'!F:F,'ON Data'!$D:$D,$A$4,'ON Data'!$E:$E,12),SUMIFS('ON Data'!F:F,'ON Data'!$E:$E,12))</f>
        <v>0</v>
      </c>
      <c r="C21" s="256">
        <f xml:space="preserve">
IF($A$4&lt;=12,SUMIFS('ON Data'!L:L,'ON Data'!$D:$D,$A$4,'ON Data'!$E:$E,12),SUMIFS('ON Data'!L:L,'ON Data'!$E:$E,12))</f>
        <v>0</v>
      </c>
      <c r="D21" s="256">
        <f xml:space="preserve">
IF($A$4&lt;=12,SUMIFS('ON Data'!W:W,'ON Data'!$D:$D,$A$4,'ON Data'!$E:$E,12),SUMIFS('ON Data'!W:W,'ON Data'!$E:$E,12))</f>
        <v>0</v>
      </c>
      <c r="E21" s="256">
        <f xml:space="preserve">
IF($A$4&lt;=12,SUMIFS('ON Data'!AL:AL,'ON Data'!$D:$D,$A$4,'ON Data'!$E:$E,12),SUMIFS('ON Data'!AL:AL,'ON Data'!$E:$E,12))</f>
        <v>0</v>
      </c>
      <c r="F21" s="256">
        <f xml:space="preserve">
IF($A$4&lt;=12,SUMIFS('ON Data'!AN:AN,'ON Data'!$D:$D,$A$4,'ON Data'!$E:$E,12),SUMIFS('ON Data'!AN:AN,'ON Data'!$E:$E,12))</f>
        <v>0</v>
      </c>
      <c r="G21" s="257"/>
      <c r="H21" s="253"/>
    </row>
    <row r="22" spans="1:46" ht="15" hidden="1" outlineLevel="1" thickBot="1" x14ac:dyDescent="0.35">
      <c r="A22" s="180" t="s">
        <v>57</v>
      </c>
      <c r="B22" s="272" t="str">
        <f xml:space="preserve">
IF(OR(B21="",B21=0),"",B20/B21)</f>
        <v/>
      </c>
      <c r="C22" s="248" t="str">
        <f t="shared" ref="C22" si="1" xml:space="preserve">
IF(OR(C21="",C21=0),"",C20/C21)</f>
        <v/>
      </c>
      <c r="D22" s="248" t="str">
        <f t="shared" ref="D22:F22" si="2" xml:space="preserve">
IF(OR(D21="",D21=0),"",D20/D21)</f>
        <v/>
      </c>
      <c r="E22" s="248" t="str">
        <f t="shared" si="2"/>
        <v/>
      </c>
      <c r="F22" s="248" t="str">
        <f t="shared" si="2"/>
        <v/>
      </c>
      <c r="G22" s="249"/>
      <c r="H22" s="253"/>
    </row>
    <row r="23" spans="1:46" ht="15" hidden="1" outlineLevel="1" thickBot="1" x14ac:dyDescent="0.35">
      <c r="A23" s="188" t="s">
        <v>52</v>
      </c>
      <c r="B23" s="273">
        <f xml:space="preserve">
IF(B21="","",B20-B21)</f>
        <v>1411036</v>
      </c>
      <c r="C23" s="204">
        <f t="shared" ref="C23" si="3" xml:space="preserve">
IF(C21="","",C20-C21)</f>
        <v>970756</v>
      </c>
      <c r="D23" s="204">
        <f t="shared" ref="D23:F23" si="4" xml:space="preserve">
IF(D21="","",D20-D21)</f>
        <v>215172</v>
      </c>
      <c r="E23" s="204">
        <f t="shared" si="4"/>
        <v>2119</v>
      </c>
      <c r="F23" s="204">
        <f t="shared" si="4"/>
        <v>221189</v>
      </c>
      <c r="G23" s="205"/>
      <c r="H23" s="253"/>
    </row>
    <row r="24" spans="1:46" x14ac:dyDescent="0.3">
      <c r="A24" s="182" t="s">
        <v>118</v>
      </c>
      <c r="B24" s="225" t="s">
        <v>2</v>
      </c>
      <c r="C24" s="268" t="s">
        <v>176</v>
      </c>
      <c r="D24" s="269" t="s">
        <v>177</v>
      </c>
      <c r="E24" s="269" t="s">
        <v>178</v>
      </c>
      <c r="F24" s="270" t="s">
        <v>128</v>
      </c>
      <c r="AT24" s="253"/>
    </row>
    <row r="25" spans="1:46" x14ac:dyDescent="0.3">
      <c r="A25" s="183" t="s">
        <v>55</v>
      </c>
      <c r="B25" s="200">
        <f xml:space="preserve">
SUM(C25:F25)</f>
        <v>9200</v>
      </c>
      <c r="C25" s="259">
        <f xml:space="preserve">
IF($A$4&lt;=12,SUMIFS('ON Data'!$G:$G,'ON Data'!$D:$D,$A$4,'ON Data'!$E:$E,10),SUMIFS('ON Data'!$G:$G,'ON Data'!$E:$E,10))</f>
        <v>700</v>
      </c>
      <c r="D25" s="260">
        <f xml:space="preserve">
IF($A$4&lt;=12,SUMIFS('ON Data'!$J:$J,'ON Data'!$D:$D,$A$4,'ON Data'!$E:$E,10),SUMIFS('ON Data'!$J:$J,'ON Data'!$E:$E,10))</f>
        <v>8500</v>
      </c>
      <c r="E25" s="260">
        <f xml:space="preserve">
IF($A$4&lt;=12,SUMIFS('ON Data'!$H:$H,'ON Data'!$D:$D,$A$4,'ON Data'!$E:$E,10),SUMIFS('ON Data'!$H:$H,'ON Data'!$E:$E,10))</f>
        <v>0</v>
      </c>
      <c r="F25" s="261">
        <f xml:space="preserve">
IF($A$4&lt;=12,SUMIFS('ON Data'!$I:$I,'ON Data'!$D:$D,$A$4,'ON Data'!$E:$E,10),SUMIFS('ON Data'!$I:$I,'ON Data'!$E:$E,10))</f>
        <v>0</v>
      </c>
    </row>
    <row r="26" spans="1:46" x14ac:dyDescent="0.3">
      <c r="A26" s="189" t="s">
        <v>127</v>
      </c>
      <c r="B26" s="209">
        <f xml:space="preserve">
SUM(C26:F26)</f>
        <v>5489.1704066163329</v>
      </c>
      <c r="C26" s="259">
        <f xml:space="preserve">
IF($A$4&lt;=12,SUMIFS('ON Data'!$G:$G,'ON Data'!$D:$D,$A$4,'ON Data'!$E:$E,11),SUMIFS('ON Data'!$G:$G,'ON Data'!$E:$E,11))</f>
        <v>3822.5037399496659</v>
      </c>
      <c r="D26" s="260">
        <f xml:space="preserve">
IF($A$4&lt;=12,SUMIFS('ON Data'!$J:$J,'ON Data'!$D:$D,$A$4,'ON Data'!$E:$E,11),SUMIFS('ON Data'!$J:$J,'ON Data'!$E:$E,11))</f>
        <v>1666.6666666666665</v>
      </c>
      <c r="E26" s="260">
        <f xml:space="preserve">
IF($A$4&lt;=12,SUMIFS('ON Data'!$H:$H,'ON Data'!$D:$D,$A$4,'ON Data'!$E:$E,11),SUMIFS('ON Data'!$H:$H,'ON Data'!$E:$E,11))</f>
        <v>0</v>
      </c>
      <c r="F26" s="261">
        <f xml:space="preserve">
IF($A$4&lt;=12,SUMIFS('ON Data'!$I:$I,'ON Data'!$D:$D,$A$4,'ON Data'!$E:$E,11),SUMIFS('ON Data'!$I:$I,'ON Data'!$E:$E,11))</f>
        <v>0</v>
      </c>
    </row>
    <row r="27" spans="1:46" x14ac:dyDescent="0.3">
      <c r="A27" s="189" t="s">
        <v>57</v>
      </c>
      <c r="B27" s="226">
        <f xml:space="preserve">
IF(B26=0,0,B25/B26)</f>
        <v>1.6760273991331813</v>
      </c>
      <c r="C27" s="262">
        <f xml:space="preserve">
IF(C26=0,0,C25/C26)</f>
        <v>0.18312604712041891</v>
      </c>
      <c r="D27" s="263">
        <f t="shared" ref="D27:E27" si="5" xml:space="preserve">
IF(D26=0,0,D25/D26)</f>
        <v>5.1000000000000005</v>
      </c>
      <c r="E27" s="263">
        <f t="shared" si="5"/>
        <v>0</v>
      </c>
      <c r="F27" s="264">
        <f xml:space="preserve">
IF(F26=0,0,F25/F26)</f>
        <v>0</v>
      </c>
    </row>
    <row r="28" spans="1:46" ht="15" thickBot="1" x14ac:dyDescent="0.35">
      <c r="A28" s="189" t="s">
        <v>126</v>
      </c>
      <c r="B28" s="209">
        <f xml:space="preserve">
SUM(C28:F28)</f>
        <v>-3710.829593383668</v>
      </c>
      <c r="C28" s="265">
        <f xml:space="preserve">
C26-C25</f>
        <v>3122.5037399496659</v>
      </c>
      <c r="D28" s="266">
        <f t="shared" ref="D28:E28" si="6" xml:space="preserve">
D26-D25</f>
        <v>-6833.3333333333339</v>
      </c>
      <c r="E28" s="266">
        <f t="shared" si="6"/>
        <v>0</v>
      </c>
      <c r="F28" s="267">
        <f xml:space="preserve">
F26-F25</f>
        <v>0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</row>
    <row r="29" spans="1:46" x14ac:dyDescent="0.3">
      <c r="A29" s="190"/>
      <c r="B29" s="190"/>
      <c r="C29" s="191"/>
      <c r="D29" s="190"/>
      <c r="E29" s="190"/>
      <c r="F29" s="190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117"/>
      <c r="AJ29" s="117"/>
      <c r="AK29" s="117"/>
      <c r="AL29" s="117"/>
      <c r="AM29" s="117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</row>
    <row r="33" spans="1:1" x14ac:dyDescent="0.3">
      <c r="A33" s="224" t="s">
        <v>172</v>
      </c>
    </row>
    <row r="34" spans="1:1" x14ac:dyDescent="0.3">
      <c r="A34" s="224" t="s">
        <v>173</v>
      </c>
    </row>
    <row r="35" spans="1:1" x14ac:dyDescent="0.3">
      <c r="A35" s="224" t="s">
        <v>174</v>
      </c>
    </row>
    <row r="36" spans="1:1" x14ac:dyDescent="0.3">
      <c r="A36" s="224" t="s">
        <v>175</v>
      </c>
    </row>
    <row r="37" spans="1:1" x14ac:dyDescent="0.3">
      <c r="A37" s="224" t="s">
        <v>129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G22">
    <cfRule type="cellIs" dxfId="7" priority="15" operator="greaterThan">
      <formula>1</formula>
    </cfRule>
  </conditionalFormatting>
  <conditionalFormatting sqref="B23:G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6"/>
  <sheetViews>
    <sheetView showGridLine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340</v>
      </c>
    </row>
    <row r="2" spans="1:49" x14ac:dyDescent="0.3">
      <c r="A2" s="173" t="s">
        <v>179</v>
      </c>
    </row>
    <row r="3" spans="1:49" x14ac:dyDescent="0.3">
      <c r="A3" s="169" t="s">
        <v>95</v>
      </c>
      <c r="B3" s="194">
        <v>2017</v>
      </c>
      <c r="D3" s="170">
        <f>MAX(D5:D1048576)</f>
        <v>8</v>
      </c>
      <c r="F3" s="170">
        <f>SUMIF($E5:$E1048576,"&lt;10",F5:F1048576)</f>
        <v>1516570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1054095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225580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2119</v>
      </c>
      <c r="AM3" s="170">
        <f t="shared" si="0"/>
        <v>0</v>
      </c>
      <c r="AN3" s="170">
        <f t="shared" si="0"/>
        <v>232976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1800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30</v>
      </c>
      <c r="J4" s="172">
        <v>99</v>
      </c>
      <c r="K4" s="172">
        <v>100</v>
      </c>
      <c r="L4" s="172">
        <v>101</v>
      </c>
      <c r="M4" s="172">
        <v>102</v>
      </c>
      <c r="N4" s="172">
        <v>103</v>
      </c>
      <c r="O4" s="172">
        <v>203</v>
      </c>
      <c r="P4" s="172">
        <v>302</v>
      </c>
      <c r="Q4" s="172">
        <v>303</v>
      </c>
      <c r="R4" s="172">
        <v>304</v>
      </c>
      <c r="S4" s="172">
        <v>305</v>
      </c>
      <c r="T4" s="172">
        <v>306</v>
      </c>
      <c r="U4" s="172">
        <v>407</v>
      </c>
      <c r="V4" s="172">
        <v>408</v>
      </c>
      <c r="W4" s="172">
        <v>409</v>
      </c>
      <c r="X4" s="172">
        <v>410</v>
      </c>
      <c r="Y4" s="172">
        <v>415</v>
      </c>
      <c r="Z4" s="172">
        <v>416</v>
      </c>
      <c r="AA4" s="172">
        <v>418</v>
      </c>
      <c r="AB4" s="172">
        <v>419</v>
      </c>
      <c r="AC4" s="172">
        <v>420</v>
      </c>
      <c r="AD4" s="172">
        <v>421</v>
      </c>
      <c r="AE4" s="172">
        <v>422</v>
      </c>
      <c r="AF4" s="172">
        <v>520</v>
      </c>
      <c r="AG4" s="172">
        <v>521</v>
      </c>
      <c r="AH4" s="172">
        <v>522</v>
      </c>
      <c r="AI4" s="172">
        <v>523</v>
      </c>
      <c r="AJ4" s="172">
        <v>524</v>
      </c>
      <c r="AK4" s="172">
        <v>525</v>
      </c>
      <c r="AL4" s="172">
        <v>526</v>
      </c>
      <c r="AM4" s="172">
        <v>527</v>
      </c>
      <c r="AN4" s="172">
        <v>528</v>
      </c>
      <c r="AO4" s="172">
        <v>629</v>
      </c>
      <c r="AP4" s="172">
        <v>630</v>
      </c>
      <c r="AQ4" s="172">
        <v>636</v>
      </c>
      <c r="AR4" s="172">
        <v>637</v>
      </c>
      <c r="AS4" s="172">
        <v>640</v>
      </c>
      <c r="AT4" s="172">
        <v>642</v>
      </c>
      <c r="AU4" s="172">
        <v>743</v>
      </c>
      <c r="AV4" s="172">
        <v>745</v>
      </c>
      <c r="AW4" s="172">
        <v>746</v>
      </c>
    </row>
    <row r="5" spans="1:49" x14ac:dyDescent="0.3">
      <c r="A5" s="169" t="s">
        <v>97</v>
      </c>
      <c r="B5" s="194">
        <v>2</v>
      </c>
      <c r="C5" s="169">
        <v>54</v>
      </c>
      <c r="D5" s="169">
        <v>1</v>
      </c>
      <c r="E5" s="169">
        <v>1</v>
      </c>
      <c r="F5" s="169">
        <v>4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2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1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1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4">
        <v>3</v>
      </c>
      <c r="C6" s="169">
        <v>54</v>
      </c>
      <c r="D6" s="169">
        <v>1</v>
      </c>
      <c r="E6" s="169">
        <v>2</v>
      </c>
      <c r="F6" s="169">
        <v>688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344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168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176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4">
        <v>4</v>
      </c>
      <c r="C7" s="169">
        <v>54</v>
      </c>
      <c r="D7" s="169">
        <v>1</v>
      </c>
      <c r="E7" s="169">
        <v>5</v>
      </c>
      <c r="F7" s="169">
        <v>20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20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54</v>
      </c>
      <c r="D8" s="169">
        <v>1</v>
      </c>
      <c r="E8" s="169">
        <v>6</v>
      </c>
      <c r="F8" s="169">
        <v>185687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126408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29109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29570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600</v>
      </c>
    </row>
    <row r="9" spans="1:49" x14ac:dyDescent="0.3">
      <c r="A9" s="169" t="s">
        <v>101</v>
      </c>
      <c r="B9" s="194">
        <v>6</v>
      </c>
      <c r="C9" s="169">
        <v>54</v>
      </c>
      <c r="D9" s="169">
        <v>1</v>
      </c>
      <c r="E9" s="169">
        <v>10</v>
      </c>
      <c r="F9" s="169">
        <v>3940</v>
      </c>
      <c r="G9" s="169">
        <v>0</v>
      </c>
      <c r="H9" s="169">
        <v>0</v>
      </c>
      <c r="I9" s="169">
        <v>0</v>
      </c>
      <c r="J9" s="169">
        <v>3940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4">
        <v>7</v>
      </c>
      <c r="C10" s="169">
        <v>54</v>
      </c>
      <c r="D10" s="169">
        <v>1</v>
      </c>
      <c r="E10" s="169">
        <v>11</v>
      </c>
      <c r="F10" s="169">
        <v>686.14630082704161</v>
      </c>
      <c r="G10" s="169">
        <v>477.8129674937083</v>
      </c>
      <c r="H10" s="169">
        <v>0</v>
      </c>
      <c r="I10" s="169">
        <v>0</v>
      </c>
      <c r="J10" s="169">
        <v>208.33333333333334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54</v>
      </c>
      <c r="D11" s="169">
        <v>2</v>
      </c>
      <c r="E11" s="169">
        <v>1</v>
      </c>
      <c r="F11" s="169">
        <v>4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2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1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1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54</v>
      </c>
      <c r="D12" s="169">
        <v>2</v>
      </c>
      <c r="E12" s="169">
        <v>2</v>
      </c>
      <c r="F12" s="169">
        <v>624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312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160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152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54</v>
      </c>
      <c r="D13" s="169">
        <v>2</v>
      </c>
      <c r="E13" s="169">
        <v>5</v>
      </c>
      <c r="F13" s="169">
        <v>20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20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4">
        <v>11</v>
      </c>
      <c r="C14" s="169">
        <v>54</v>
      </c>
      <c r="D14" s="169">
        <v>2</v>
      </c>
      <c r="E14" s="169">
        <v>6</v>
      </c>
      <c r="F14" s="169">
        <v>185958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126627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29040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29691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600</v>
      </c>
    </row>
    <row r="15" spans="1:49" x14ac:dyDescent="0.3">
      <c r="A15" s="169" t="s">
        <v>107</v>
      </c>
      <c r="B15" s="194">
        <v>12</v>
      </c>
      <c r="C15" s="169">
        <v>54</v>
      </c>
      <c r="D15" s="169">
        <v>2</v>
      </c>
      <c r="E15" s="169">
        <v>10</v>
      </c>
      <c r="F15" s="169">
        <v>3860</v>
      </c>
      <c r="G15" s="169">
        <v>0</v>
      </c>
      <c r="H15" s="169">
        <v>0</v>
      </c>
      <c r="I15" s="169">
        <v>0</v>
      </c>
      <c r="J15" s="169">
        <v>3860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2017</v>
      </c>
      <c r="C16" s="169">
        <v>54</v>
      </c>
      <c r="D16" s="169">
        <v>2</v>
      </c>
      <c r="E16" s="169">
        <v>11</v>
      </c>
      <c r="F16" s="169">
        <v>686.14630082704161</v>
      </c>
      <c r="G16" s="169">
        <v>477.8129674937083</v>
      </c>
      <c r="H16" s="169">
        <v>0</v>
      </c>
      <c r="I16" s="169">
        <v>0</v>
      </c>
      <c r="J16" s="169">
        <v>208.33333333333334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54</v>
      </c>
      <c r="D17" s="169">
        <v>3</v>
      </c>
      <c r="E17" s="169">
        <v>1</v>
      </c>
      <c r="F17" s="169">
        <v>4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2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1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1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54</v>
      </c>
      <c r="D18" s="169">
        <v>3</v>
      </c>
      <c r="E18" s="169">
        <v>2</v>
      </c>
      <c r="F18" s="169">
        <v>688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360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184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144</v>
      </c>
      <c r="AO18" s="169">
        <v>0</v>
      </c>
      <c r="AP18" s="169">
        <v>0</v>
      </c>
      <c r="AQ18" s="169">
        <v>0</v>
      </c>
      <c r="AR18" s="169">
        <v>0</v>
      </c>
      <c r="AS18" s="169">
        <v>0</v>
      </c>
      <c r="AT18" s="169">
        <v>0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54</v>
      </c>
      <c r="D19" s="169">
        <v>3</v>
      </c>
      <c r="E19" s="169">
        <v>5</v>
      </c>
      <c r="F19" s="169">
        <v>20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20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54</v>
      </c>
      <c r="D20" s="169">
        <v>3</v>
      </c>
      <c r="E20" s="169">
        <v>6</v>
      </c>
      <c r="F20" s="169">
        <v>197284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136506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29040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31138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600</v>
      </c>
    </row>
    <row r="21" spans="3:49" x14ac:dyDescent="0.3">
      <c r="C21" s="169">
        <v>54</v>
      </c>
      <c r="D21" s="169">
        <v>3</v>
      </c>
      <c r="E21" s="169">
        <v>9</v>
      </c>
      <c r="F21" s="169">
        <v>10000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10000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54</v>
      </c>
      <c r="D22" s="169">
        <v>3</v>
      </c>
      <c r="E22" s="169">
        <v>10</v>
      </c>
      <c r="F22" s="169">
        <v>700</v>
      </c>
      <c r="G22" s="169">
        <v>0</v>
      </c>
      <c r="H22" s="169">
        <v>0</v>
      </c>
      <c r="I22" s="169">
        <v>0</v>
      </c>
      <c r="J22" s="169">
        <v>700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54</v>
      </c>
      <c r="D23" s="169">
        <v>3</v>
      </c>
      <c r="E23" s="169">
        <v>11</v>
      </c>
      <c r="F23" s="169">
        <v>686.14630082704161</v>
      </c>
      <c r="G23" s="169">
        <v>477.8129674937083</v>
      </c>
      <c r="H23" s="169">
        <v>0</v>
      </c>
      <c r="I23" s="169">
        <v>0</v>
      </c>
      <c r="J23" s="169">
        <v>208.33333333333334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0</v>
      </c>
      <c r="AS23" s="169">
        <v>0</v>
      </c>
      <c r="AT23" s="169">
        <v>0</v>
      </c>
      <c r="AU23" s="169">
        <v>0</v>
      </c>
      <c r="AV23" s="169">
        <v>0</v>
      </c>
      <c r="AW23" s="169">
        <v>0</v>
      </c>
    </row>
    <row r="24" spans="3:49" x14ac:dyDescent="0.3">
      <c r="C24" s="169">
        <v>54</v>
      </c>
      <c r="D24" s="169">
        <v>4</v>
      </c>
      <c r="E24" s="169">
        <v>1</v>
      </c>
      <c r="F24" s="169">
        <v>4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2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1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1</v>
      </c>
      <c r="AO24" s="169">
        <v>0</v>
      </c>
      <c r="AP24" s="169">
        <v>0</v>
      </c>
      <c r="AQ24" s="169">
        <v>0</v>
      </c>
      <c r="AR24" s="169">
        <v>0</v>
      </c>
      <c r="AS24" s="169">
        <v>0</v>
      </c>
      <c r="AT24" s="169">
        <v>0</v>
      </c>
      <c r="AU24" s="169">
        <v>0</v>
      </c>
      <c r="AV24" s="169">
        <v>0</v>
      </c>
      <c r="AW24" s="169">
        <v>0</v>
      </c>
    </row>
    <row r="25" spans="3:49" x14ac:dyDescent="0.3">
      <c r="C25" s="169">
        <v>54</v>
      </c>
      <c r="D25" s="169">
        <v>4</v>
      </c>
      <c r="E25" s="169">
        <v>2</v>
      </c>
      <c r="F25" s="169">
        <v>608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304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152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152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54</v>
      </c>
      <c r="D26" s="169">
        <v>4</v>
      </c>
      <c r="E26" s="169">
        <v>5</v>
      </c>
      <c r="F26" s="169">
        <v>20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20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54</v>
      </c>
      <c r="D27" s="169">
        <v>4</v>
      </c>
      <c r="E27" s="169">
        <v>6</v>
      </c>
      <c r="F27" s="169">
        <v>185612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126443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29016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600</v>
      </c>
      <c r="AM27" s="169">
        <v>0</v>
      </c>
      <c r="AN27" s="169">
        <v>29553</v>
      </c>
      <c r="AO27" s="169">
        <v>0</v>
      </c>
      <c r="AP27" s="169">
        <v>0</v>
      </c>
      <c r="AQ27" s="169">
        <v>0</v>
      </c>
      <c r="AR27" s="169">
        <v>0</v>
      </c>
      <c r="AS27" s="169">
        <v>0</v>
      </c>
      <c r="AT27" s="169">
        <v>0</v>
      </c>
      <c r="AU27" s="169">
        <v>0</v>
      </c>
      <c r="AV27" s="169">
        <v>0</v>
      </c>
      <c r="AW27" s="169">
        <v>0</v>
      </c>
    </row>
    <row r="28" spans="3:49" x14ac:dyDescent="0.3">
      <c r="C28" s="169">
        <v>54</v>
      </c>
      <c r="D28" s="169">
        <v>4</v>
      </c>
      <c r="E28" s="169">
        <v>10</v>
      </c>
      <c r="F28" s="169">
        <v>700</v>
      </c>
      <c r="G28" s="169">
        <v>700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54</v>
      </c>
      <c r="D29" s="169">
        <v>4</v>
      </c>
      <c r="E29" s="169">
        <v>11</v>
      </c>
      <c r="F29" s="169">
        <v>686.14630082704161</v>
      </c>
      <c r="G29" s="169">
        <v>477.8129674937083</v>
      </c>
      <c r="H29" s="169">
        <v>0</v>
      </c>
      <c r="I29" s="169">
        <v>0</v>
      </c>
      <c r="J29" s="169">
        <v>208.33333333333334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0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54</v>
      </c>
      <c r="D30" s="169">
        <v>5</v>
      </c>
      <c r="E30" s="169">
        <v>1</v>
      </c>
      <c r="F30" s="169">
        <v>4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2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1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1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54</v>
      </c>
      <c r="D31" s="169">
        <v>5</v>
      </c>
      <c r="E31" s="169">
        <v>2</v>
      </c>
      <c r="F31" s="169">
        <v>688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336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176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176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  <row r="32" spans="3:49" x14ac:dyDescent="0.3">
      <c r="C32" s="169">
        <v>54</v>
      </c>
      <c r="D32" s="169">
        <v>5</v>
      </c>
      <c r="E32" s="169">
        <v>5</v>
      </c>
      <c r="F32" s="169">
        <v>20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20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0</v>
      </c>
      <c r="AS32" s="169">
        <v>0</v>
      </c>
      <c r="AT32" s="169">
        <v>0</v>
      </c>
      <c r="AU32" s="169">
        <v>0</v>
      </c>
      <c r="AV32" s="169">
        <v>0</v>
      </c>
      <c r="AW32" s="169">
        <v>0</v>
      </c>
    </row>
    <row r="33" spans="3:49" x14ac:dyDescent="0.3">
      <c r="C33" s="169">
        <v>54</v>
      </c>
      <c r="D33" s="169">
        <v>5</v>
      </c>
      <c r="E33" s="169">
        <v>6</v>
      </c>
      <c r="F33" s="169">
        <v>187916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128416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29206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548</v>
      </c>
      <c r="AM33" s="169">
        <v>0</v>
      </c>
      <c r="AN33" s="169">
        <v>29746</v>
      </c>
      <c r="AO33" s="169">
        <v>0</v>
      </c>
      <c r="AP33" s="169">
        <v>0</v>
      </c>
      <c r="AQ33" s="169">
        <v>0</v>
      </c>
      <c r="AR33" s="169">
        <v>0</v>
      </c>
      <c r="AS33" s="169">
        <v>0</v>
      </c>
      <c r="AT33" s="169">
        <v>0</v>
      </c>
      <c r="AU33" s="169">
        <v>0</v>
      </c>
      <c r="AV33" s="169">
        <v>0</v>
      </c>
      <c r="AW33" s="169">
        <v>0</v>
      </c>
    </row>
    <row r="34" spans="3:49" x14ac:dyDescent="0.3">
      <c r="C34" s="169">
        <v>54</v>
      </c>
      <c r="D34" s="169">
        <v>5</v>
      </c>
      <c r="E34" s="169">
        <v>11</v>
      </c>
      <c r="F34" s="169">
        <v>686.14630082704161</v>
      </c>
      <c r="G34" s="169">
        <v>477.8129674937083</v>
      </c>
      <c r="H34" s="169">
        <v>0</v>
      </c>
      <c r="I34" s="169">
        <v>0</v>
      </c>
      <c r="J34" s="169">
        <v>208.33333333333334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0</v>
      </c>
    </row>
    <row r="35" spans="3:49" x14ac:dyDescent="0.3">
      <c r="C35" s="169">
        <v>54</v>
      </c>
      <c r="D35" s="169">
        <v>6</v>
      </c>
      <c r="E35" s="169">
        <v>1</v>
      </c>
      <c r="F35" s="169">
        <v>4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2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1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1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54</v>
      </c>
      <c r="D36" s="169">
        <v>6</v>
      </c>
      <c r="E36" s="169">
        <v>2</v>
      </c>
      <c r="F36" s="169">
        <v>632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288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176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168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54</v>
      </c>
      <c r="D37" s="169">
        <v>6</v>
      </c>
      <c r="E37" s="169">
        <v>5</v>
      </c>
      <c r="F37" s="169">
        <v>20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20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0</v>
      </c>
      <c r="AS37" s="169">
        <v>0</v>
      </c>
      <c r="AT37" s="169">
        <v>0</v>
      </c>
      <c r="AU37" s="169">
        <v>0</v>
      </c>
      <c r="AV37" s="169">
        <v>0</v>
      </c>
      <c r="AW37" s="169">
        <v>0</v>
      </c>
    </row>
    <row r="38" spans="3:49" x14ac:dyDescent="0.3">
      <c r="C38" s="169">
        <v>54</v>
      </c>
      <c r="D38" s="169">
        <v>6</v>
      </c>
      <c r="E38" s="169">
        <v>6</v>
      </c>
      <c r="F38" s="169">
        <v>191427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129721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30540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600</v>
      </c>
      <c r="AM38" s="169">
        <v>0</v>
      </c>
      <c r="AN38" s="169">
        <v>30566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0</v>
      </c>
    </row>
    <row r="39" spans="3:49" x14ac:dyDescent="0.3">
      <c r="C39" s="169">
        <v>54</v>
      </c>
      <c r="D39" s="169">
        <v>6</v>
      </c>
      <c r="E39" s="169">
        <v>11</v>
      </c>
      <c r="F39" s="169">
        <v>686.14630082704161</v>
      </c>
      <c r="G39" s="169">
        <v>477.8129674937083</v>
      </c>
      <c r="H39" s="169">
        <v>0</v>
      </c>
      <c r="I39" s="169">
        <v>0</v>
      </c>
      <c r="J39" s="169">
        <v>208.33333333333334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  <c r="AP39" s="169">
        <v>0</v>
      </c>
      <c r="AQ39" s="169">
        <v>0</v>
      </c>
      <c r="AR39" s="169">
        <v>0</v>
      </c>
      <c r="AS39" s="169">
        <v>0</v>
      </c>
      <c r="AT39" s="169">
        <v>0</v>
      </c>
      <c r="AU39" s="169">
        <v>0</v>
      </c>
      <c r="AV39" s="169">
        <v>0</v>
      </c>
      <c r="AW39" s="169">
        <v>0</v>
      </c>
    </row>
    <row r="40" spans="3:49" x14ac:dyDescent="0.3">
      <c r="C40" s="169">
        <v>54</v>
      </c>
      <c r="D40" s="169">
        <v>7</v>
      </c>
      <c r="E40" s="169">
        <v>1</v>
      </c>
      <c r="F40" s="169">
        <v>4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2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1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1</v>
      </c>
      <c r="AO40" s="169">
        <v>0</v>
      </c>
      <c r="AP40" s="169">
        <v>0</v>
      </c>
      <c r="AQ40" s="169">
        <v>0</v>
      </c>
      <c r="AR40" s="169">
        <v>0</v>
      </c>
      <c r="AS40" s="169">
        <v>0</v>
      </c>
      <c r="AT40" s="169">
        <v>0</v>
      </c>
      <c r="AU40" s="169">
        <v>0</v>
      </c>
      <c r="AV40" s="169">
        <v>0</v>
      </c>
      <c r="AW40" s="169">
        <v>0</v>
      </c>
    </row>
    <row r="41" spans="3:49" x14ac:dyDescent="0.3">
      <c r="C41" s="169">
        <v>54</v>
      </c>
      <c r="D41" s="169">
        <v>7</v>
      </c>
      <c r="E41" s="169">
        <v>2</v>
      </c>
      <c r="F41" s="169">
        <v>560</v>
      </c>
      <c r="G41" s="169">
        <v>0</v>
      </c>
      <c r="H41" s="169">
        <v>0</v>
      </c>
      <c r="I41" s="169">
        <v>0</v>
      </c>
      <c r="J41" s="169">
        <v>0</v>
      </c>
      <c r="K41" s="169">
        <v>0</v>
      </c>
      <c r="L41" s="169">
        <v>336</v>
      </c>
      <c r="M41" s="169">
        <v>0</v>
      </c>
      <c r="N41" s="169">
        <v>0</v>
      </c>
      <c r="O41" s="169">
        <v>0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96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128</v>
      </c>
      <c r="AO41" s="169">
        <v>0</v>
      </c>
      <c r="AP41" s="169">
        <v>0</v>
      </c>
      <c r="AQ41" s="169">
        <v>0</v>
      </c>
      <c r="AR41" s="169">
        <v>0</v>
      </c>
      <c r="AS41" s="169">
        <v>0</v>
      </c>
      <c r="AT41" s="169">
        <v>0</v>
      </c>
      <c r="AU41" s="169">
        <v>0</v>
      </c>
      <c r="AV41" s="169">
        <v>0</v>
      </c>
      <c r="AW41" s="169">
        <v>0</v>
      </c>
    </row>
    <row r="42" spans="3:49" x14ac:dyDescent="0.3">
      <c r="C42" s="169">
        <v>54</v>
      </c>
      <c r="D42" s="169">
        <v>7</v>
      </c>
      <c r="E42" s="169">
        <v>5</v>
      </c>
      <c r="F42" s="169">
        <v>20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20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  <c r="AP42" s="169">
        <v>0</v>
      </c>
      <c r="AQ42" s="169">
        <v>0</v>
      </c>
      <c r="AR42" s="169">
        <v>0</v>
      </c>
      <c r="AS42" s="169">
        <v>0</v>
      </c>
      <c r="AT42" s="169">
        <v>0</v>
      </c>
      <c r="AU42" s="169">
        <v>0</v>
      </c>
      <c r="AV42" s="169">
        <v>0</v>
      </c>
      <c r="AW42" s="169">
        <v>0</v>
      </c>
    </row>
    <row r="43" spans="3:49" x14ac:dyDescent="0.3">
      <c r="C43" s="169">
        <v>54</v>
      </c>
      <c r="D43" s="169">
        <v>7</v>
      </c>
      <c r="E43" s="169">
        <v>6</v>
      </c>
      <c r="F43" s="169">
        <v>277152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196635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39221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371</v>
      </c>
      <c r="AM43" s="169">
        <v>0</v>
      </c>
      <c r="AN43" s="169">
        <v>40925</v>
      </c>
      <c r="AO43" s="169">
        <v>0</v>
      </c>
      <c r="AP43" s="169">
        <v>0</v>
      </c>
      <c r="AQ43" s="169">
        <v>0</v>
      </c>
      <c r="AR43" s="169">
        <v>0</v>
      </c>
      <c r="AS43" s="169">
        <v>0</v>
      </c>
      <c r="AT43" s="169">
        <v>0</v>
      </c>
      <c r="AU43" s="169">
        <v>0</v>
      </c>
      <c r="AV43" s="169">
        <v>0</v>
      </c>
      <c r="AW43" s="169">
        <v>0</v>
      </c>
    </row>
    <row r="44" spans="3:49" x14ac:dyDescent="0.3">
      <c r="C44" s="169">
        <v>54</v>
      </c>
      <c r="D44" s="169">
        <v>7</v>
      </c>
      <c r="E44" s="169">
        <v>9</v>
      </c>
      <c r="F44" s="169">
        <v>90878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70905</v>
      </c>
      <c r="M44" s="169">
        <v>0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9289</v>
      </c>
      <c r="X44" s="169">
        <v>0</v>
      </c>
      <c r="Y44" s="169">
        <v>0</v>
      </c>
      <c r="Z44" s="169">
        <v>0</v>
      </c>
      <c r="AA44" s="169">
        <v>0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10684</v>
      </c>
      <c r="AO44" s="169">
        <v>0</v>
      </c>
      <c r="AP44" s="169">
        <v>0</v>
      </c>
      <c r="AQ44" s="169">
        <v>0</v>
      </c>
      <c r="AR44" s="169">
        <v>0</v>
      </c>
      <c r="AS44" s="169">
        <v>0</v>
      </c>
      <c r="AT44" s="169">
        <v>0</v>
      </c>
      <c r="AU44" s="169">
        <v>0</v>
      </c>
      <c r="AV44" s="169">
        <v>0</v>
      </c>
      <c r="AW44" s="169">
        <v>0</v>
      </c>
    </row>
    <row r="45" spans="3:49" x14ac:dyDescent="0.3">
      <c r="C45" s="169">
        <v>54</v>
      </c>
      <c r="D45" s="169">
        <v>7</v>
      </c>
      <c r="E45" s="169">
        <v>11</v>
      </c>
      <c r="F45" s="169">
        <v>686.14630082704161</v>
      </c>
      <c r="G45" s="169">
        <v>477.8129674937083</v>
      </c>
      <c r="H45" s="169">
        <v>0</v>
      </c>
      <c r="I45" s="169">
        <v>0</v>
      </c>
      <c r="J45" s="169">
        <v>208.33333333333334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</row>
    <row r="46" spans="3:49" x14ac:dyDescent="0.3">
      <c r="C46" s="169">
        <v>54</v>
      </c>
      <c r="D46" s="169">
        <v>8</v>
      </c>
      <c r="E46" s="169">
        <v>11</v>
      </c>
      <c r="F46" s="169">
        <v>686.14630082704161</v>
      </c>
      <c r="G46" s="169">
        <v>477.8129674937083</v>
      </c>
      <c r="H46" s="169">
        <v>0</v>
      </c>
      <c r="I46" s="169">
        <v>0</v>
      </c>
      <c r="J46" s="169">
        <v>208.33333333333334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  <c r="AQ46" s="169">
        <v>0</v>
      </c>
      <c r="AR46" s="169">
        <v>0</v>
      </c>
      <c r="AS46" s="169">
        <v>0</v>
      </c>
      <c r="AT46" s="169">
        <v>0</v>
      </c>
      <c r="AU46" s="169">
        <v>0</v>
      </c>
      <c r="AV46" s="169">
        <v>0</v>
      </c>
      <c r="AW46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84" t="s">
        <v>73</v>
      </c>
      <c r="B1" s="284"/>
      <c r="C1" s="285"/>
      <c r="D1" s="285"/>
      <c r="E1" s="285"/>
    </row>
    <row r="2" spans="1:5" ht="14.4" customHeight="1" thickBot="1" x14ac:dyDescent="0.35">
      <c r="A2" s="173" t="s">
        <v>179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2024.0637421569825</v>
      </c>
      <c r="D4" s="123">
        <f ca="1">IF(ISERROR(VLOOKUP("Náklady celkem",INDIRECT("HI!$A:$G"),5,0)),0,VLOOKUP("Náklady celkem",INDIRECT("HI!$A:$G"),5,0))</f>
        <v>2258.2030399999999</v>
      </c>
      <c r="E4" s="124">
        <f ca="1">IF(C4=0,0,D4/C4)</f>
        <v>1.1156778282058954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2.9166665039062498</v>
      </c>
      <c r="D7" s="131">
        <f>IF(ISERROR(HI!E5),"",HI!E5)</f>
        <v>0.41960000000000003</v>
      </c>
      <c r="E7" s="128">
        <f t="shared" ref="E7:E12" si="0">IF(C7=0,0,D7/C7)</f>
        <v>0.14386286517091884</v>
      </c>
    </row>
    <row r="8" spans="1:5" ht="14.4" customHeight="1" x14ac:dyDescent="0.3">
      <c r="A8" s="246" t="str">
        <f>HYPERLINK("#'LŽ Statim'!A1","Podíl statimových žádanek (max. 30%)")</f>
        <v>Podíl statimových žádanek (max. 30%)</v>
      </c>
      <c r="B8" s="244" t="s">
        <v>145</v>
      </c>
      <c r="C8" s="245">
        <v>0.3</v>
      </c>
      <c r="D8" s="245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2" t="s">
        <v>84</v>
      </c>
      <c r="B10" s="130"/>
      <c r="C10" s="131"/>
      <c r="D10" s="131"/>
      <c r="E10" s="128"/>
    </row>
    <row r="11" spans="1:5" ht="14.4" customHeight="1" x14ac:dyDescent="0.3">
      <c r="A11" s="133" t="s">
        <v>88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66</v>
      </c>
      <c r="C12" s="131">
        <f>IF(ISERROR(HI!F6),"",HI!F6)</f>
        <v>37.333333496093751</v>
      </c>
      <c r="D12" s="131">
        <f>IF(ISERROR(HI!E6),"",HI!E6)</f>
        <v>38.240979999999993</v>
      </c>
      <c r="E12" s="128">
        <f t="shared" si="0"/>
        <v>1.0243119598200683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1724.9167539062501</v>
      </c>
      <c r="D13" s="127">
        <f ca="1">IF(ISERROR(VLOOKUP("Osobní náklady (Kč) *",INDIRECT("HI!$A:$G"),5,0)),0,VLOOKUP("Osobní náklady (Kč) *",INDIRECT("HI!$A:$G"),5,0))</f>
        <v>1918.3108</v>
      </c>
      <c r="E13" s="128">
        <f ca="1">IF(C13=0,0,D13/C13)</f>
        <v>1.1121179011426432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85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86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95" t="s">
        <v>76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14.4" customHeight="1" thickBot="1" x14ac:dyDescent="0.35">
      <c r="A2" s="173" t="s">
        <v>179</v>
      </c>
      <c r="B2" s="77"/>
      <c r="C2" s="77"/>
      <c r="D2" s="77"/>
      <c r="E2" s="77"/>
      <c r="F2" s="77"/>
    </row>
    <row r="3" spans="1:10" ht="14.4" customHeight="1" x14ac:dyDescent="0.3">
      <c r="A3" s="286"/>
      <c r="B3" s="73">
        <v>2015</v>
      </c>
      <c r="C3" s="40">
        <v>2016</v>
      </c>
      <c r="D3" s="7"/>
      <c r="E3" s="290">
        <v>2017</v>
      </c>
      <c r="F3" s="291"/>
      <c r="G3" s="291"/>
      <c r="H3" s="292"/>
      <c r="I3" s="293">
        <v>2017</v>
      </c>
      <c r="J3" s="294"/>
    </row>
    <row r="4" spans="1:10" ht="14.4" customHeight="1" thickBot="1" x14ac:dyDescent="0.35">
      <c r="A4" s="287"/>
      <c r="B4" s="288" t="s">
        <v>55</v>
      </c>
      <c r="C4" s="289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51" t="s">
        <v>170</v>
      </c>
      <c r="J4" s="252" t="s">
        <v>171</v>
      </c>
    </row>
    <row r="5" spans="1:10" ht="14.4" customHeight="1" x14ac:dyDescent="0.3">
      <c r="A5" s="78" t="str">
        <f>HYPERLINK("#'Léky Žádanky'!A1","Léky (Kč)")</f>
        <v>Léky (Kč)</v>
      </c>
      <c r="B5" s="27">
        <v>0.40908999999999995</v>
      </c>
      <c r="C5" s="29">
        <v>0.45740999999999998</v>
      </c>
      <c r="D5" s="8"/>
      <c r="E5" s="83">
        <v>0.41960000000000003</v>
      </c>
      <c r="F5" s="28">
        <v>2.9166665039062498</v>
      </c>
      <c r="G5" s="82">
        <f>E5-F5</f>
        <v>-2.4970665039062498</v>
      </c>
      <c r="H5" s="88">
        <f>IF(F5&lt;0.00000001,"",E5/F5)</f>
        <v>0.14386286517091884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34.311700000000002</v>
      </c>
      <c r="C6" s="31">
        <v>39.631959999999999</v>
      </c>
      <c r="D6" s="8"/>
      <c r="E6" s="84">
        <v>38.240979999999993</v>
      </c>
      <c r="F6" s="30">
        <v>37.333333496093751</v>
      </c>
      <c r="G6" s="85">
        <f>E6-F6</f>
        <v>0.90764650390624269</v>
      </c>
      <c r="H6" s="89">
        <f>IF(F6&lt;0.00000001,"",E6/F6)</f>
        <v>1.0243119598200683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1647.60355</v>
      </c>
      <c r="C7" s="31">
        <v>1701.41823</v>
      </c>
      <c r="D7" s="8"/>
      <c r="E7" s="84">
        <v>1918.3108</v>
      </c>
      <c r="F7" s="30">
        <v>1724.9167539062501</v>
      </c>
      <c r="G7" s="85">
        <f>E7-F7</f>
        <v>193.39404609374992</v>
      </c>
      <c r="H7" s="89">
        <f>IF(F7&lt;0.00000001,"",E7/F7)</f>
        <v>1.1121179011426432</v>
      </c>
    </row>
    <row r="8" spans="1:10" ht="14.4" customHeight="1" thickBot="1" x14ac:dyDescent="0.35">
      <c r="A8" s="1" t="s">
        <v>58</v>
      </c>
      <c r="B8" s="11">
        <v>343.25674000000015</v>
      </c>
      <c r="C8" s="33">
        <v>332.62332999999984</v>
      </c>
      <c r="D8" s="8"/>
      <c r="E8" s="86">
        <v>301.23165999999992</v>
      </c>
      <c r="F8" s="32">
        <v>258.89698825073242</v>
      </c>
      <c r="G8" s="87">
        <f>E8-F8</f>
        <v>42.3346717492675</v>
      </c>
      <c r="H8" s="90">
        <f>IF(F8&lt;0.00000001,"",E8/F8)</f>
        <v>1.1635193674337683</v>
      </c>
    </row>
    <row r="9" spans="1:10" ht="14.4" customHeight="1" thickBot="1" x14ac:dyDescent="0.35">
      <c r="A9" s="2" t="s">
        <v>59</v>
      </c>
      <c r="B9" s="3">
        <v>2025.5810800000004</v>
      </c>
      <c r="C9" s="35">
        <v>2074.1309299999998</v>
      </c>
      <c r="D9" s="8"/>
      <c r="E9" s="3">
        <v>2258.2030399999999</v>
      </c>
      <c r="F9" s="34">
        <v>2024.0637421569825</v>
      </c>
      <c r="G9" s="34">
        <f>E9-F9</f>
        <v>234.1392978430174</v>
      </c>
      <c r="H9" s="91">
        <f>IF(F9&lt;0.00000001,"",E9/F9)</f>
        <v>1.1156778282058954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2" t="s">
        <v>121</v>
      </c>
      <c r="B18" s="223"/>
      <c r="C18" s="223"/>
      <c r="D18" s="223"/>
      <c r="E18" s="223"/>
      <c r="F18" s="223"/>
      <c r="G18" s="223"/>
      <c r="H18" s="223"/>
    </row>
    <row r="19" spans="1:8" x14ac:dyDescent="0.3">
      <c r="A19" s="221" t="s">
        <v>120</v>
      </c>
      <c r="B19" s="223"/>
      <c r="C19" s="223"/>
      <c r="D19" s="223"/>
      <c r="E19" s="223"/>
      <c r="F19" s="223"/>
      <c r="G19" s="223"/>
      <c r="H19" s="223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169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96" t="s">
        <v>181</v>
      </c>
      <c r="B1" s="296"/>
      <c r="C1" s="296"/>
      <c r="D1" s="296"/>
      <c r="E1" s="296"/>
      <c r="F1" s="296"/>
      <c r="G1" s="296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s="158" customFormat="1" ht="14.4" customHeight="1" thickBot="1" x14ac:dyDescent="0.3">
      <c r="A2" s="173" t="s">
        <v>179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97" t="s">
        <v>13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50" t="s">
        <v>148</v>
      </c>
      <c r="E4" s="250" t="s">
        <v>149</v>
      </c>
      <c r="F4" s="250" t="s">
        <v>150</v>
      </c>
      <c r="G4" s="250" t="s">
        <v>151</v>
      </c>
      <c r="H4" s="250" t="s">
        <v>152</v>
      </c>
      <c r="I4" s="250" t="s">
        <v>153</v>
      </c>
      <c r="J4" s="250" t="s">
        <v>154</v>
      </c>
      <c r="K4" s="250" t="s">
        <v>155</v>
      </c>
      <c r="L4" s="250" t="s">
        <v>156</v>
      </c>
      <c r="M4" s="250" t="s">
        <v>157</v>
      </c>
      <c r="N4" s="250" t="s">
        <v>158</v>
      </c>
      <c r="O4" s="250" t="s">
        <v>159</v>
      </c>
      <c r="P4" s="299" t="s">
        <v>2</v>
      </c>
      <c r="Q4" s="30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0.41959999999999997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0.41959999999999997</v>
      </c>
      <c r="Q7" s="68">
        <v>0.14386285714200001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" customHeight="1" x14ac:dyDescent="0.3">
      <c r="A9" s="15" t="s">
        <v>21</v>
      </c>
      <c r="B9" s="46">
        <v>64</v>
      </c>
      <c r="C9" s="47">
        <v>5.333333333333</v>
      </c>
      <c r="D9" s="47">
        <v>9.3679900000000007</v>
      </c>
      <c r="E9" s="47">
        <v>1.4279999999999999</v>
      </c>
      <c r="F9" s="47">
        <v>13.380990000000001</v>
      </c>
      <c r="G9" s="47">
        <v>2.8639999999999999</v>
      </c>
      <c r="H9" s="47">
        <v>3.1110000000000002</v>
      </c>
      <c r="I9" s="47">
        <v>4.9139999999999997</v>
      </c>
      <c r="J9" s="47">
        <v>3.1749999999999998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38.24098</v>
      </c>
      <c r="Q9" s="68">
        <v>1.024311964285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" customHeight="1" x14ac:dyDescent="0.3">
      <c r="A11" s="15" t="s">
        <v>23</v>
      </c>
      <c r="B11" s="46">
        <v>179.59544833546599</v>
      </c>
      <c r="C11" s="47">
        <v>14.966287361288</v>
      </c>
      <c r="D11" s="47">
        <v>31.756910000000001</v>
      </c>
      <c r="E11" s="47">
        <v>5.2434500000000002</v>
      </c>
      <c r="F11" s="47">
        <v>9.4149600000000007</v>
      </c>
      <c r="G11" s="47">
        <v>19.804449999999999</v>
      </c>
      <c r="H11" s="47">
        <v>21.524840000000001</v>
      </c>
      <c r="I11" s="47">
        <v>14.799899999999999</v>
      </c>
      <c r="J11" s="47">
        <v>13.588139999999999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116.13265</v>
      </c>
      <c r="Q11" s="68">
        <v>1.1085166394929999</v>
      </c>
    </row>
    <row r="12" spans="1:17" ht="14.4" customHeight="1" x14ac:dyDescent="0.3">
      <c r="A12" s="15" t="s">
        <v>24</v>
      </c>
      <c r="B12" s="46">
        <v>0.28258659069399999</v>
      </c>
      <c r="C12" s="47">
        <v>2.3548882556999998E-2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0.26378000000000001</v>
      </c>
      <c r="G13" s="47">
        <v>0</v>
      </c>
      <c r="H13" s="47">
        <v>0</v>
      </c>
      <c r="I13" s="47">
        <v>0.31218000000000001</v>
      </c>
      <c r="J13" s="47">
        <v>1.0708500000000001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1.6468100000000001</v>
      </c>
      <c r="Q13" s="68" t="s">
        <v>180</v>
      </c>
    </row>
    <row r="14" spans="1:17" ht="14.4" customHeight="1" x14ac:dyDescent="0.3">
      <c r="A14" s="15" t="s">
        <v>26</v>
      </c>
      <c r="B14" s="46">
        <v>66.868659554657995</v>
      </c>
      <c r="C14" s="47">
        <v>5.5723882962209998</v>
      </c>
      <c r="D14" s="47">
        <v>4.1040000000000001</v>
      </c>
      <c r="E14" s="47">
        <v>3.726</v>
      </c>
      <c r="F14" s="47">
        <v>3.84</v>
      </c>
      <c r="G14" s="47">
        <v>3.5459999999999998</v>
      </c>
      <c r="H14" s="47">
        <v>4.0620000000000003</v>
      </c>
      <c r="I14" s="47">
        <v>4.13</v>
      </c>
      <c r="J14" s="47">
        <v>3.722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27.13</v>
      </c>
      <c r="Q14" s="68">
        <v>0.69552121634099995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" customHeight="1" x14ac:dyDescent="0.3">
      <c r="A17" s="15" t="s">
        <v>29</v>
      </c>
      <c r="B17" s="46">
        <v>2.517552208528</v>
      </c>
      <c r="C17" s="47">
        <v>0.20979601737699999</v>
      </c>
      <c r="D17" s="47">
        <v>0</v>
      </c>
      <c r="E17" s="47">
        <v>0</v>
      </c>
      <c r="F17" s="47">
        <v>0</v>
      </c>
      <c r="G17" s="47">
        <v>0</v>
      </c>
      <c r="H17" s="47">
        <v>1.2584</v>
      </c>
      <c r="I17" s="47">
        <v>0.68244000000000005</v>
      </c>
      <c r="J17" s="47">
        <v>2.6619999999999999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4.6028399999999996</v>
      </c>
      <c r="Q17" s="68">
        <v>3.1342280928320001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0.14399999999999999</v>
      </c>
      <c r="E18" s="47">
        <v>3.18</v>
      </c>
      <c r="F18" s="47">
        <v>10.766</v>
      </c>
      <c r="G18" s="47">
        <v>-5.63</v>
      </c>
      <c r="H18" s="47">
        <v>3.5539999999999998</v>
      </c>
      <c r="I18" s="47">
        <v>2.9279999999999999</v>
      </c>
      <c r="J18" s="47">
        <v>0.51800000000000002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15.46</v>
      </c>
      <c r="Q18" s="68" t="s">
        <v>180</v>
      </c>
    </row>
    <row r="19" spans="1:17" ht="14.4" customHeight="1" x14ac:dyDescent="0.3">
      <c r="A19" s="15" t="s">
        <v>31</v>
      </c>
      <c r="B19" s="46">
        <v>122.55917399851501</v>
      </c>
      <c r="C19" s="47">
        <v>10.213264499876001</v>
      </c>
      <c r="D19" s="47">
        <v>4.7518200000000004</v>
      </c>
      <c r="E19" s="47">
        <v>7.2326600000000001</v>
      </c>
      <c r="F19" s="47">
        <v>34.160260000000001</v>
      </c>
      <c r="G19" s="47">
        <v>9.1048200000000001</v>
      </c>
      <c r="H19" s="47">
        <v>10.49995</v>
      </c>
      <c r="I19" s="47">
        <v>11.908759999999999</v>
      </c>
      <c r="J19" s="47">
        <v>3.4510900000000002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81.109359999999995</v>
      </c>
      <c r="Q19" s="68">
        <v>1.1345100705760001</v>
      </c>
    </row>
    <row r="20" spans="1:17" ht="14.4" customHeight="1" x14ac:dyDescent="0.3">
      <c r="A20" s="15" t="s">
        <v>32</v>
      </c>
      <c r="B20" s="46">
        <v>2957</v>
      </c>
      <c r="C20" s="47">
        <v>246.416666666667</v>
      </c>
      <c r="D20" s="47">
        <v>252.43528000000001</v>
      </c>
      <c r="E20" s="47">
        <v>252.80431999999999</v>
      </c>
      <c r="F20" s="47">
        <v>268.20652000000001</v>
      </c>
      <c r="G20" s="47">
        <v>252.33235999999999</v>
      </c>
      <c r="H20" s="47">
        <v>255.46589</v>
      </c>
      <c r="I20" s="47">
        <v>260.23962</v>
      </c>
      <c r="J20" s="47">
        <v>376.82681000000002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1918.3108</v>
      </c>
      <c r="Q20" s="68">
        <v>1.1121179573890001</v>
      </c>
    </row>
    <row r="21" spans="1:17" ht="14.4" customHeight="1" x14ac:dyDescent="0.3">
      <c r="A21" s="16" t="s">
        <v>33</v>
      </c>
      <c r="B21" s="46">
        <v>72</v>
      </c>
      <c r="C21" s="47">
        <v>6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5.9370000000000003</v>
      </c>
      <c r="J21" s="47">
        <v>6.0229999999999997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41.65</v>
      </c>
      <c r="Q21" s="68">
        <v>0.99166666666600001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3.94</v>
      </c>
      <c r="F24" s="47">
        <v>4.5599999999999996</v>
      </c>
      <c r="G24" s="47">
        <v>0</v>
      </c>
      <c r="H24" s="47">
        <v>5.6843418860808002E-14</v>
      </c>
      <c r="I24" s="47">
        <v>4.9999999999989999</v>
      </c>
      <c r="J24" s="47">
        <v>-5.6843418860808002E-14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13.499999999999</v>
      </c>
      <c r="Q24" s="68"/>
    </row>
    <row r="25" spans="1:17" ht="14.4" customHeight="1" x14ac:dyDescent="0.3">
      <c r="A25" s="17" t="s">
        <v>37</v>
      </c>
      <c r="B25" s="49">
        <v>3469.8234206878601</v>
      </c>
      <c r="C25" s="50">
        <v>289.15195172398899</v>
      </c>
      <c r="D25" s="50">
        <v>308.91759999999999</v>
      </c>
      <c r="E25" s="50">
        <v>283.49243000000001</v>
      </c>
      <c r="F25" s="50">
        <v>350.53051000000102</v>
      </c>
      <c r="G25" s="50">
        <v>287.95963</v>
      </c>
      <c r="H25" s="50">
        <v>305.41408000000001</v>
      </c>
      <c r="I25" s="50">
        <v>310.8519</v>
      </c>
      <c r="J25" s="50">
        <v>411.03689000000003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2258.2030399999999</v>
      </c>
      <c r="Q25" s="69">
        <v>1.1156778723509999</v>
      </c>
    </row>
    <row r="26" spans="1:17" ht="14.4" customHeight="1" x14ac:dyDescent="0.3">
      <c r="A26" s="15" t="s">
        <v>38</v>
      </c>
      <c r="B26" s="46">
        <v>442.79417767830699</v>
      </c>
      <c r="C26" s="47">
        <v>36.899514806524998</v>
      </c>
      <c r="D26" s="47">
        <v>37.882550000000002</v>
      </c>
      <c r="E26" s="47">
        <v>29.726120000000002</v>
      </c>
      <c r="F26" s="47">
        <v>42.121760000000002</v>
      </c>
      <c r="G26" s="47">
        <v>34.057929999999999</v>
      </c>
      <c r="H26" s="47">
        <v>39.053240000000002</v>
      </c>
      <c r="I26" s="47">
        <v>39.704320000000003</v>
      </c>
      <c r="J26" s="47">
        <v>47.188780000000001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269.73469999999998</v>
      </c>
      <c r="Q26" s="68">
        <v>1.0442827981189999</v>
      </c>
    </row>
    <row r="27" spans="1:17" ht="14.4" customHeight="1" x14ac:dyDescent="0.3">
      <c r="A27" s="18" t="s">
        <v>39</v>
      </c>
      <c r="B27" s="49">
        <v>3912.6175983661701</v>
      </c>
      <c r="C27" s="50">
        <v>326.05146653051401</v>
      </c>
      <c r="D27" s="50">
        <v>346.80014999999997</v>
      </c>
      <c r="E27" s="50">
        <v>313.21854999999999</v>
      </c>
      <c r="F27" s="50">
        <v>392.65227000000101</v>
      </c>
      <c r="G27" s="50">
        <v>322.01756</v>
      </c>
      <c r="H27" s="50">
        <v>344.46731999999997</v>
      </c>
      <c r="I27" s="50">
        <v>350.55622</v>
      </c>
      <c r="J27" s="50">
        <v>458.22566999999998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2527.9377399999998</v>
      </c>
      <c r="Q27" s="69">
        <v>1.107598032604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160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96" t="s">
        <v>45</v>
      </c>
      <c r="B1" s="296"/>
      <c r="C1" s="296"/>
      <c r="D1" s="296"/>
      <c r="E1" s="296"/>
      <c r="F1" s="296"/>
      <c r="G1" s="296"/>
      <c r="H1" s="301"/>
      <c r="I1" s="301"/>
      <c r="J1" s="301"/>
      <c r="K1" s="301"/>
    </row>
    <row r="2" spans="1:11" s="55" customFormat="1" ht="14.4" customHeight="1" thickBot="1" x14ac:dyDescent="0.35">
      <c r="A2" s="173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97" t="s">
        <v>46</v>
      </c>
      <c r="C3" s="298"/>
      <c r="D3" s="298"/>
      <c r="E3" s="298"/>
      <c r="F3" s="304" t="s">
        <v>47</v>
      </c>
      <c r="G3" s="298"/>
      <c r="H3" s="298"/>
      <c r="I3" s="298"/>
      <c r="J3" s="298"/>
      <c r="K3" s="305"/>
    </row>
    <row r="4" spans="1:11" ht="14.4" customHeight="1" x14ac:dyDescent="0.3">
      <c r="A4" s="59"/>
      <c r="B4" s="302"/>
      <c r="C4" s="303"/>
      <c r="D4" s="303"/>
      <c r="E4" s="303"/>
      <c r="F4" s="306" t="s">
        <v>161</v>
      </c>
      <c r="G4" s="308" t="s">
        <v>48</v>
      </c>
      <c r="H4" s="106" t="s">
        <v>80</v>
      </c>
      <c r="I4" s="306" t="s">
        <v>49</v>
      </c>
      <c r="J4" s="308" t="s">
        <v>168</v>
      </c>
      <c r="K4" s="309" t="s">
        <v>162</v>
      </c>
    </row>
    <row r="5" spans="1:11" ht="42" thickBot="1" x14ac:dyDescent="0.35">
      <c r="A5" s="60"/>
      <c r="B5" s="24" t="s">
        <v>164</v>
      </c>
      <c r="C5" s="25" t="s">
        <v>165</v>
      </c>
      <c r="D5" s="26" t="s">
        <v>166</v>
      </c>
      <c r="E5" s="26" t="s">
        <v>167</v>
      </c>
      <c r="F5" s="307"/>
      <c r="G5" s="307"/>
      <c r="H5" s="25" t="s">
        <v>163</v>
      </c>
      <c r="I5" s="307"/>
      <c r="J5" s="307"/>
      <c r="K5" s="310"/>
    </row>
    <row r="6" spans="1:11" ht="14.4" customHeight="1" thickBot="1" x14ac:dyDescent="0.35">
      <c r="A6" s="350" t="s">
        <v>182</v>
      </c>
      <c r="B6" s="332">
        <v>3502.1181136721002</v>
      </c>
      <c r="C6" s="332">
        <v>3642.5749700000001</v>
      </c>
      <c r="D6" s="333">
        <v>140.456856327899</v>
      </c>
      <c r="E6" s="334">
        <v>1.0401062590600001</v>
      </c>
      <c r="F6" s="332">
        <v>3469.8234206878601</v>
      </c>
      <c r="G6" s="333">
        <v>2024.0636620679199</v>
      </c>
      <c r="H6" s="335">
        <v>411.03689000000003</v>
      </c>
      <c r="I6" s="332">
        <v>2258.2030399999999</v>
      </c>
      <c r="J6" s="333">
        <v>234.139377932081</v>
      </c>
      <c r="K6" s="336">
        <v>0.65081209220500003</v>
      </c>
    </row>
    <row r="7" spans="1:11" ht="14.4" customHeight="1" thickBot="1" x14ac:dyDescent="0.35">
      <c r="A7" s="351" t="s">
        <v>183</v>
      </c>
      <c r="B7" s="332">
        <v>364.95377963261501</v>
      </c>
      <c r="C7" s="332">
        <v>303.10581999999999</v>
      </c>
      <c r="D7" s="333">
        <v>-61.847959632614</v>
      </c>
      <c r="E7" s="334">
        <v>0.83053207533600004</v>
      </c>
      <c r="F7" s="332">
        <v>315.74669448081897</v>
      </c>
      <c r="G7" s="333">
        <v>184.185571780478</v>
      </c>
      <c r="H7" s="335">
        <v>21.555990000000001</v>
      </c>
      <c r="I7" s="332">
        <v>183.57004000000001</v>
      </c>
      <c r="J7" s="333">
        <v>-0.61553178047699997</v>
      </c>
      <c r="K7" s="336">
        <v>0.58138388527499996</v>
      </c>
    </row>
    <row r="8" spans="1:11" ht="14.4" customHeight="1" thickBot="1" x14ac:dyDescent="0.35">
      <c r="A8" s="352" t="s">
        <v>184</v>
      </c>
      <c r="B8" s="332">
        <v>269.07206975175899</v>
      </c>
      <c r="C8" s="332">
        <v>237.94882000000001</v>
      </c>
      <c r="D8" s="333">
        <v>-31.123249751759001</v>
      </c>
      <c r="E8" s="334">
        <v>0.88433117647399995</v>
      </c>
      <c r="F8" s="332">
        <v>248.87803492616001</v>
      </c>
      <c r="G8" s="333">
        <v>145.17885370692699</v>
      </c>
      <c r="H8" s="335">
        <v>17.83399</v>
      </c>
      <c r="I8" s="332">
        <v>156.44004000000001</v>
      </c>
      <c r="J8" s="333">
        <v>11.261186293072999</v>
      </c>
      <c r="K8" s="336">
        <v>0.62858114436000001</v>
      </c>
    </row>
    <row r="9" spans="1:11" ht="14.4" customHeight="1" thickBot="1" x14ac:dyDescent="0.35">
      <c r="A9" s="353" t="s">
        <v>185</v>
      </c>
      <c r="B9" s="337">
        <v>4.9999990731189996</v>
      </c>
      <c r="C9" s="337">
        <v>0.45740999999999998</v>
      </c>
      <c r="D9" s="338">
        <v>-4.5425890731190002</v>
      </c>
      <c r="E9" s="339">
        <v>9.1482016957999998E-2</v>
      </c>
      <c r="F9" s="337">
        <v>5</v>
      </c>
      <c r="G9" s="338">
        <v>2.9166666666659999</v>
      </c>
      <c r="H9" s="340">
        <v>0</v>
      </c>
      <c r="I9" s="337">
        <v>0.41959999999999997</v>
      </c>
      <c r="J9" s="338">
        <v>-2.497066666666</v>
      </c>
      <c r="K9" s="341">
        <v>8.3919999999999995E-2</v>
      </c>
    </row>
    <row r="10" spans="1:11" ht="14.4" customHeight="1" thickBot="1" x14ac:dyDescent="0.35">
      <c r="A10" s="354" t="s">
        <v>186</v>
      </c>
      <c r="B10" s="332">
        <v>4.9999990731189996</v>
      </c>
      <c r="C10" s="332">
        <v>0.45740999999999998</v>
      </c>
      <c r="D10" s="333">
        <v>-4.5425890731190002</v>
      </c>
      <c r="E10" s="334">
        <v>9.1482016957999998E-2</v>
      </c>
      <c r="F10" s="332">
        <v>5</v>
      </c>
      <c r="G10" s="333">
        <v>2.9166666666659999</v>
      </c>
      <c r="H10" s="335">
        <v>0</v>
      </c>
      <c r="I10" s="332">
        <v>0.41959999999999997</v>
      </c>
      <c r="J10" s="333">
        <v>-2.497066666666</v>
      </c>
      <c r="K10" s="336">
        <v>8.3919999999999995E-2</v>
      </c>
    </row>
    <row r="11" spans="1:11" ht="14.4" customHeight="1" thickBot="1" x14ac:dyDescent="0.35">
      <c r="A11" s="353" t="s">
        <v>187</v>
      </c>
      <c r="B11" s="337">
        <v>67.142006061545004</v>
      </c>
      <c r="C11" s="337">
        <v>61.033059999999999</v>
      </c>
      <c r="D11" s="338">
        <v>-6.1089460615449998</v>
      </c>
      <c r="E11" s="339">
        <v>0.90901454365300005</v>
      </c>
      <c r="F11" s="337">
        <v>64</v>
      </c>
      <c r="G11" s="338">
        <v>37.333333333333002</v>
      </c>
      <c r="H11" s="340">
        <v>3.1749999999999998</v>
      </c>
      <c r="I11" s="337">
        <v>38.24098</v>
      </c>
      <c r="J11" s="338">
        <v>0.90764666666600002</v>
      </c>
      <c r="K11" s="341">
        <v>0.59751531250000001</v>
      </c>
    </row>
    <row r="12" spans="1:11" ht="14.4" customHeight="1" thickBot="1" x14ac:dyDescent="0.35">
      <c r="A12" s="354" t="s">
        <v>188</v>
      </c>
      <c r="B12" s="332">
        <v>63.000005687607</v>
      </c>
      <c r="C12" s="332">
        <v>58.613059999999997</v>
      </c>
      <c r="D12" s="333">
        <v>-4.3869456876069997</v>
      </c>
      <c r="E12" s="334">
        <v>0.93036594775299997</v>
      </c>
      <c r="F12" s="332">
        <v>60</v>
      </c>
      <c r="G12" s="333">
        <v>35</v>
      </c>
      <c r="H12" s="335">
        <v>3.1749999999999998</v>
      </c>
      <c r="I12" s="332">
        <v>35.544980000000002</v>
      </c>
      <c r="J12" s="333">
        <v>0.54498000000000002</v>
      </c>
      <c r="K12" s="336">
        <v>0.59241633333300003</v>
      </c>
    </row>
    <row r="13" spans="1:11" ht="14.4" customHeight="1" thickBot="1" x14ac:dyDescent="0.35">
      <c r="A13" s="354" t="s">
        <v>189</v>
      </c>
      <c r="B13" s="332">
        <v>4.0000003611170003</v>
      </c>
      <c r="C13" s="332">
        <v>2.42</v>
      </c>
      <c r="D13" s="333">
        <v>-1.5800003611169999</v>
      </c>
      <c r="E13" s="334">
        <v>0.60499994538000001</v>
      </c>
      <c r="F13" s="332">
        <v>4</v>
      </c>
      <c r="G13" s="333">
        <v>2.333333333333</v>
      </c>
      <c r="H13" s="335">
        <v>0</v>
      </c>
      <c r="I13" s="332">
        <v>2.42</v>
      </c>
      <c r="J13" s="333">
        <v>8.6666666665999995E-2</v>
      </c>
      <c r="K13" s="336">
        <v>0.60499999999999998</v>
      </c>
    </row>
    <row r="14" spans="1:11" ht="14.4" customHeight="1" thickBot="1" x14ac:dyDescent="0.35">
      <c r="A14" s="354" t="s">
        <v>190</v>
      </c>
      <c r="B14" s="332">
        <v>0.14200001281899999</v>
      </c>
      <c r="C14" s="332">
        <v>0</v>
      </c>
      <c r="D14" s="333">
        <v>-0.14200001281899999</v>
      </c>
      <c r="E14" s="334">
        <v>0</v>
      </c>
      <c r="F14" s="332">
        <v>0</v>
      </c>
      <c r="G14" s="333">
        <v>0</v>
      </c>
      <c r="H14" s="335">
        <v>0</v>
      </c>
      <c r="I14" s="332">
        <v>0.27600000000000002</v>
      </c>
      <c r="J14" s="333">
        <v>0.27600000000000002</v>
      </c>
      <c r="K14" s="342" t="s">
        <v>191</v>
      </c>
    </row>
    <row r="15" spans="1:11" ht="14.4" customHeight="1" thickBot="1" x14ac:dyDescent="0.35">
      <c r="A15" s="353" t="s">
        <v>192</v>
      </c>
      <c r="B15" s="337">
        <v>196.43142752793401</v>
      </c>
      <c r="C15" s="337">
        <v>175.56406999999999</v>
      </c>
      <c r="D15" s="338">
        <v>-20.867357527932999</v>
      </c>
      <c r="E15" s="339">
        <v>0.89376772448999997</v>
      </c>
      <c r="F15" s="337">
        <v>179.59544833546599</v>
      </c>
      <c r="G15" s="338">
        <v>104.764011529022</v>
      </c>
      <c r="H15" s="340">
        <v>13.588139999999999</v>
      </c>
      <c r="I15" s="337">
        <v>116.13265</v>
      </c>
      <c r="J15" s="338">
        <v>11.368638470978</v>
      </c>
      <c r="K15" s="341">
        <v>0.64663470637099996</v>
      </c>
    </row>
    <row r="16" spans="1:11" ht="14.4" customHeight="1" thickBot="1" x14ac:dyDescent="0.35">
      <c r="A16" s="354" t="s">
        <v>193</v>
      </c>
      <c r="B16" s="332">
        <v>0</v>
      </c>
      <c r="C16" s="332">
        <v>0</v>
      </c>
      <c r="D16" s="333">
        <v>0</v>
      </c>
      <c r="E16" s="334">
        <v>1</v>
      </c>
      <c r="F16" s="332">
        <v>0</v>
      </c>
      <c r="G16" s="333">
        <v>0</v>
      </c>
      <c r="H16" s="335">
        <v>0</v>
      </c>
      <c r="I16" s="332">
        <v>3.0249999999999999</v>
      </c>
      <c r="J16" s="333">
        <v>3.0249999999999999</v>
      </c>
      <c r="K16" s="342" t="s">
        <v>191</v>
      </c>
    </row>
    <row r="17" spans="1:11" ht="14.4" customHeight="1" thickBot="1" x14ac:dyDescent="0.35">
      <c r="A17" s="354" t="s">
        <v>194</v>
      </c>
      <c r="B17" s="332">
        <v>0</v>
      </c>
      <c r="C17" s="332">
        <v>1.6930000000000001E-2</v>
      </c>
      <c r="D17" s="333">
        <v>1.6930000000000001E-2</v>
      </c>
      <c r="E17" s="343" t="s">
        <v>191</v>
      </c>
      <c r="F17" s="332">
        <v>0</v>
      </c>
      <c r="G17" s="333">
        <v>0</v>
      </c>
      <c r="H17" s="335">
        <v>0</v>
      </c>
      <c r="I17" s="332">
        <v>3.9268800000000001</v>
      </c>
      <c r="J17" s="333">
        <v>3.9268800000000001</v>
      </c>
      <c r="K17" s="342" t="s">
        <v>180</v>
      </c>
    </row>
    <row r="18" spans="1:11" ht="14.4" customHeight="1" thickBot="1" x14ac:dyDescent="0.35">
      <c r="A18" s="354" t="s">
        <v>195</v>
      </c>
      <c r="B18" s="332">
        <v>1.2216282037790001</v>
      </c>
      <c r="C18" s="332">
        <v>5.0527499999999996</v>
      </c>
      <c r="D18" s="333">
        <v>3.8311217962200002</v>
      </c>
      <c r="E18" s="334">
        <v>4.1360783783189996</v>
      </c>
      <c r="F18" s="332">
        <v>6.0605417942940001</v>
      </c>
      <c r="G18" s="333">
        <v>3.5353160466709999</v>
      </c>
      <c r="H18" s="335">
        <v>0</v>
      </c>
      <c r="I18" s="332">
        <v>3.3574999999999999</v>
      </c>
      <c r="J18" s="333">
        <v>-0.17781604667100001</v>
      </c>
      <c r="K18" s="336">
        <v>0.55399337451300001</v>
      </c>
    </row>
    <row r="19" spans="1:11" ht="14.4" customHeight="1" thickBot="1" x14ac:dyDescent="0.35">
      <c r="A19" s="354" t="s">
        <v>196</v>
      </c>
      <c r="B19" s="332">
        <v>7.2780101808030002</v>
      </c>
      <c r="C19" s="332">
        <v>4.2870600000000003</v>
      </c>
      <c r="D19" s="333">
        <v>-2.9909501808029999</v>
      </c>
      <c r="E19" s="334">
        <v>0.58904286934100003</v>
      </c>
      <c r="F19" s="332">
        <v>5</v>
      </c>
      <c r="G19" s="333">
        <v>2.9166666666659999</v>
      </c>
      <c r="H19" s="335">
        <v>0</v>
      </c>
      <c r="I19" s="332">
        <v>3.1696300000000002</v>
      </c>
      <c r="J19" s="333">
        <v>0.25296333333299997</v>
      </c>
      <c r="K19" s="336">
        <v>0.63392599999999999</v>
      </c>
    </row>
    <row r="20" spans="1:11" ht="14.4" customHeight="1" thickBot="1" x14ac:dyDescent="0.35">
      <c r="A20" s="354" t="s">
        <v>197</v>
      </c>
      <c r="B20" s="332">
        <v>0.19923769720000001</v>
      </c>
      <c r="C20" s="332">
        <v>0</v>
      </c>
      <c r="D20" s="333">
        <v>-0.19923769720000001</v>
      </c>
      <c r="E20" s="334">
        <v>0</v>
      </c>
      <c r="F20" s="332">
        <v>0</v>
      </c>
      <c r="G20" s="333">
        <v>0</v>
      </c>
      <c r="H20" s="335">
        <v>0</v>
      </c>
      <c r="I20" s="332">
        <v>0</v>
      </c>
      <c r="J20" s="333">
        <v>0</v>
      </c>
      <c r="K20" s="336">
        <v>0</v>
      </c>
    </row>
    <row r="21" spans="1:11" ht="14.4" customHeight="1" thickBot="1" x14ac:dyDescent="0.35">
      <c r="A21" s="354" t="s">
        <v>198</v>
      </c>
      <c r="B21" s="332">
        <v>182.85581176229701</v>
      </c>
      <c r="C21" s="332">
        <v>154.42044999999999</v>
      </c>
      <c r="D21" s="333">
        <v>-28.435361762296001</v>
      </c>
      <c r="E21" s="334">
        <v>0.84449298336</v>
      </c>
      <c r="F21" s="332">
        <v>160</v>
      </c>
      <c r="G21" s="333">
        <v>93.333333333333002</v>
      </c>
      <c r="H21" s="335">
        <v>13.43</v>
      </c>
      <c r="I21" s="332">
        <v>89.792720000000003</v>
      </c>
      <c r="J21" s="333">
        <v>-3.5406133333329999</v>
      </c>
      <c r="K21" s="336">
        <v>0.5612045</v>
      </c>
    </row>
    <row r="22" spans="1:11" ht="14.4" customHeight="1" thickBot="1" x14ac:dyDescent="0.35">
      <c r="A22" s="354" t="s">
        <v>199</v>
      </c>
      <c r="B22" s="332">
        <v>4.2506330407900004</v>
      </c>
      <c r="C22" s="332">
        <v>10.4933</v>
      </c>
      <c r="D22" s="333">
        <v>6.2426669592090001</v>
      </c>
      <c r="E22" s="334">
        <v>2.468644058262</v>
      </c>
      <c r="F22" s="332">
        <v>6.5349065411709999</v>
      </c>
      <c r="G22" s="333">
        <v>3.812028815683</v>
      </c>
      <c r="H22" s="335">
        <v>0</v>
      </c>
      <c r="I22" s="332">
        <v>7.2954499999999998</v>
      </c>
      <c r="J22" s="333">
        <v>3.4834211843160001</v>
      </c>
      <c r="K22" s="336">
        <v>1.11638168871</v>
      </c>
    </row>
    <row r="23" spans="1:11" ht="14.4" customHeight="1" thickBot="1" x14ac:dyDescent="0.35">
      <c r="A23" s="354" t="s">
        <v>200</v>
      </c>
      <c r="B23" s="332">
        <v>0</v>
      </c>
      <c r="C23" s="332">
        <v>0</v>
      </c>
      <c r="D23" s="333">
        <v>0</v>
      </c>
      <c r="E23" s="334">
        <v>1</v>
      </c>
      <c r="F23" s="332">
        <v>0</v>
      </c>
      <c r="G23" s="333">
        <v>0</v>
      </c>
      <c r="H23" s="335">
        <v>0</v>
      </c>
      <c r="I23" s="332">
        <v>2.7578999999999998</v>
      </c>
      <c r="J23" s="333">
        <v>2.7578999999999998</v>
      </c>
      <c r="K23" s="342" t="s">
        <v>191</v>
      </c>
    </row>
    <row r="24" spans="1:11" ht="14.4" customHeight="1" thickBot="1" x14ac:dyDescent="0.35">
      <c r="A24" s="354" t="s">
        <v>201</v>
      </c>
      <c r="B24" s="332">
        <v>0.62610664306200003</v>
      </c>
      <c r="C24" s="332">
        <v>1.29358</v>
      </c>
      <c r="D24" s="333">
        <v>0.66747335693700005</v>
      </c>
      <c r="E24" s="334">
        <v>2.0660697571769999</v>
      </c>
      <c r="F24" s="332">
        <v>2</v>
      </c>
      <c r="G24" s="333">
        <v>1.1666666666659999</v>
      </c>
      <c r="H24" s="335">
        <v>0.15814</v>
      </c>
      <c r="I24" s="332">
        <v>2.2751700000000001</v>
      </c>
      <c r="J24" s="333">
        <v>1.1085033333330001</v>
      </c>
      <c r="K24" s="336">
        <v>1.1375850000000001</v>
      </c>
    </row>
    <row r="25" spans="1:11" ht="14.4" customHeight="1" thickBot="1" x14ac:dyDescent="0.35">
      <c r="A25" s="354" t="s">
        <v>202</v>
      </c>
      <c r="B25" s="332">
        <v>0</v>
      </c>
      <c r="C25" s="332">
        <v>0</v>
      </c>
      <c r="D25" s="333">
        <v>0</v>
      </c>
      <c r="E25" s="334">
        <v>1</v>
      </c>
      <c r="F25" s="332">
        <v>0</v>
      </c>
      <c r="G25" s="333">
        <v>0</v>
      </c>
      <c r="H25" s="335">
        <v>0</v>
      </c>
      <c r="I25" s="332">
        <v>0.53239999999999998</v>
      </c>
      <c r="J25" s="333">
        <v>0.53239999999999998</v>
      </c>
      <c r="K25" s="342" t="s">
        <v>191</v>
      </c>
    </row>
    <row r="26" spans="1:11" ht="14.4" customHeight="1" thickBot="1" x14ac:dyDescent="0.35">
      <c r="A26" s="353" t="s">
        <v>203</v>
      </c>
      <c r="B26" s="337">
        <v>0.295110016295</v>
      </c>
      <c r="C26" s="337">
        <v>0.26991999999999999</v>
      </c>
      <c r="D26" s="338">
        <v>-2.5190016294999999E-2</v>
      </c>
      <c r="E26" s="339">
        <v>0.91464194739299998</v>
      </c>
      <c r="F26" s="337">
        <v>0.28258659069399999</v>
      </c>
      <c r="G26" s="338">
        <v>0.164842177905</v>
      </c>
      <c r="H26" s="340">
        <v>0</v>
      </c>
      <c r="I26" s="337">
        <v>0</v>
      </c>
      <c r="J26" s="338">
        <v>-0.164842177905</v>
      </c>
      <c r="K26" s="341">
        <v>0</v>
      </c>
    </row>
    <row r="27" spans="1:11" ht="14.4" customHeight="1" thickBot="1" x14ac:dyDescent="0.35">
      <c r="A27" s="354" t="s">
        <v>204</v>
      </c>
      <c r="B27" s="332">
        <v>0.295110016295</v>
      </c>
      <c r="C27" s="332">
        <v>0.26991999999999999</v>
      </c>
      <c r="D27" s="333">
        <v>-2.5190016294999999E-2</v>
      </c>
      <c r="E27" s="334">
        <v>0.91464194739299998</v>
      </c>
      <c r="F27" s="332">
        <v>0.28258659069399999</v>
      </c>
      <c r="G27" s="333">
        <v>0.164842177905</v>
      </c>
      <c r="H27" s="335">
        <v>0</v>
      </c>
      <c r="I27" s="332">
        <v>0</v>
      </c>
      <c r="J27" s="333">
        <v>-0.164842177905</v>
      </c>
      <c r="K27" s="336">
        <v>0</v>
      </c>
    </row>
    <row r="28" spans="1:11" ht="14.4" customHeight="1" thickBot="1" x14ac:dyDescent="0.35">
      <c r="A28" s="353" t="s">
        <v>205</v>
      </c>
      <c r="B28" s="337">
        <v>0.20352707286499999</v>
      </c>
      <c r="C28" s="337">
        <v>0.62436000000000003</v>
      </c>
      <c r="D28" s="338">
        <v>0.420832927134</v>
      </c>
      <c r="E28" s="339">
        <v>3.0676999929790001</v>
      </c>
      <c r="F28" s="337">
        <v>0</v>
      </c>
      <c r="G28" s="338">
        <v>0</v>
      </c>
      <c r="H28" s="340">
        <v>1.0708500000000001</v>
      </c>
      <c r="I28" s="337">
        <v>1.6468100000000001</v>
      </c>
      <c r="J28" s="338">
        <v>1.6468100000000001</v>
      </c>
      <c r="K28" s="344" t="s">
        <v>180</v>
      </c>
    </row>
    <row r="29" spans="1:11" ht="14.4" customHeight="1" thickBot="1" x14ac:dyDescent="0.35">
      <c r="A29" s="354" t="s">
        <v>206</v>
      </c>
      <c r="B29" s="332">
        <v>0</v>
      </c>
      <c r="C29" s="332">
        <v>0.62436000000000003</v>
      </c>
      <c r="D29" s="333">
        <v>0.62436000000000003</v>
      </c>
      <c r="E29" s="343" t="s">
        <v>180</v>
      </c>
      <c r="F29" s="332">
        <v>0</v>
      </c>
      <c r="G29" s="333">
        <v>0</v>
      </c>
      <c r="H29" s="335">
        <v>1.0708500000000001</v>
      </c>
      <c r="I29" s="332">
        <v>1.6468100000000001</v>
      </c>
      <c r="J29" s="333">
        <v>1.6468100000000001</v>
      </c>
      <c r="K29" s="342" t="s">
        <v>180</v>
      </c>
    </row>
    <row r="30" spans="1:11" ht="14.4" customHeight="1" thickBot="1" x14ac:dyDescent="0.35">
      <c r="A30" s="354" t="s">
        <v>207</v>
      </c>
      <c r="B30" s="332">
        <v>7.9894707789E-2</v>
      </c>
      <c r="C30" s="332">
        <v>0</v>
      </c>
      <c r="D30" s="333">
        <v>-7.9894707789E-2</v>
      </c>
      <c r="E30" s="334">
        <v>0</v>
      </c>
      <c r="F30" s="332">
        <v>0</v>
      </c>
      <c r="G30" s="333">
        <v>0</v>
      </c>
      <c r="H30" s="335">
        <v>0</v>
      </c>
      <c r="I30" s="332">
        <v>0</v>
      </c>
      <c r="J30" s="333">
        <v>0</v>
      </c>
      <c r="K30" s="336">
        <v>0</v>
      </c>
    </row>
    <row r="31" spans="1:11" ht="14.4" customHeight="1" thickBot="1" x14ac:dyDescent="0.35">
      <c r="A31" s="354" t="s">
        <v>208</v>
      </c>
      <c r="B31" s="332">
        <v>0.123632365075</v>
      </c>
      <c r="C31" s="332">
        <v>0</v>
      </c>
      <c r="D31" s="333">
        <v>-0.123632365075</v>
      </c>
      <c r="E31" s="334">
        <v>0</v>
      </c>
      <c r="F31" s="332">
        <v>0</v>
      </c>
      <c r="G31" s="333">
        <v>0</v>
      </c>
      <c r="H31" s="335">
        <v>0</v>
      </c>
      <c r="I31" s="332">
        <v>0</v>
      </c>
      <c r="J31" s="333">
        <v>0</v>
      </c>
      <c r="K31" s="336">
        <v>0</v>
      </c>
    </row>
    <row r="32" spans="1:11" ht="14.4" customHeight="1" thickBot="1" x14ac:dyDescent="0.35">
      <c r="A32" s="352" t="s">
        <v>26</v>
      </c>
      <c r="B32" s="332">
        <v>95.881709880854999</v>
      </c>
      <c r="C32" s="332">
        <v>65.156999999999996</v>
      </c>
      <c r="D32" s="333">
        <v>-30.724709880854999</v>
      </c>
      <c r="E32" s="334">
        <v>0.67955609136399997</v>
      </c>
      <c r="F32" s="332">
        <v>66.868659554657995</v>
      </c>
      <c r="G32" s="333">
        <v>39.006718073549997</v>
      </c>
      <c r="H32" s="335">
        <v>3.722</v>
      </c>
      <c r="I32" s="332">
        <v>27.13</v>
      </c>
      <c r="J32" s="333">
        <v>-11.87671807355</v>
      </c>
      <c r="K32" s="336">
        <v>0.40572070953200001</v>
      </c>
    </row>
    <row r="33" spans="1:11" ht="14.4" customHeight="1" thickBot="1" x14ac:dyDescent="0.35">
      <c r="A33" s="353" t="s">
        <v>209</v>
      </c>
      <c r="B33" s="337">
        <v>95.881709880854999</v>
      </c>
      <c r="C33" s="337">
        <v>65.156999999999996</v>
      </c>
      <c r="D33" s="338">
        <v>-30.724709880854999</v>
      </c>
      <c r="E33" s="339">
        <v>0.67955609136399997</v>
      </c>
      <c r="F33" s="337">
        <v>66.868659554657995</v>
      </c>
      <c r="G33" s="338">
        <v>39.006718073549997</v>
      </c>
      <c r="H33" s="340">
        <v>3.722</v>
      </c>
      <c r="I33" s="337">
        <v>27.13</v>
      </c>
      <c r="J33" s="338">
        <v>-11.87671807355</v>
      </c>
      <c r="K33" s="341">
        <v>0.40572070953200001</v>
      </c>
    </row>
    <row r="34" spans="1:11" ht="14.4" customHeight="1" thickBot="1" x14ac:dyDescent="0.35">
      <c r="A34" s="354" t="s">
        <v>210</v>
      </c>
      <c r="B34" s="332">
        <v>41.658870331895997</v>
      </c>
      <c r="C34" s="332">
        <v>37.850999999999999</v>
      </c>
      <c r="D34" s="333">
        <v>-3.8078703318949998</v>
      </c>
      <c r="E34" s="334">
        <v>0.90859400887300001</v>
      </c>
      <c r="F34" s="332">
        <v>38.999999999998998</v>
      </c>
      <c r="G34" s="333">
        <v>22.749999999999002</v>
      </c>
      <c r="H34" s="335">
        <v>3.1840000000000002</v>
      </c>
      <c r="I34" s="332">
        <v>22.85</v>
      </c>
      <c r="J34" s="333">
        <v>0.1</v>
      </c>
      <c r="K34" s="336">
        <v>0.58589743589700005</v>
      </c>
    </row>
    <row r="35" spans="1:11" ht="14.4" customHeight="1" thickBot="1" x14ac:dyDescent="0.35">
      <c r="A35" s="354" t="s">
        <v>211</v>
      </c>
      <c r="B35" s="332">
        <v>7.2946743808649996</v>
      </c>
      <c r="C35" s="332">
        <v>7.2859999999999996</v>
      </c>
      <c r="D35" s="333">
        <v>-8.6743808649999993E-3</v>
      </c>
      <c r="E35" s="334">
        <v>0.99881086112700002</v>
      </c>
      <c r="F35" s="332">
        <v>7.8686595546579996</v>
      </c>
      <c r="G35" s="333">
        <v>4.5900514068840002</v>
      </c>
      <c r="H35" s="335">
        <v>0.53800000000000003</v>
      </c>
      <c r="I35" s="332">
        <v>4.28</v>
      </c>
      <c r="J35" s="333">
        <v>-0.31005140688400001</v>
      </c>
      <c r="K35" s="336">
        <v>0.54393000107099998</v>
      </c>
    </row>
    <row r="36" spans="1:11" ht="14.4" customHeight="1" thickBot="1" x14ac:dyDescent="0.35">
      <c r="A36" s="354" t="s">
        <v>212</v>
      </c>
      <c r="B36" s="332">
        <v>46.928165168093997</v>
      </c>
      <c r="C36" s="332">
        <v>20.02</v>
      </c>
      <c r="D36" s="333">
        <v>-26.908165168094001</v>
      </c>
      <c r="E36" s="334">
        <v>0.42660947702200003</v>
      </c>
      <c r="F36" s="332">
        <v>19.999999999999002</v>
      </c>
      <c r="G36" s="333">
        <v>11.666666666666</v>
      </c>
      <c r="H36" s="335">
        <v>0</v>
      </c>
      <c r="I36" s="332">
        <v>0</v>
      </c>
      <c r="J36" s="333">
        <v>-11.666666666666</v>
      </c>
      <c r="K36" s="336">
        <v>0</v>
      </c>
    </row>
    <row r="37" spans="1:11" ht="14.4" customHeight="1" thickBot="1" x14ac:dyDescent="0.35">
      <c r="A37" s="355" t="s">
        <v>213</v>
      </c>
      <c r="B37" s="337">
        <v>234.16391219154599</v>
      </c>
      <c r="C37" s="337">
        <v>205.61169000000001</v>
      </c>
      <c r="D37" s="338">
        <v>-28.552222191544999</v>
      </c>
      <c r="E37" s="339">
        <v>0.87806736774899996</v>
      </c>
      <c r="F37" s="337">
        <v>125.076726207043</v>
      </c>
      <c r="G37" s="338">
        <v>72.961423620774994</v>
      </c>
      <c r="H37" s="340">
        <v>6.6310900000000004</v>
      </c>
      <c r="I37" s="337">
        <v>101.1722</v>
      </c>
      <c r="J37" s="338">
        <v>28.210776379224001</v>
      </c>
      <c r="K37" s="341">
        <v>0.80888110096900001</v>
      </c>
    </row>
    <row r="38" spans="1:11" ht="14.4" customHeight="1" thickBot="1" x14ac:dyDescent="0.35">
      <c r="A38" s="352" t="s">
        <v>29</v>
      </c>
      <c r="B38" s="332">
        <v>47.732521713368001</v>
      </c>
      <c r="C38" s="332">
        <v>3.0953599999999999</v>
      </c>
      <c r="D38" s="333">
        <v>-44.637161713368002</v>
      </c>
      <c r="E38" s="334">
        <v>6.4848029998999995E-2</v>
      </c>
      <c r="F38" s="332">
        <v>2.517552208528</v>
      </c>
      <c r="G38" s="333">
        <v>1.4685721216409999</v>
      </c>
      <c r="H38" s="335">
        <v>2.6619999999999999</v>
      </c>
      <c r="I38" s="332">
        <v>4.6028399999999996</v>
      </c>
      <c r="J38" s="333">
        <v>3.134267878358</v>
      </c>
      <c r="K38" s="336">
        <v>1.8282997208180001</v>
      </c>
    </row>
    <row r="39" spans="1:11" ht="14.4" customHeight="1" thickBot="1" x14ac:dyDescent="0.35">
      <c r="A39" s="356" t="s">
        <v>214</v>
      </c>
      <c r="B39" s="332">
        <v>47.732521713368001</v>
      </c>
      <c r="C39" s="332">
        <v>3.0953599999999999</v>
      </c>
      <c r="D39" s="333">
        <v>-44.637161713368002</v>
      </c>
      <c r="E39" s="334">
        <v>6.4848029998999995E-2</v>
      </c>
      <c r="F39" s="332">
        <v>2.517552208528</v>
      </c>
      <c r="G39" s="333">
        <v>1.4685721216409999</v>
      </c>
      <c r="H39" s="335">
        <v>2.6619999999999999</v>
      </c>
      <c r="I39" s="332">
        <v>4.6028399999999996</v>
      </c>
      <c r="J39" s="333">
        <v>3.134267878358</v>
      </c>
      <c r="K39" s="336">
        <v>1.8282997208180001</v>
      </c>
    </row>
    <row r="40" spans="1:11" ht="14.4" customHeight="1" thickBot="1" x14ac:dyDescent="0.35">
      <c r="A40" s="354" t="s">
        <v>215</v>
      </c>
      <c r="B40" s="332">
        <v>46.401899205451002</v>
      </c>
      <c r="C40" s="332">
        <v>0</v>
      </c>
      <c r="D40" s="333">
        <v>-46.401899205451002</v>
      </c>
      <c r="E40" s="334">
        <v>0</v>
      </c>
      <c r="F40" s="332">
        <v>0</v>
      </c>
      <c r="G40" s="333">
        <v>0</v>
      </c>
      <c r="H40" s="335">
        <v>2.6619999999999999</v>
      </c>
      <c r="I40" s="332">
        <v>2.6619999999999999</v>
      </c>
      <c r="J40" s="333">
        <v>2.6619999999999999</v>
      </c>
      <c r="K40" s="342" t="s">
        <v>191</v>
      </c>
    </row>
    <row r="41" spans="1:11" ht="14.4" customHeight="1" thickBot="1" x14ac:dyDescent="0.35">
      <c r="A41" s="354" t="s">
        <v>216</v>
      </c>
      <c r="B41" s="332">
        <v>0.95754424446499997</v>
      </c>
      <c r="C41" s="332">
        <v>1.92523</v>
      </c>
      <c r="D41" s="333">
        <v>0.96768575553400005</v>
      </c>
      <c r="E41" s="334">
        <v>2.0105911670690002</v>
      </c>
      <c r="F41" s="332">
        <v>2.517552208528</v>
      </c>
      <c r="G41" s="333">
        <v>1.4685721216409999</v>
      </c>
      <c r="H41" s="335">
        <v>0</v>
      </c>
      <c r="I41" s="332">
        <v>1.2584</v>
      </c>
      <c r="J41" s="333">
        <v>-0.21017212164099999</v>
      </c>
      <c r="K41" s="336">
        <v>0.499850607163</v>
      </c>
    </row>
    <row r="42" spans="1:11" ht="14.4" customHeight="1" thickBot="1" x14ac:dyDescent="0.35">
      <c r="A42" s="354" t="s">
        <v>217</v>
      </c>
      <c r="B42" s="332">
        <v>0.37307826345099998</v>
      </c>
      <c r="C42" s="332">
        <v>1.1701299999999999</v>
      </c>
      <c r="D42" s="333">
        <v>0.79705173654799999</v>
      </c>
      <c r="E42" s="334">
        <v>3.1364196594410001</v>
      </c>
      <c r="F42" s="332">
        <v>0</v>
      </c>
      <c r="G42" s="333">
        <v>0</v>
      </c>
      <c r="H42" s="335">
        <v>0</v>
      </c>
      <c r="I42" s="332">
        <v>0.68244000000000005</v>
      </c>
      <c r="J42" s="333">
        <v>0.68244000000000005</v>
      </c>
      <c r="K42" s="342" t="s">
        <v>180</v>
      </c>
    </row>
    <row r="43" spans="1:11" ht="14.4" customHeight="1" thickBot="1" x14ac:dyDescent="0.35">
      <c r="A43" s="357" t="s">
        <v>30</v>
      </c>
      <c r="B43" s="337">
        <v>0</v>
      </c>
      <c r="C43" s="337">
        <v>16.734999999999999</v>
      </c>
      <c r="D43" s="338">
        <v>16.734999999999999</v>
      </c>
      <c r="E43" s="345" t="s">
        <v>180</v>
      </c>
      <c r="F43" s="337">
        <v>0</v>
      </c>
      <c r="G43" s="338">
        <v>0</v>
      </c>
      <c r="H43" s="340">
        <v>0.51800000000000002</v>
      </c>
      <c r="I43" s="337">
        <v>15.46</v>
      </c>
      <c r="J43" s="338">
        <v>15.46</v>
      </c>
      <c r="K43" s="344" t="s">
        <v>180</v>
      </c>
    </row>
    <row r="44" spans="1:11" ht="14.4" customHeight="1" thickBot="1" x14ac:dyDescent="0.35">
      <c r="A44" s="353" t="s">
        <v>218</v>
      </c>
      <c r="B44" s="337">
        <v>0</v>
      </c>
      <c r="C44" s="337">
        <v>16.734999999999999</v>
      </c>
      <c r="D44" s="338">
        <v>16.734999999999999</v>
      </c>
      <c r="E44" s="345" t="s">
        <v>180</v>
      </c>
      <c r="F44" s="337">
        <v>0</v>
      </c>
      <c r="G44" s="338">
        <v>0</v>
      </c>
      <c r="H44" s="340">
        <v>0.51800000000000002</v>
      </c>
      <c r="I44" s="337">
        <v>15.46</v>
      </c>
      <c r="J44" s="338">
        <v>15.46</v>
      </c>
      <c r="K44" s="344" t="s">
        <v>180</v>
      </c>
    </row>
    <row r="45" spans="1:11" ht="14.4" customHeight="1" thickBot="1" x14ac:dyDescent="0.35">
      <c r="A45" s="354" t="s">
        <v>219</v>
      </c>
      <c r="B45" s="332">
        <v>0</v>
      </c>
      <c r="C45" s="332">
        <v>13</v>
      </c>
      <c r="D45" s="333">
        <v>13</v>
      </c>
      <c r="E45" s="343" t="s">
        <v>180</v>
      </c>
      <c r="F45" s="332">
        <v>0</v>
      </c>
      <c r="G45" s="333">
        <v>0</v>
      </c>
      <c r="H45" s="335">
        <v>0.51800000000000002</v>
      </c>
      <c r="I45" s="332">
        <v>11.31</v>
      </c>
      <c r="J45" s="333">
        <v>11.31</v>
      </c>
      <c r="K45" s="342" t="s">
        <v>180</v>
      </c>
    </row>
    <row r="46" spans="1:11" ht="14.4" customHeight="1" thickBot="1" x14ac:dyDescent="0.35">
      <c r="A46" s="354" t="s">
        <v>220</v>
      </c>
      <c r="B46" s="332">
        <v>0</v>
      </c>
      <c r="C46" s="332">
        <v>3.7349999999999999</v>
      </c>
      <c r="D46" s="333">
        <v>3.7349999999999999</v>
      </c>
      <c r="E46" s="343" t="s">
        <v>180</v>
      </c>
      <c r="F46" s="332">
        <v>0</v>
      </c>
      <c r="G46" s="333">
        <v>0</v>
      </c>
      <c r="H46" s="335">
        <v>0</v>
      </c>
      <c r="I46" s="332">
        <v>4.1500000000000004</v>
      </c>
      <c r="J46" s="333">
        <v>4.1500000000000004</v>
      </c>
      <c r="K46" s="342" t="s">
        <v>180</v>
      </c>
    </row>
    <row r="47" spans="1:11" ht="14.4" customHeight="1" thickBot="1" x14ac:dyDescent="0.35">
      <c r="A47" s="352" t="s">
        <v>31</v>
      </c>
      <c r="B47" s="332">
        <v>186.43139047817701</v>
      </c>
      <c r="C47" s="332">
        <v>185.78133</v>
      </c>
      <c r="D47" s="333">
        <v>-0.65006047817699997</v>
      </c>
      <c r="E47" s="334">
        <v>0.99651313828300003</v>
      </c>
      <c r="F47" s="332">
        <v>122.55917399851501</v>
      </c>
      <c r="G47" s="333">
        <v>71.492851499132996</v>
      </c>
      <c r="H47" s="335">
        <v>3.4510900000000002</v>
      </c>
      <c r="I47" s="332">
        <v>81.109359999999995</v>
      </c>
      <c r="J47" s="333">
        <v>9.6165085008660007</v>
      </c>
      <c r="K47" s="336">
        <v>0.66179754116900003</v>
      </c>
    </row>
    <row r="48" spans="1:11" ht="14.4" customHeight="1" thickBot="1" x14ac:dyDescent="0.35">
      <c r="A48" s="353" t="s">
        <v>221</v>
      </c>
      <c r="B48" s="337">
        <v>13.846899152162999</v>
      </c>
      <c r="C48" s="337">
        <v>9.7275799999999997</v>
      </c>
      <c r="D48" s="338">
        <v>-4.1193191521630004</v>
      </c>
      <c r="E48" s="339">
        <v>0.70250962999699995</v>
      </c>
      <c r="F48" s="337">
        <v>11.046915470491999</v>
      </c>
      <c r="G48" s="338">
        <v>6.444034024454</v>
      </c>
      <c r="H48" s="340">
        <v>0.74051</v>
      </c>
      <c r="I48" s="337">
        <v>4.7360800000000003</v>
      </c>
      <c r="J48" s="338">
        <v>-1.7079540244539999</v>
      </c>
      <c r="K48" s="341">
        <v>0.428724200221</v>
      </c>
    </row>
    <row r="49" spans="1:11" ht="14.4" customHeight="1" thickBot="1" x14ac:dyDescent="0.35">
      <c r="A49" s="354" t="s">
        <v>222</v>
      </c>
      <c r="B49" s="332">
        <v>0.104713913428</v>
      </c>
      <c r="C49" s="332">
        <v>0.22869999999999999</v>
      </c>
      <c r="D49" s="333">
        <v>0.12398608657100001</v>
      </c>
      <c r="E49" s="334">
        <v>2.184045964014</v>
      </c>
      <c r="F49" s="332">
        <v>0.227604475232</v>
      </c>
      <c r="G49" s="333">
        <v>0.132769277218</v>
      </c>
      <c r="H49" s="335">
        <v>0</v>
      </c>
      <c r="I49" s="332">
        <v>2.6599999999999999E-2</v>
      </c>
      <c r="J49" s="333">
        <v>-0.106169277218</v>
      </c>
      <c r="K49" s="336">
        <v>0.116869406776</v>
      </c>
    </row>
    <row r="50" spans="1:11" ht="14.4" customHeight="1" thickBot="1" x14ac:dyDescent="0.35">
      <c r="A50" s="354" t="s">
        <v>223</v>
      </c>
      <c r="B50" s="332">
        <v>13.742185238734001</v>
      </c>
      <c r="C50" s="332">
        <v>9.4988799999999998</v>
      </c>
      <c r="D50" s="333">
        <v>-4.243305238734</v>
      </c>
      <c r="E50" s="334">
        <v>0.69122048895199995</v>
      </c>
      <c r="F50" s="332">
        <v>10.81931099526</v>
      </c>
      <c r="G50" s="333">
        <v>6.3112647472349996</v>
      </c>
      <c r="H50" s="335">
        <v>0.74051</v>
      </c>
      <c r="I50" s="332">
        <v>4.7094800000000001</v>
      </c>
      <c r="J50" s="333">
        <v>-1.601784747235</v>
      </c>
      <c r="K50" s="336">
        <v>0.43528465001700001</v>
      </c>
    </row>
    <row r="51" spans="1:11" ht="14.4" customHeight="1" thickBot="1" x14ac:dyDescent="0.35">
      <c r="A51" s="353" t="s">
        <v>224</v>
      </c>
      <c r="B51" s="337">
        <v>0.99999840846400001</v>
      </c>
      <c r="C51" s="337">
        <v>0.54</v>
      </c>
      <c r="D51" s="338">
        <v>-0.45999840846399997</v>
      </c>
      <c r="E51" s="339">
        <v>0.54000085942999998</v>
      </c>
      <c r="F51" s="337">
        <v>1</v>
      </c>
      <c r="G51" s="338">
        <v>0.58333333333299997</v>
      </c>
      <c r="H51" s="340">
        <v>0.13500000000000001</v>
      </c>
      <c r="I51" s="337">
        <v>0.40500000000000003</v>
      </c>
      <c r="J51" s="338">
        <v>-0.178333333333</v>
      </c>
      <c r="K51" s="341">
        <v>0.40499999999899999</v>
      </c>
    </row>
    <row r="52" spans="1:11" ht="14.4" customHeight="1" thickBot="1" x14ac:dyDescent="0.35">
      <c r="A52" s="354" t="s">
        <v>225</v>
      </c>
      <c r="B52" s="332">
        <v>0.99999840846400001</v>
      </c>
      <c r="C52" s="332">
        <v>0.54</v>
      </c>
      <c r="D52" s="333">
        <v>-0.45999840846399997</v>
      </c>
      <c r="E52" s="334">
        <v>0.54000085942999998</v>
      </c>
      <c r="F52" s="332">
        <v>1</v>
      </c>
      <c r="G52" s="333">
        <v>0.58333333333299997</v>
      </c>
      <c r="H52" s="335">
        <v>0.13500000000000001</v>
      </c>
      <c r="I52" s="332">
        <v>0.40500000000000003</v>
      </c>
      <c r="J52" s="333">
        <v>-0.178333333333</v>
      </c>
      <c r="K52" s="336">
        <v>0.40499999999899999</v>
      </c>
    </row>
    <row r="53" spans="1:11" ht="14.4" customHeight="1" thickBot="1" x14ac:dyDescent="0.35">
      <c r="A53" s="353" t="s">
        <v>226</v>
      </c>
      <c r="B53" s="337">
        <v>32.861592169601998</v>
      </c>
      <c r="C53" s="337">
        <v>30.953659999999999</v>
      </c>
      <c r="D53" s="338">
        <v>-1.907932169602</v>
      </c>
      <c r="E53" s="339">
        <v>0.94194036126500003</v>
      </c>
      <c r="F53" s="337">
        <v>18.134994819422001</v>
      </c>
      <c r="G53" s="338">
        <v>10.578746977996</v>
      </c>
      <c r="H53" s="340">
        <v>2.57558</v>
      </c>
      <c r="I53" s="337">
        <v>17.864139999999999</v>
      </c>
      <c r="J53" s="338">
        <v>7.2853930220030003</v>
      </c>
      <c r="K53" s="341">
        <v>0.98506452181899995</v>
      </c>
    </row>
    <row r="54" spans="1:11" ht="14.4" customHeight="1" thickBot="1" x14ac:dyDescent="0.35">
      <c r="A54" s="354" t="s">
        <v>227</v>
      </c>
      <c r="B54" s="332">
        <v>18.301082131855999</v>
      </c>
      <c r="C54" s="332">
        <v>16.41048</v>
      </c>
      <c r="D54" s="333">
        <v>-1.890602131856</v>
      </c>
      <c r="E54" s="334">
        <v>0.89669451684599999</v>
      </c>
      <c r="F54" s="332">
        <v>0</v>
      </c>
      <c r="G54" s="333">
        <v>0</v>
      </c>
      <c r="H54" s="335">
        <v>1.31064</v>
      </c>
      <c r="I54" s="332">
        <v>9.0493799999999993</v>
      </c>
      <c r="J54" s="333">
        <v>9.0493799999999993</v>
      </c>
      <c r="K54" s="342" t="s">
        <v>180</v>
      </c>
    </row>
    <row r="55" spans="1:11" ht="14.4" customHeight="1" thickBot="1" x14ac:dyDescent="0.35">
      <c r="A55" s="354" t="s">
        <v>228</v>
      </c>
      <c r="B55" s="332">
        <v>14.560510037746001</v>
      </c>
      <c r="C55" s="332">
        <v>14.54318</v>
      </c>
      <c r="D55" s="333">
        <v>-1.7330037746000001E-2</v>
      </c>
      <c r="E55" s="334">
        <v>0.99880979184700003</v>
      </c>
      <c r="F55" s="332">
        <v>18.134994819422001</v>
      </c>
      <c r="G55" s="333">
        <v>10.578746977996</v>
      </c>
      <c r="H55" s="335">
        <v>1.26494</v>
      </c>
      <c r="I55" s="332">
        <v>8.8147599999999997</v>
      </c>
      <c r="J55" s="333">
        <v>-1.763986977996</v>
      </c>
      <c r="K55" s="336">
        <v>0.486063552141</v>
      </c>
    </row>
    <row r="56" spans="1:11" ht="14.4" customHeight="1" thickBot="1" x14ac:dyDescent="0.35">
      <c r="A56" s="353" t="s">
        <v>229</v>
      </c>
      <c r="B56" s="337">
        <v>55.103205567407002</v>
      </c>
      <c r="C56" s="337">
        <v>84.803089999999997</v>
      </c>
      <c r="D56" s="338">
        <v>29.699884432592</v>
      </c>
      <c r="E56" s="339">
        <v>1.538986509528</v>
      </c>
      <c r="F56" s="337">
        <v>91.502317430000005</v>
      </c>
      <c r="G56" s="338">
        <v>53.376351834166996</v>
      </c>
      <c r="H56" s="340">
        <v>0</v>
      </c>
      <c r="I56" s="337">
        <v>40.257640000000002</v>
      </c>
      <c r="J56" s="338">
        <v>-13.118711834166</v>
      </c>
      <c r="K56" s="341">
        <v>0.43996306466000001</v>
      </c>
    </row>
    <row r="57" spans="1:11" ht="14.4" customHeight="1" thickBot="1" x14ac:dyDescent="0.35">
      <c r="A57" s="354" t="s">
        <v>230</v>
      </c>
      <c r="B57" s="332">
        <v>2.999995225393</v>
      </c>
      <c r="C57" s="332">
        <v>0</v>
      </c>
      <c r="D57" s="333">
        <v>-2.999995225393</v>
      </c>
      <c r="E57" s="334">
        <v>0</v>
      </c>
      <c r="F57" s="332">
        <v>0</v>
      </c>
      <c r="G57" s="333">
        <v>0</v>
      </c>
      <c r="H57" s="335">
        <v>0</v>
      </c>
      <c r="I57" s="332">
        <v>1.5336700000000001</v>
      </c>
      <c r="J57" s="333">
        <v>1.5336700000000001</v>
      </c>
      <c r="K57" s="342" t="s">
        <v>191</v>
      </c>
    </row>
    <row r="58" spans="1:11" ht="14.4" customHeight="1" thickBot="1" x14ac:dyDescent="0.35">
      <c r="A58" s="354" t="s">
        <v>231</v>
      </c>
      <c r="B58" s="332">
        <v>10.686596694457</v>
      </c>
      <c r="C58" s="332">
        <v>15.186</v>
      </c>
      <c r="D58" s="333">
        <v>4.4994033055429998</v>
      </c>
      <c r="E58" s="334">
        <v>1.4210323860980001</v>
      </c>
      <c r="F58" s="332">
        <v>15.387200494781</v>
      </c>
      <c r="G58" s="333">
        <v>8.9758669552889998</v>
      </c>
      <c r="H58" s="335">
        <v>0</v>
      </c>
      <c r="I58" s="332">
        <v>6.5430000000000001</v>
      </c>
      <c r="J58" s="333">
        <v>-2.4328669552890001</v>
      </c>
      <c r="K58" s="336">
        <v>0.425223548768</v>
      </c>
    </row>
    <row r="59" spans="1:11" ht="14.4" customHeight="1" thickBot="1" x14ac:dyDescent="0.35">
      <c r="A59" s="354" t="s">
        <v>232</v>
      </c>
      <c r="B59" s="332">
        <v>41.416613647557</v>
      </c>
      <c r="C59" s="332">
        <v>69.617090000000005</v>
      </c>
      <c r="D59" s="333">
        <v>28.200476352441999</v>
      </c>
      <c r="E59" s="334">
        <v>1.6808976849820001</v>
      </c>
      <c r="F59" s="332">
        <v>76.115116935217998</v>
      </c>
      <c r="G59" s="333">
        <v>44.400484878877002</v>
      </c>
      <c r="H59" s="335">
        <v>0</v>
      </c>
      <c r="I59" s="332">
        <v>32.180970000000002</v>
      </c>
      <c r="J59" s="333">
        <v>-12.219514878877</v>
      </c>
      <c r="K59" s="336">
        <v>0.42279341208100002</v>
      </c>
    </row>
    <row r="60" spans="1:11" ht="14.4" customHeight="1" thickBot="1" x14ac:dyDescent="0.35">
      <c r="A60" s="353" t="s">
        <v>233</v>
      </c>
      <c r="B60" s="337">
        <v>83.619695180538997</v>
      </c>
      <c r="C60" s="337">
        <v>59.756999999999998</v>
      </c>
      <c r="D60" s="338">
        <v>-23.862695180538999</v>
      </c>
      <c r="E60" s="339">
        <v>0.71462829266399996</v>
      </c>
      <c r="F60" s="337">
        <v>0.87494627859899998</v>
      </c>
      <c r="G60" s="338">
        <v>0.51038532918199997</v>
      </c>
      <c r="H60" s="340">
        <v>0</v>
      </c>
      <c r="I60" s="337">
        <v>17.846499999999999</v>
      </c>
      <c r="J60" s="338">
        <v>17.336114670817</v>
      </c>
      <c r="K60" s="341">
        <v>0</v>
      </c>
    </row>
    <row r="61" spans="1:11" ht="14.4" customHeight="1" thickBot="1" x14ac:dyDescent="0.35">
      <c r="A61" s="354" t="s">
        <v>234</v>
      </c>
      <c r="B61" s="332">
        <v>0.98448469295899999</v>
      </c>
      <c r="C61" s="332">
        <v>0.29899999999999999</v>
      </c>
      <c r="D61" s="333">
        <v>-0.68548469295900005</v>
      </c>
      <c r="E61" s="334">
        <v>0.30371218784600001</v>
      </c>
      <c r="F61" s="332">
        <v>0.87494627859899998</v>
      </c>
      <c r="G61" s="333">
        <v>0.51038532918199997</v>
      </c>
      <c r="H61" s="335">
        <v>0</v>
      </c>
      <c r="I61" s="332">
        <v>0</v>
      </c>
      <c r="J61" s="333">
        <v>-0.51038532918199997</v>
      </c>
      <c r="K61" s="336">
        <v>0</v>
      </c>
    </row>
    <row r="62" spans="1:11" ht="14.4" customHeight="1" thickBot="1" x14ac:dyDescent="0.35">
      <c r="A62" s="354" t="s">
        <v>235</v>
      </c>
      <c r="B62" s="332">
        <v>30.183894459967998</v>
      </c>
      <c r="C62" s="332">
        <v>28.704999999999998</v>
      </c>
      <c r="D62" s="333">
        <v>-1.4788944599680001</v>
      </c>
      <c r="E62" s="334">
        <v>0.951003855319</v>
      </c>
      <c r="F62" s="332">
        <v>0</v>
      </c>
      <c r="G62" s="333">
        <v>0</v>
      </c>
      <c r="H62" s="335">
        <v>0</v>
      </c>
      <c r="I62" s="332">
        <v>17.846499999999999</v>
      </c>
      <c r="J62" s="333">
        <v>17.846499999999999</v>
      </c>
      <c r="K62" s="342" t="s">
        <v>180</v>
      </c>
    </row>
    <row r="63" spans="1:11" ht="14.4" customHeight="1" thickBot="1" x14ac:dyDescent="0.35">
      <c r="A63" s="354" t="s">
        <v>236</v>
      </c>
      <c r="B63" s="332">
        <v>52.451316027611</v>
      </c>
      <c r="C63" s="332">
        <v>30.753</v>
      </c>
      <c r="D63" s="333">
        <v>-21.698316027611</v>
      </c>
      <c r="E63" s="334">
        <v>0.58631512665499996</v>
      </c>
      <c r="F63" s="332">
        <v>0</v>
      </c>
      <c r="G63" s="333">
        <v>0</v>
      </c>
      <c r="H63" s="335">
        <v>0</v>
      </c>
      <c r="I63" s="332">
        <v>0</v>
      </c>
      <c r="J63" s="333">
        <v>0</v>
      </c>
      <c r="K63" s="342" t="s">
        <v>180</v>
      </c>
    </row>
    <row r="64" spans="1:11" ht="14.4" customHeight="1" thickBot="1" x14ac:dyDescent="0.35">
      <c r="A64" s="351" t="s">
        <v>32</v>
      </c>
      <c r="B64" s="332">
        <v>2831.0002555812498</v>
      </c>
      <c r="C64" s="332">
        <v>3042.8712599999999</v>
      </c>
      <c r="D64" s="333">
        <v>211.87100441875501</v>
      </c>
      <c r="E64" s="334">
        <v>1.0748396274430001</v>
      </c>
      <c r="F64" s="332">
        <v>2957</v>
      </c>
      <c r="G64" s="333">
        <v>1724.9166666666699</v>
      </c>
      <c r="H64" s="335">
        <v>376.82681000000002</v>
      </c>
      <c r="I64" s="332">
        <v>1918.3108</v>
      </c>
      <c r="J64" s="333">
        <v>193.394133333333</v>
      </c>
      <c r="K64" s="336">
        <v>0.64873547514300001</v>
      </c>
    </row>
    <row r="65" spans="1:11" ht="14.4" customHeight="1" thickBot="1" x14ac:dyDescent="0.35">
      <c r="A65" s="357" t="s">
        <v>237</v>
      </c>
      <c r="B65" s="337">
        <v>2106.00019012861</v>
      </c>
      <c r="C65" s="337">
        <v>2246.328</v>
      </c>
      <c r="D65" s="338">
        <v>140.32780987138801</v>
      </c>
      <c r="E65" s="339">
        <v>1.0666323823370001</v>
      </c>
      <c r="F65" s="337">
        <v>2192</v>
      </c>
      <c r="G65" s="338">
        <v>1278.6666666666699</v>
      </c>
      <c r="H65" s="340">
        <v>277.15199999999999</v>
      </c>
      <c r="I65" s="337">
        <v>1411.0360000000001</v>
      </c>
      <c r="J65" s="338">
        <v>132.369333333333</v>
      </c>
      <c r="K65" s="341">
        <v>0.64372080291900002</v>
      </c>
    </row>
    <row r="66" spans="1:11" ht="14.4" customHeight="1" thickBot="1" x14ac:dyDescent="0.35">
      <c r="A66" s="353" t="s">
        <v>238</v>
      </c>
      <c r="B66" s="337">
        <v>2040.0001841701701</v>
      </c>
      <c r="C66" s="337">
        <v>2186.328</v>
      </c>
      <c r="D66" s="338">
        <v>146.32781582983401</v>
      </c>
      <c r="E66" s="339">
        <v>1.0717293150089999</v>
      </c>
      <c r="F66" s="337">
        <v>2126</v>
      </c>
      <c r="G66" s="338">
        <v>1240.1666666666699</v>
      </c>
      <c r="H66" s="340">
        <v>272.15199999999999</v>
      </c>
      <c r="I66" s="337">
        <v>1376.0360000000001</v>
      </c>
      <c r="J66" s="338">
        <v>135.869333333333</v>
      </c>
      <c r="K66" s="341">
        <v>0.64724176857899995</v>
      </c>
    </row>
    <row r="67" spans="1:11" ht="14.4" customHeight="1" thickBot="1" x14ac:dyDescent="0.35">
      <c r="A67" s="354" t="s">
        <v>239</v>
      </c>
      <c r="B67" s="332">
        <v>2040.0001841701701</v>
      </c>
      <c r="C67" s="332">
        <v>2186.328</v>
      </c>
      <c r="D67" s="333">
        <v>146.32781582983401</v>
      </c>
      <c r="E67" s="334">
        <v>1.0717293150089999</v>
      </c>
      <c r="F67" s="332">
        <v>2126</v>
      </c>
      <c r="G67" s="333">
        <v>1240.1666666666699</v>
      </c>
      <c r="H67" s="335">
        <v>272.15199999999999</v>
      </c>
      <c r="I67" s="332">
        <v>1376.0360000000001</v>
      </c>
      <c r="J67" s="333">
        <v>135.869333333333</v>
      </c>
      <c r="K67" s="336">
        <v>0.64724176857899995</v>
      </c>
    </row>
    <row r="68" spans="1:11" ht="14.4" customHeight="1" thickBot="1" x14ac:dyDescent="0.35">
      <c r="A68" s="353" t="s">
        <v>240</v>
      </c>
      <c r="B68" s="337">
        <v>60.000005416769</v>
      </c>
      <c r="C68" s="337">
        <v>60</v>
      </c>
      <c r="D68" s="338">
        <v>-5.4167695893170301E-6</v>
      </c>
      <c r="E68" s="339">
        <v>0.99999990971999997</v>
      </c>
      <c r="F68" s="337">
        <v>60</v>
      </c>
      <c r="G68" s="338">
        <v>35</v>
      </c>
      <c r="H68" s="340">
        <v>5</v>
      </c>
      <c r="I68" s="337">
        <v>35</v>
      </c>
      <c r="J68" s="338">
        <v>3.5527136788005003E-14</v>
      </c>
      <c r="K68" s="341">
        <v>0.58333333333299997</v>
      </c>
    </row>
    <row r="69" spans="1:11" ht="14.4" customHeight="1" thickBot="1" x14ac:dyDescent="0.35">
      <c r="A69" s="354" t="s">
        <v>241</v>
      </c>
      <c r="B69" s="332">
        <v>60.000005416769</v>
      </c>
      <c r="C69" s="332">
        <v>60</v>
      </c>
      <c r="D69" s="333">
        <v>-5.4167695893170301E-6</v>
      </c>
      <c r="E69" s="334">
        <v>0.99999990971999997</v>
      </c>
      <c r="F69" s="332">
        <v>60</v>
      </c>
      <c r="G69" s="333">
        <v>35</v>
      </c>
      <c r="H69" s="335">
        <v>5</v>
      </c>
      <c r="I69" s="332">
        <v>35</v>
      </c>
      <c r="J69" s="333">
        <v>3.5527136788005003E-14</v>
      </c>
      <c r="K69" s="336">
        <v>0.58333333333299997</v>
      </c>
    </row>
    <row r="70" spans="1:11" ht="14.4" customHeight="1" thickBot="1" x14ac:dyDescent="0.35">
      <c r="A70" s="353" t="s">
        <v>242</v>
      </c>
      <c r="B70" s="337">
        <v>6.0000005416760001</v>
      </c>
      <c r="C70" s="337">
        <v>0</v>
      </c>
      <c r="D70" s="338">
        <v>-6.0000005416760001</v>
      </c>
      <c r="E70" s="339">
        <v>0</v>
      </c>
      <c r="F70" s="337">
        <v>6</v>
      </c>
      <c r="G70" s="338">
        <v>3.5</v>
      </c>
      <c r="H70" s="340">
        <v>0</v>
      </c>
      <c r="I70" s="337">
        <v>0</v>
      </c>
      <c r="J70" s="338">
        <v>-3.5</v>
      </c>
      <c r="K70" s="341">
        <v>0</v>
      </c>
    </row>
    <row r="71" spans="1:11" ht="14.4" customHeight="1" thickBot="1" x14ac:dyDescent="0.35">
      <c r="A71" s="354" t="s">
        <v>243</v>
      </c>
      <c r="B71" s="332">
        <v>6.0000005416760001</v>
      </c>
      <c r="C71" s="332">
        <v>0</v>
      </c>
      <c r="D71" s="333">
        <v>-6.0000005416760001</v>
      </c>
      <c r="E71" s="334">
        <v>0</v>
      </c>
      <c r="F71" s="332">
        <v>6</v>
      </c>
      <c r="G71" s="333">
        <v>3.5</v>
      </c>
      <c r="H71" s="335">
        <v>0</v>
      </c>
      <c r="I71" s="332">
        <v>0</v>
      </c>
      <c r="J71" s="333">
        <v>-3.5</v>
      </c>
      <c r="K71" s="336">
        <v>0</v>
      </c>
    </row>
    <row r="72" spans="1:11" ht="14.4" customHeight="1" thickBot="1" x14ac:dyDescent="0.35">
      <c r="A72" s="352" t="s">
        <v>244</v>
      </c>
      <c r="B72" s="332">
        <v>694.00006265396905</v>
      </c>
      <c r="C72" s="332">
        <v>763.75121000000001</v>
      </c>
      <c r="D72" s="333">
        <v>69.751147346031004</v>
      </c>
      <c r="E72" s="334">
        <v>1.100505966929</v>
      </c>
      <c r="F72" s="332">
        <v>721.99999999999898</v>
      </c>
      <c r="G72" s="333">
        <v>421.166666666666</v>
      </c>
      <c r="H72" s="335">
        <v>94.231390000000005</v>
      </c>
      <c r="I72" s="332">
        <v>479.7516</v>
      </c>
      <c r="J72" s="333">
        <v>58.584933333334</v>
      </c>
      <c r="K72" s="336">
        <v>0.66447590027699999</v>
      </c>
    </row>
    <row r="73" spans="1:11" ht="14.4" customHeight="1" thickBot="1" x14ac:dyDescent="0.35">
      <c r="A73" s="353" t="s">
        <v>245</v>
      </c>
      <c r="B73" s="337">
        <v>184.00001661142699</v>
      </c>
      <c r="C73" s="337">
        <v>202.16917000000001</v>
      </c>
      <c r="D73" s="338">
        <v>18.169153388573001</v>
      </c>
      <c r="E73" s="339">
        <v>1.098745389936</v>
      </c>
      <c r="F73" s="337">
        <v>190.99999999999901</v>
      </c>
      <c r="G73" s="338">
        <v>111.416666666666</v>
      </c>
      <c r="H73" s="340">
        <v>24.943390000000001</v>
      </c>
      <c r="I73" s="337">
        <v>126.99258</v>
      </c>
      <c r="J73" s="338">
        <v>15.575913333333</v>
      </c>
      <c r="K73" s="341">
        <v>0.664882617801</v>
      </c>
    </row>
    <row r="74" spans="1:11" ht="14.4" customHeight="1" thickBot="1" x14ac:dyDescent="0.35">
      <c r="A74" s="354" t="s">
        <v>246</v>
      </c>
      <c r="B74" s="332">
        <v>184.00001661142699</v>
      </c>
      <c r="C74" s="332">
        <v>202.16917000000001</v>
      </c>
      <c r="D74" s="333">
        <v>18.169153388573001</v>
      </c>
      <c r="E74" s="334">
        <v>1.098745389936</v>
      </c>
      <c r="F74" s="332">
        <v>190.99999999999901</v>
      </c>
      <c r="G74" s="333">
        <v>111.416666666666</v>
      </c>
      <c r="H74" s="335">
        <v>24.943390000000001</v>
      </c>
      <c r="I74" s="332">
        <v>126.99258</v>
      </c>
      <c r="J74" s="333">
        <v>15.575913333333</v>
      </c>
      <c r="K74" s="336">
        <v>0.664882617801</v>
      </c>
    </row>
    <row r="75" spans="1:11" ht="14.4" customHeight="1" thickBot="1" x14ac:dyDescent="0.35">
      <c r="A75" s="353" t="s">
        <v>247</v>
      </c>
      <c r="B75" s="337">
        <v>510.00004604254201</v>
      </c>
      <c r="C75" s="337">
        <v>561.58204000000001</v>
      </c>
      <c r="D75" s="338">
        <v>51.581993957458003</v>
      </c>
      <c r="E75" s="339">
        <v>1.101141155491</v>
      </c>
      <c r="F75" s="337">
        <v>531</v>
      </c>
      <c r="G75" s="338">
        <v>309.75</v>
      </c>
      <c r="H75" s="340">
        <v>69.287999999999997</v>
      </c>
      <c r="I75" s="337">
        <v>352.75902000000002</v>
      </c>
      <c r="J75" s="338">
        <v>43.00902</v>
      </c>
      <c r="K75" s="341">
        <v>0.66432960451900003</v>
      </c>
    </row>
    <row r="76" spans="1:11" ht="14.4" customHeight="1" thickBot="1" x14ac:dyDescent="0.35">
      <c r="A76" s="354" t="s">
        <v>248</v>
      </c>
      <c r="B76" s="332">
        <v>510.00004604254201</v>
      </c>
      <c r="C76" s="332">
        <v>561.58204000000001</v>
      </c>
      <c r="D76" s="333">
        <v>51.581993957458003</v>
      </c>
      <c r="E76" s="334">
        <v>1.101141155491</v>
      </c>
      <c r="F76" s="332">
        <v>531</v>
      </c>
      <c r="G76" s="333">
        <v>309.75</v>
      </c>
      <c r="H76" s="335">
        <v>69.287999999999997</v>
      </c>
      <c r="I76" s="332">
        <v>352.75902000000002</v>
      </c>
      <c r="J76" s="333">
        <v>43.00902</v>
      </c>
      <c r="K76" s="336">
        <v>0.66432960451900003</v>
      </c>
    </row>
    <row r="77" spans="1:11" ht="14.4" customHeight="1" thickBot="1" x14ac:dyDescent="0.35">
      <c r="A77" s="352" t="s">
        <v>249</v>
      </c>
      <c r="B77" s="332">
        <v>31.000002798663999</v>
      </c>
      <c r="C77" s="332">
        <v>32.792050000000003</v>
      </c>
      <c r="D77" s="333">
        <v>1.792047201335</v>
      </c>
      <c r="E77" s="334">
        <v>1.0578079690169999</v>
      </c>
      <c r="F77" s="332">
        <v>43</v>
      </c>
      <c r="G77" s="333">
        <v>25.083333333333002</v>
      </c>
      <c r="H77" s="335">
        <v>5.4434199999999997</v>
      </c>
      <c r="I77" s="332">
        <v>27.523199999999999</v>
      </c>
      <c r="J77" s="333">
        <v>2.4398666666660001</v>
      </c>
      <c r="K77" s="336">
        <v>0.64007441860400005</v>
      </c>
    </row>
    <row r="78" spans="1:11" ht="14.4" customHeight="1" thickBot="1" x14ac:dyDescent="0.35">
      <c r="A78" s="353" t="s">
        <v>250</v>
      </c>
      <c r="B78" s="337">
        <v>31.000002798663999</v>
      </c>
      <c r="C78" s="337">
        <v>32.792050000000003</v>
      </c>
      <c r="D78" s="338">
        <v>1.792047201335</v>
      </c>
      <c r="E78" s="339">
        <v>1.0578079690169999</v>
      </c>
      <c r="F78" s="337">
        <v>43</v>
      </c>
      <c r="G78" s="338">
        <v>25.083333333333002</v>
      </c>
      <c r="H78" s="340">
        <v>5.4434199999999997</v>
      </c>
      <c r="I78" s="337">
        <v>27.523199999999999</v>
      </c>
      <c r="J78" s="338">
        <v>2.4398666666660001</v>
      </c>
      <c r="K78" s="341">
        <v>0.64007441860400005</v>
      </c>
    </row>
    <row r="79" spans="1:11" ht="14.4" customHeight="1" thickBot="1" x14ac:dyDescent="0.35">
      <c r="A79" s="354" t="s">
        <v>251</v>
      </c>
      <c r="B79" s="332">
        <v>31.000002798663999</v>
      </c>
      <c r="C79" s="332">
        <v>32.792050000000003</v>
      </c>
      <c r="D79" s="333">
        <v>1.792047201335</v>
      </c>
      <c r="E79" s="334">
        <v>1.0578079690169999</v>
      </c>
      <c r="F79" s="332">
        <v>43</v>
      </c>
      <c r="G79" s="333">
        <v>25.083333333333002</v>
      </c>
      <c r="H79" s="335">
        <v>5.4434199999999997</v>
      </c>
      <c r="I79" s="332">
        <v>27.523199999999999</v>
      </c>
      <c r="J79" s="333">
        <v>2.4398666666660001</v>
      </c>
      <c r="K79" s="336">
        <v>0.64007441860400005</v>
      </c>
    </row>
    <row r="80" spans="1:11" ht="14.4" customHeight="1" thickBot="1" x14ac:dyDescent="0.35">
      <c r="A80" s="351" t="s">
        <v>252</v>
      </c>
      <c r="B80" s="332">
        <v>0</v>
      </c>
      <c r="C80" s="332">
        <v>0</v>
      </c>
      <c r="D80" s="333">
        <v>0</v>
      </c>
      <c r="E80" s="334">
        <v>1</v>
      </c>
      <c r="F80" s="332">
        <v>0</v>
      </c>
      <c r="G80" s="333">
        <v>0</v>
      </c>
      <c r="H80" s="335">
        <v>0</v>
      </c>
      <c r="I80" s="332">
        <v>1</v>
      </c>
      <c r="J80" s="333">
        <v>1</v>
      </c>
      <c r="K80" s="342" t="s">
        <v>191</v>
      </c>
    </row>
    <row r="81" spans="1:11" ht="14.4" customHeight="1" thickBot="1" x14ac:dyDescent="0.35">
      <c r="A81" s="352" t="s">
        <v>253</v>
      </c>
      <c r="B81" s="332">
        <v>0</v>
      </c>
      <c r="C81" s="332">
        <v>0</v>
      </c>
      <c r="D81" s="333">
        <v>0</v>
      </c>
      <c r="E81" s="334">
        <v>1</v>
      </c>
      <c r="F81" s="332">
        <v>0</v>
      </c>
      <c r="G81" s="333">
        <v>0</v>
      </c>
      <c r="H81" s="335">
        <v>0</v>
      </c>
      <c r="I81" s="332">
        <v>1</v>
      </c>
      <c r="J81" s="333">
        <v>1</v>
      </c>
      <c r="K81" s="342" t="s">
        <v>191</v>
      </c>
    </row>
    <row r="82" spans="1:11" ht="14.4" customHeight="1" thickBot="1" x14ac:dyDescent="0.35">
      <c r="A82" s="353" t="s">
        <v>254</v>
      </c>
      <c r="B82" s="337">
        <v>0</v>
      </c>
      <c r="C82" s="337">
        <v>0</v>
      </c>
      <c r="D82" s="338">
        <v>0</v>
      </c>
      <c r="E82" s="339">
        <v>1</v>
      </c>
      <c r="F82" s="337">
        <v>0</v>
      </c>
      <c r="G82" s="338">
        <v>0</v>
      </c>
      <c r="H82" s="340">
        <v>0</v>
      </c>
      <c r="I82" s="337">
        <v>1</v>
      </c>
      <c r="J82" s="338">
        <v>1</v>
      </c>
      <c r="K82" s="344" t="s">
        <v>191</v>
      </c>
    </row>
    <row r="83" spans="1:11" ht="14.4" customHeight="1" thickBot="1" x14ac:dyDescent="0.35">
      <c r="A83" s="354" t="s">
        <v>255</v>
      </c>
      <c r="B83" s="332">
        <v>0</v>
      </c>
      <c r="C83" s="332">
        <v>0</v>
      </c>
      <c r="D83" s="333">
        <v>0</v>
      </c>
      <c r="E83" s="334">
        <v>1</v>
      </c>
      <c r="F83" s="332">
        <v>0</v>
      </c>
      <c r="G83" s="333">
        <v>0</v>
      </c>
      <c r="H83" s="335">
        <v>0</v>
      </c>
      <c r="I83" s="332">
        <v>1</v>
      </c>
      <c r="J83" s="333">
        <v>1</v>
      </c>
      <c r="K83" s="342" t="s">
        <v>191</v>
      </c>
    </row>
    <row r="84" spans="1:11" ht="14.4" customHeight="1" thickBot="1" x14ac:dyDescent="0.35">
      <c r="A84" s="351" t="s">
        <v>256</v>
      </c>
      <c r="B84" s="332">
        <v>0</v>
      </c>
      <c r="C84" s="332">
        <v>19.7302</v>
      </c>
      <c r="D84" s="333">
        <v>19.7302</v>
      </c>
      <c r="E84" s="343" t="s">
        <v>180</v>
      </c>
      <c r="F84" s="332">
        <v>0</v>
      </c>
      <c r="G84" s="333">
        <v>0</v>
      </c>
      <c r="H84" s="335">
        <v>0</v>
      </c>
      <c r="I84" s="332">
        <v>12.5</v>
      </c>
      <c r="J84" s="333">
        <v>12.5</v>
      </c>
      <c r="K84" s="342" t="s">
        <v>180</v>
      </c>
    </row>
    <row r="85" spans="1:11" ht="14.4" customHeight="1" thickBot="1" x14ac:dyDescent="0.35">
      <c r="A85" s="352" t="s">
        <v>257</v>
      </c>
      <c r="B85" s="332">
        <v>0</v>
      </c>
      <c r="C85" s="332">
        <v>0</v>
      </c>
      <c r="D85" s="333">
        <v>0</v>
      </c>
      <c r="E85" s="334">
        <v>1</v>
      </c>
      <c r="F85" s="332">
        <v>0</v>
      </c>
      <c r="G85" s="333">
        <v>0</v>
      </c>
      <c r="H85" s="335">
        <v>0</v>
      </c>
      <c r="I85" s="332">
        <v>4</v>
      </c>
      <c r="J85" s="333">
        <v>4</v>
      </c>
      <c r="K85" s="342" t="s">
        <v>191</v>
      </c>
    </row>
    <row r="86" spans="1:11" ht="14.4" customHeight="1" thickBot="1" x14ac:dyDescent="0.35">
      <c r="A86" s="353" t="s">
        <v>258</v>
      </c>
      <c r="B86" s="337">
        <v>0</v>
      </c>
      <c r="C86" s="337">
        <v>0</v>
      </c>
      <c r="D86" s="338">
        <v>0</v>
      </c>
      <c r="E86" s="339">
        <v>1</v>
      </c>
      <c r="F86" s="337">
        <v>0</v>
      </c>
      <c r="G86" s="338">
        <v>0</v>
      </c>
      <c r="H86" s="340">
        <v>0</v>
      </c>
      <c r="I86" s="337">
        <v>4</v>
      </c>
      <c r="J86" s="338">
        <v>4</v>
      </c>
      <c r="K86" s="344" t="s">
        <v>191</v>
      </c>
    </row>
    <row r="87" spans="1:11" ht="14.4" customHeight="1" thickBot="1" x14ac:dyDescent="0.35">
      <c r="A87" s="354" t="s">
        <v>259</v>
      </c>
      <c r="B87" s="332">
        <v>0</v>
      </c>
      <c r="C87" s="332">
        <v>0</v>
      </c>
      <c r="D87" s="333">
        <v>0</v>
      </c>
      <c r="E87" s="334">
        <v>1</v>
      </c>
      <c r="F87" s="332">
        <v>0</v>
      </c>
      <c r="G87" s="333">
        <v>0</v>
      </c>
      <c r="H87" s="335">
        <v>0</v>
      </c>
      <c r="I87" s="332">
        <v>4</v>
      </c>
      <c r="J87" s="333">
        <v>4</v>
      </c>
      <c r="K87" s="342" t="s">
        <v>191</v>
      </c>
    </row>
    <row r="88" spans="1:11" ht="14.4" customHeight="1" thickBot="1" x14ac:dyDescent="0.35">
      <c r="A88" s="352" t="s">
        <v>260</v>
      </c>
      <c r="B88" s="332">
        <v>0</v>
      </c>
      <c r="C88" s="332">
        <v>19.7302</v>
      </c>
      <c r="D88" s="333">
        <v>19.7302</v>
      </c>
      <c r="E88" s="343" t="s">
        <v>180</v>
      </c>
      <c r="F88" s="332">
        <v>0</v>
      </c>
      <c r="G88" s="333">
        <v>0</v>
      </c>
      <c r="H88" s="335">
        <v>0</v>
      </c>
      <c r="I88" s="332">
        <v>8.5</v>
      </c>
      <c r="J88" s="333">
        <v>8.5</v>
      </c>
      <c r="K88" s="342" t="s">
        <v>180</v>
      </c>
    </row>
    <row r="89" spans="1:11" ht="14.4" customHeight="1" thickBot="1" x14ac:dyDescent="0.35">
      <c r="A89" s="353" t="s">
        <v>261</v>
      </c>
      <c r="B89" s="337">
        <v>0</v>
      </c>
      <c r="C89" s="337">
        <v>18.280200000000001</v>
      </c>
      <c r="D89" s="338">
        <v>18.280200000000001</v>
      </c>
      <c r="E89" s="345" t="s">
        <v>180</v>
      </c>
      <c r="F89" s="337">
        <v>0</v>
      </c>
      <c r="G89" s="338">
        <v>0</v>
      </c>
      <c r="H89" s="340">
        <v>0</v>
      </c>
      <c r="I89" s="337">
        <v>8.5</v>
      </c>
      <c r="J89" s="338">
        <v>8.5</v>
      </c>
      <c r="K89" s="344" t="s">
        <v>180</v>
      </c>
    </row>
    <row r="90" spans="1:11" ht="14.4" customHeight="1" thickBot="1" x14ac:dyDescent="0.35">
      <c r="A90" s="354" t="s">
        <v>262</v>
      </c>
      <c r="B90" s="332">
        <v>0</v>
      </c>
      <c r="C90" s="332">
        <v>0.38719999999999999</v>
      </c>
      <c r="D90" s="333">
        <v>0.38719999999999999</v>
      </c>
      <c r="E90" s="343" t="s">
        <v>191</v>
      </c>
      <c r="F90" s="332">
        <v>0</v>
      </c>
      <c r="G90" s="333">
        <v>0</v>
      </c>
      <c r="H90" s="335">
        <v>0</v>
      </c>
      <c r="I90" s="332">
        <v>0</v>
      </c>
      <c r="J90" s="333">
        <v>0</v>
      </c>
      <c r="K90" s="342" t="s">
        <v>180</v>
      </c>
    </row>
    <row r="91" spans="1:11" ht="14.4" customHeight="1" thickBot="1" x14ac:dyDescent="0.35">
      <c r="A91" s="354" t="s">
        <v>263</v>
      </c>
      <c r="B91" s="332">
        <v>0</v>
      </c>
      <c r="C91" s="332">
        <v>17.562999999999999</v>
      </c>
      <c r="D91" s="333">
        <v>17.562999999999999</v>
      </c>
      <c r="E91" s="343" t="s">
        <v>180</v>
      </c>
      <c r="F91" s="332">
        <v>0</v>
      </c>
      <c r="G91" s="333">
        <v>0</v>
      </c>
      <c r="H91" s="335">
        <v>0</v>
      </c>
      <c r="I91" s="332">
        <v>8.5</v>
      </c>
      <c r="J91" s="333">
        <v>8.5</v>
      </c>
      <c r="K91" s="342" t="s">
        <v>180</v>
      </c>
    </row>
    <row r="92" spans="1:11" ht="14.4" customHeight="1" thickBot="1" x14ac:dyDescent="0.35">
      <c r="A92" s="354" t="s">
        <v>264</v>
      </c>
      <c r="B92" s="332">
        <v>0</v>
      </c>
      <c r="C92" s="332">
        <v>0.33</v>
      </c>
      <c r="D92" s="333">
        <v>0.33</v>
      </c>
      <c r="E92" s="343" t="s">
        <v>180</v>
      </c>
      <c r="F92" s="332">
        <v>0</v>
      </c>
      <c r="G92" s="333">
        <v>0</v>
      </c>
      <c r="H92" s="335">
        <v>0</v>
      </c>
      <c r="I92" s="332">
        <v>0</v>
      </c>
      <c r="J92" s="333">
        <v>0</v>
      </c>
      <c r="K92" s="342" t="s">
        <v>180</v>
      </c>
    </row>
    <row r="93" spans="1:11" ht="14.4" customHeight="1" thickBot="1" x14ac:dyDescent="0.35">
      <c r="A93" s="356" t="s">
        <v>265</v>
      </c>
      <c r="B93" s="332">
        <v>0</v>
      </c>
      <c r="C93" s="332">
        <v>1.45</v>
      </c>
      <c r="D93" s="333">
        <v>1.45</v>
      </c>
      <c r="E93" s="343" t="s">
        <v>180</v>
      </c>
      <c r="F93" s="332">
        <v>0</v>
      </c>
      <c r="G93" s="333">
        <v>0</v>
      </c>
      <c r="H93" s="335">
        <v>0</v>
      </c>
      <c r="I93" s="332">
        <v>0</v>
      </c>
      <c r="J93" s="333">
        <v>0</v>
      </c>
      <c r="K93" s="342" t="s">
        <v>180</v>
      </c>
    </row>
    <row r="94" spans="1:11" ht="14.4" customHeight="1" thickBot="1" x14ac:dyDescent="0.35">
      <c r="A94" s="354" t="s">
        <v>266</v>
      </c>
      <c r="B94" s="332">
        <v>0</v>
      </c>
      <c r="C94" s="332">
        <v>1.45</v>
      </c>
      <c r="D94" s="333">
        <v>1.45</v>
      </c>
      <c r="E94" s="343" t="s">
        <v>180</v>
      </c>
      <c r="F94" s="332">
        <v>0</v>
      </c>
      <c r="G94" s="333">
        <v>0</v>
      </c>
      <c r="H94" s="335">
        <v>0</v>
      </c>
      <c r="I94" s="332">
        <v>0</v>
      </c>
      <c r="J94" s="333">
        <v>0</v>
      </c>
      <c r="K94" s="342" t="s">
        <v>180</v>
      </c>
    </row>
    <row r="95" spans="1:11" ht="14.4" customHeight="1" thickBot="1" x14ac:dyDescent="0.35">
      <c r="A95" s="351" t="s">
        <v>267</v>
      </c>
      <c r="B95" s="332">
        <v>72.000166266695004</v>
      </c>
      <c r="C95" s="332">
        <v>71.256</v>
      </c>
      <c r="D95" s="333">
        <v>-0.74416626669499997</v>
      </c>
      <c r="E95" s="334">
        <v>0.98966438127400003</v>
      </c>
      <c r="F95" s="332">
        <v>72</v>
      </c>
      <c r="G95" s="333">
        <v>42</v>
      </c>
      <c r="H95" s="335">
        <v>6.0229999999999997</v>
      </c>
      <c r="I95" s="332">
        <v>41.65</v>
      </c>
      <c r="J95" s="333">
        <v>-0.35</v>
      </c>
      <c r="K95" s="336">
        <v>0.57847222222200001</v>
      </c>
    </row>
    <row r="96" spans="1:11" ht="14.4" customHeight="1" thickBot="1" x14ac:dyDescent="0.35">
      <c r="A96" s="352" t="s">
        <v>268</v>
      </c>
      <c r="B96" s="332">
        <v>72.000166266695004</v>
      </c>
      <c r="C96" s="332">
        <v>71.256</v>
      </c>
      <c r="D96" s="333">
        <v>-0.74416626669499997</v>
      </c>
      <c r="E96" s="334">
        <v>0.98966438127400003</v>
      </c>
      <c r="F96" s="332">
        <v>72</v>
      </c>
      <c r="G96" s="333">
        <v>42</v>
      </c>
      <c r="H96" s="335">
        <v>6.0229999999999997</v>
      </c>
      <c r="I96" s="332">
        <v>41.65</v>
      </c>
      <c r="J96" s="333">
        <v>-0.35</v>
      </c>
      <c r="K96" s="336">
        <v>0.57847222222200001</v>
      </c>
    </row>
    <row r="97" spans="1:11" ht="14.4" customHeight="1" thickBot="1" x14ac:dyDescent="0.35">
      <c r="A97" s="353" t="s">
        <v>269</v>
      </c>
      <c r="B97" s="337">
        <v>72.000166266695004</v>
      </c>
      <c r="C97" s="337">
        <v>71.256</v>
      </c>
      <c r="D97" s="338">
        <v>-0.74416626669499997</v>
      </c>
      <c r="E97" s="339">
        <v>0.98966438127400003</v>
      </c>
      <c r="F97" s="337">
        <v>72</v>
      </c>
      <c r="G97" s="338">
        <v>42</v>
      </c>
      <c r="H97" s="340">
        <v>6.0229999999999997</v>
      </c>
      <c r="I97" s="337">
        <v>41.65</v>
      </c>
      <c r="J97" s="338">
        <v>-0.35</v>
      </c>
      <c r="K97" s="341">
        <v>0.57847222222200001</v>
      </c>
    </row>
    <row r="98" spans="1:11" ht="14.4" customHeight="1" thickBot="1" x14ac:dyDescent="0.35">
      <c r="A98" s="354" t="s">
        <v>270</v>
      </c>
      <c r="B98" s="332">
        <v>15.000034638894</v>
      </c>
      <c r="C98" s="332">
        <v>14.58</v>
      </c>
      <c r="D98" s="333">
        <v>-0.420034638894</v>
      </c>
      <c r="E98" s="334">
        <v>0.97199775540400002</v>
      </c>
      <c r="F98" s="332">
        <v>15</v>
      </c>
      <c r="G98" s="333">
        <v>8.75</v>
      </c>
      <c r="H98" s="335">
        <v>1.3009999999999999</v>
      </c>
      <c r="I98" s="332">
        <v>8.5909999999999993</v>
      </c>
      <c r="J98" s="333">
        <v>-0.159</v>
      </c>
      <c r="K98" s="336">
        <v>0.57273333333300003</v>
      </c>
    </row>
    <row r="99" spans="1:11" ht="14.4" customHeight="1" thickBot="1" x14ac:dyDescent="0.35">
      <c r="A99" s="354" t="s">
        <v>271</v>
      </c>
      <c r="B99" s="332">
        <v>57.000131627800002</v>
      </c>
      <c r="C99" s="332">
        <v>56.676000000000002</v>
      </c>
      <c r="D99" s="333">
        <v>-0.32413162779999999</v>
      </c>
      <c r="E99" s="334">
        <v>0.99431349334499997</v>
      </c>
      <c r="F99" s="332">
        <v>57</v>
      </c>
      <c r="G99" s="333">
        <v>33.25</v>
      </c>
      <c r="H99" s="335">
        <v>4.7220000000000004</v>
      </c>
      <c r="I99" s="332">
        <v>33.058999999999997</v>
      </c>
      <c r="J99" s="333">
        <v>-0.191</v>
      </c>
      <c r="K99" s="336">
        <v>0.57998245613999999</v>
      </c>
    </row>
    <row r="100" spans="1:11" ht="14.4" customHeight="1" thickBot="1" x14ac:dyDescent="0.35">
      <c r="A100" s="350" t="s">
        <v>272</v>
      </c>
      <c r="B100" s="332">
        <v>149.91698991823799</v>
      </c>
      <c r="C100" s="332">
        <v>6.1600799999999998</v>
      </c>
      <c r="D100" s="333">
        <v>-143.75690991823799</v>
      </c>
      <c r="E100" s="334">
        <v>4.1089939194000002E-2</v>
      </c>
      <c r="F100" s="332">
        <v>5.2240593417429997</v>
      </c>
      <c r="G100" s="333">
        <v>3.0473679493499999</v>
      </c>
      <c r="H100" s="335">
        <v>0.06</v>
      </c>
      <c r="I100" s="332">
        <v>0.36</v>
      </c>
      <c r="J100" s="333">
        <v>-2.68736794935</v>
      </c>
      <c r="K100" s="336">
        <v>6.8911927765000006E-2</v>
      </c>
    </row>
    <row r="101" spans="1:11" ht="14.4" customHeight="1" thickBot="1" x14ac:dyDescent="0.35">
      <c r="A101" s="351" t="s">
        <v>273</v>
      </c>
      <c r="B101" s="332">
        <v>0.70850209533200004</v>
      </c>
      <c r="C101" s="332">
        <v>0</v>
      </c>
      <c r="D101" s="333">
        <v>-0.70850209533200004</v>
      </c>
      <c r="E101" s="334">
        <v>0</v>
      </c>
      <c r="F101" s="332">
        <v>0</v>
      </c>
      <c r="G101" s="333">
        <v>0</v>
      </c>
      <c r="H101" s="335">
        <v>0</v>
      </c>
      <c r="I101" s="332">
        <v>0</v>
      </c>
      <c r="J101" s="333">
        <v>0</v>
      </c>
      <c r="K101" s="342" t="s">
        <v>180</v>
      </c>
    </row>
    <row r="102" spans="1:11" ht="14.4" customHeight="1" thickBot="1" x14ac:dyDescent="0.35">
      <c r="A102" s="352" t="s">
        <v>274</v>
      </c>
      <c r="B102" s="332">
        <v>0.70850209533200004</v>
      </c>
      <c r="C102" s="332">
        <v>0</v>
      </c>
      <c r="D102" s="333">
        <v>-0.70850209533200004</v>
      </c>
      <c r="E102" s="334">
        <v>0</v>
      </c>
      <c r="F102" s="332">
        <v>0</v>
      </c>
      <c r="G102" s="333">
        <v>0</v>
      </c>
      <c r="H102" s="335">
        <v>0</v>
      </c>
      <c r="I102" s="332">
        <v>0</v>
      </c>
      <c r="J102" s="333">
        <v>0</v>
      </c>
      <c r="K102" s="342" t="s">
        <v>180</v>
      </c>
    </row>
    <row r="103" spans="1:11" ht="14.4" customHeight="1" thickBot="1" x14ac:dyDescent="0.35">
      <c r="A103" s="353" t="s">
        <v>275</v>
      </c>
      <c r="B103" s="337">
        <v>0.70850209533200004</v>
      </c>
      <c r="C103" s="337">
        <v>0</v>
      </c>
      <c r="D103" s="338">
        <v>-0.70850209533200004</v>
      </c>
      <c r="E103" s="339">
        <v>0</v>
      </c>
      <c r="F103" s="337">
        <v>0</v>
      </c>
      <c r="G103" s="338">
        <v>0</v>
      </c>
      <c r="H103" s="340">
        <v>0</v>
      </c>
      <c r="I103" s="337">
        <v>0</v>
      </c>
      <c r="J103" s="338">
        <v>0</v>
      </c>
      <c r="K103" s="341">
        <v>0</v>
      </c>
    </row>
    <row r="104" spans="1:11" ht="14.4" customHeight="1" thickBot="1" x14ac:dyDescent="0.35">
      <c r="A104" s="354" t="s">
        <v>276</v>
      </c>
      <c r="B104" s="332">
        <v>0.70850209533200004</v>
      </c>
      <c r="C104" s="332">
        <v>0</v>
      </c>
      <c r="D104" s="333">
        <v>-0.70850209533200004</v>
      </c>
      <c r="E104" s="334">
        <v>0</v>
      </c>
      <c r="F104" s="332">
        <v>0</v>
      </c>
      <c r="G104" s="333">
        <v>0</v>
      </c>
      <c r="H104" s="335">
        <v>0</v>
      </c>
      <c r="I104" s="332">
        <v>0</v>
      </c>
      <c r="J104" s="333">
        <v>0</v>
      </c>
      <c r="K104" s="336">
        <v>0</v>
      </c>
    </row>
    <row r="105" spans="1:11" ht="14.4" customHeight="1" thickBot="1" x14ac:dyDescent="0.35">
      <c r="A105" s="351" t="s">
        <v>277</v>
      </c>
      <c r="B105" s="332">
        <v>149.20848782290599</v>
      </c>
      <c r="C105" s="332">
        <v>6.1600799999999998</v>
      </c>
      <c r="D105" s="333">
        <v>-143.048407822906</v>
      </c>
      <c r="E105" s="334">
        <v>4.1285050801999998E-2</v>
      </c>
      <c r="F105" s="332">
        <v>5.2240593417429997</v>
      </c>
      <c r="G105" s="333">
        <v>3.0473679493499999</v>
      </c>
      <c r="H105" s="335">
        <v>0.06</v>
      </c>
      <c r="I105" s="332">
        <v>0.36</v>
      </c>
      <c r="J105" s="333">
        <v>-2.68736794935</v>
      </c>
      <c r="K105" s="336">
        <v>6.8911927765000006E-2</v>
      </c>
    </row>
    <row r="106" spans="1:11" ht="14.4" customHeight="1" thickBot="1" x14ac:dyDescent="0.35">
      <c r="A106" s="357" t="s">
        <v>278</v>
      </c>
      <c r="B106" s="337">
        <v>149.20848782290599</v>
      </c>
      <c r="C106" s="337">
        <v>6.1600799999999998</v>
      </c>
      <c r="D106" s="338">
        <v>-143.048407822906</v>
      </c>
      <c r="E106" s="339">
        <v>4.1285050801999998E-2</v>
      </c>
      <c r="F106" s="337">
        <v>5.2240593417429997</v>
      </c>
      <c r="G106" s="338">
        <v>3.0473679493499999</v>
      </c>
      <c r="H106" s="340">
        <v>0.06</v>
      </c>
      <c r="I106" s="337">
        <v>0.36</v>
      </c>
      <c r="J106" s="338">
        <v>-2.68736794935</v>
      </c>
      <c r="K106" s="341">
        <v>6.8911927765000006E-2</v>
      </c>
    </row>
    <row r="107" spans="1:11" ht="14.4" customHeight="1" thickBot="1" x14ac:dyDescent="0.35">
      <c r="A107" s="353" t="s">
        <v>279</v>
      </c>
      <c r="B107" s="337">
        <v>149.20848782290599</v>
      </c>
      <c r="C107" s="337">
        <v>6.1600799999999998</v>
      </c>
      <c r="D107" s="338">
        <v>-143.048407822906</v>
      </c>
      <c r="E107" s="339">
        <v>4.1285050801999998E-2</v>
      </c>
      <c r="F107" s="337">
        <v>5.2240593417429997</v>
      </c>
      <c r="G107" s="338">
        <v>3.0473679493499999</v>
      </c>
      <c r="H107" s="340">
        <v>0.06</v>
      </c>
      <c r="I107" s="337">
        <v>0.36</v>
      </c>
      <c r="J107" s="338">
        <v>-2.68736794935</v>
      </c>
      <c r="K107" s="341">
        <v>6.8911927765000006E-2</v>
      </c>
    </row>
    <row r="108" spans="1:11" ht="14.4" customHeight="1" thickBot="1" x14ac:dyDescent="0.35">
      <c r="A108" s="354" t="s">
        <v>280</v>
      </c>
      <c r="B108" s="332">
        <v>0.80962967675099995</v>
      </c>
      <c r="C108" s="332">
        <v>0.21</v>
      </c>
      <c r="D108" s="333">
        <v>-0.59962967675099998</v>
      </c>
      <c r="E108" s="334">
        <v>0.25937784400699998</v>
      </c>
      <c r="F108" s="332">
        <v>0</v>
      </c>
      <c r="G108" s="333">
        <v>0</v>
      </c>
      <c r="H108" s="335">
        <v>0.06</v>
      </c>
      <c r="I108" s="332">
        <v>0.36</v>
      </c>
      <c r="J108" s="333">
        <v>0.36</v>
      </c>
      <c r="K108" s="342" t="s">
        <v>180</v>
      </c>
    </row>
    <row r="109" spans="1:11" ht="14.4" customHeight="1" thickBot="1" x14ac:dyDescent="0.35">
      <c r="A109" s="354" t="s">
        <v>281</v>
      </c>
      <c r="B109" s="332">
        <v>148.39885814615499</v>
      </c>
      <c r="C109" s="332">
        <v>5.9500799999999998</v>
      </c>
      <c r="D109" s="333">
        <v>-142.44877814615501</v>
      </c>
      <c r="E109" s="334">
        <v>4.0095187215000001E-2</v>
      </c>
      <c r="F109" s="332">
        <v>5.2240593417429997</v>
      </c>
      <c r="G109" s="333">
        <v>3.0473679493499999</v>
      </c>
      <c r="H109" s="335">
        <v>0</v>
      </c>
      <c r="I109" s="332">
        <v>0</v>
      </c>
      <c r="J109" s="333">
        <v>-3.0473679493499999</v>
      </c>
      <c r="K109" s="336">
        <v>0</v>
      </c>
    </row>
    <row r="110" spans="1:11" ht="14.4" customHeight="1" thickBot="1" x14ac:dyDescent="0.35">
      <c r="A110" s="350" t="s">
        <v>282</v>
      </c>
      <c r="B110" s="332">
        <v>501.42696791205799</v>
      </c>
      <c r="C110" s="332">
        <v>495.05142999999998</v>
      </c>
      <c r="D110" s="333">
        <v>-6.3755379120580002</v>
      </c>
      <c r="E110" s="334">
        <v>0.987285211366</v>
      </c>
      <c r="F110" s="332">
        <v>442.79417767830699</v>
      </c>
      <c r="G110" s="333">
        <v>258.296603645679</v>
      </c>
      <c r="H110" s="335">
        <v>47.188780000000001</v>
      </c>
      <c r="I110" s="332">
        <v>269.73469999999998</v>
      </c>
      <c r="J110" s="333">
        <v>11.438096354321001</v>
      </c>
      <c r="K110" s="336">
        <v>0.60916496556900002</v>
      </c>
    </row>
    <row r="111" spans="1:11" ht="14.4" customHeight="1" thickBot="1" x14ac:dyDescent="0.35">
      <c r="A111" s="355" t="s">
        <v>283</v>
      </c>
      <c r="B111" s="337">
        <v>501.42696791205799</v>
      </c>
      <c r="C111" s="337">
        <v>495.05142999999998</v>
      </c>
      <c r="D111" s="338">
        <v>-6.3755379120580002</v>
      </c>
      <c r="E111" s="339">
        <v>0.987285211366</v>
      </c>
      <c r="F111" s="337">
        <v>442.79417767830699</v>
      </c>
      <c r="G111" s="338">
        <v>258.296603645679</v>
      </c>
      <c r="H111" s="340">
        <v>47.188780000000001</v>
      </c>
      <c r="I111" s="337">
        <v>269.73469999999998</v>
      </c>
      <c r="J111" s="338">
        <v>11.438096354321001</v>
      </c>
      <c r="K111" s="341">
        <v>0.60916496556900002</v>
      </c>
    </row>
    <row r="112" spans="1:11" ht="14.4" customHeight="1" thickBot="1" x14ac:dyDescent="0.35">
      <c r="A112" s="357" t="s">
        <v>38</v>
      </c>
      <c r="B112" s="337">
        <v>501.42696791205799</v>
      </c>
      <c r="C112" s="337">
        <v>495.05142999999998</v>
      </c>
      <c r="D112" s="338">
        <v>-6.3755379120580002</v>
      </c>
      <c r="E112" s="339">
        <v>0.987285211366</v>
      </c>
      <c r="F112" s="337">
        <v>442.79417767830699</v>
      </c>
      <c r="G112" s="338">
        <v>258.296603645679</v>
      </c>
      <c r="H112" s="340">
        <v>47.188780000000001</v>
      </c>
      <c r="I112" s="337">
        <v>269.73469999999998</v>
      </c>
      <c r="J112" s="338">
        <v>11.438096354321001</v>
      </c>
      <c r="K112" s="341">
        <v>0.60916496556900002</v>
      </c>
    </row>
    <row r="113" spans="1:11" ht="14.4" customHeight="1" thickBot="1" x14ac:dyDescent="0.35">
      <c r="A113" s="353" t="s">
        <v>284</v>
      </c>
      <c r="B113" s="337">
        <v>42.601398573247003</v>
      </c>
      <c r="C113" s="337">
        <v>15.6295</v>
      </c>
      <c r="D113" s="338">
        <v>-26.971898573247</v>
      </c>
      <c r="E113" s="339">
        <v>0.36687762663700002</v>
      </c>
      <c r="F113" s="337">
        <v>28.454718974555</v>
      </c>
      <c r="G113" s="338">
        <v>16.59858606849</v>
      </c>
      <c r="H113" s="340">
        <v>0</v>
      </c>
      <c r="I113" s="337">
        <v>10.0764</v>
      </c>
      <c r="J113" s="338">
        <v>-6.5221860684899999</v>
      </c>
      <c r="K113" s="341">
        <v>0.35412052422599999</v>
      </c>
    </row>
    <row r="114" spans="1:11" ht="14.4" customHeight="1" thickBot="1" x14ac:dyDescent="0.35">
      <c r="A114" s="354" t="s">
        <v>285</v>
      </c>
      <c r="B114" s="332">
        <v>41.832161039033998</v>
      </c>
      <c r="C114" s="332">
        <v>15.115</v>
      </c>
      <c r="D114" s="333">
        <v>-26.717161039034</v>
      </c>
      <c r="E114" s="334">
        <v>0.36132486643200001</v>
      </c>
      <c r="F114" s="332">
        <v>27.903881028560999</v>
      </c>
      <c r="G114" s="333">
        <v>16.277263933326999</v>
      </c>
      <c r="H114" s="335">
        <v>0</v>
      </c>
      <c r="I114" s="332">
        <v>9.7088999999999999</v>
      </c>
      <c r="J114" s="333">
        <v>-6.5683639333270003</v>
      </c>
      <c r="K114" s="336">
        <v>0.34794084701200001</v>
      </c>
    </row>
    <row r="115" spans="1:11" ht="14.4" customHeight="1" thickBot="1" x14ac:dyDescent="0.35">
      <c r="A115" s="354" t="s">
        <v>286</v>
      </c>
      <c r="B115" s="332">
        <v>0.76923753421200003</v>
      </c>
      <c r="C115" s="332">
        <v>0.51449999999999996</v>
      </c>
      <c r="D115" s="333">
        <v>-0.25473753421200002</v>
      </c>
      <c r="E115" s="334">
        <v>0.66884411786599995</v>
      </c>
      <c r="F115" s="332">
        <v>0.55083794599299996</v>
      </c>
      <c r="G115" s="333">
        <v>0.32132213516199998</v>
      </c>
      <c r="H115" s="335">
        <v>0</v>
      </c>
      <c r="I115" s="332">
        <v>0.36749999999999999</v>
      </c>
      <c r="J115" s="333">
        <v>4.6177864837000003E-2</v>
      </c>
      <c r="K115" s="336">
        <v>0.66716536628000001</v>
      </c>
    </row>
    <row r="116" spans="1:11" ht="14.4" customHeight="1" thickBot="1" x14ac:dyDescent="0.35">
      <c r="A116" s="353" t="s">
        <v>287</v>
      </c>
      <c r="B116" s="337">
        <v>5.3832688803610003</v>
      </c>
      <c r="C116" s="337">
        <v>5.4831000000000003</v>
      </c>
      <c r="D116" s="338">
        <v>9.9831119637999996E-2</v>
      </c>
      <c r="E116" s="339">
        <v>1.0185447024580001</v>
      </c>
      <c r="F116" s="337">
        <v>5.3653403454199999</v>
      </c>
      <c r="G116" s="338">
        <v>3.1297818681609999</v>
      </c>
      <c r="H116" s="340">
        <v>0.44790000000000002</v>
      </c>
      <c r="I116" s="337">
        <v>3.6194999999999999</v>
      </c>
      <c r="J116" s="338">
        <v>0.489718131838</v>
      </c>
      <c r="K116" s="341">
        <v>0.67460771674700004</v>
      </c>
    </row>
    <row r="117" spans="1:11" ht="14.4" customHeight="1" thickBot="1" x14ac:dyDescent="0.35">
      <c r="A117" s="354" t="s">
        <v>288</v>
      </c>
      <c r="B117" s="332">
        <v>5.3832688803610003</v>
      </c>
      <c r="C117" s="332">
        <v>5.4831000000000003</v>
      </c>
      <c r="D117" s="333">
        <v>9.9831119637999996E-2</v>
      </c>
      <c r="E117" s="334">
        <v>1.0185447024580001</v>
      </c>
      <c r="F117" s="332">
        <v>5.3653403454199999</v>
      </c>
      <c r="G117" s="333">
        <v>3.1297818681609999</v>
      </c>
      <c r="H117" s="335">
        <v>0.44790000000000002</v>
      </c>
      <c r="I117" s="332">
        <v>3.6194999999999999</v>
      </c>
      <c r="J117" s="333">
        <v>0.489718131838</v>
      </c>
      <c r="K117" s="336">
        <v>0.67460771674700004</v>
      </c>
    </row>
    <row r="118" spans="1:11" ht="14.4" customHeight="1" thickBot="1" x14ac:dyDescent="0.35">
      <c r="A118" s="353" t="s">
        <v>289</v>
      </c>
      <c r="B118" s="337">
        <v>152.30162555027701</v>
      </c>
      <c r="C118" s="337">
        <v>145.72031999999999</v>
      </c>
      <c r="D118" s="338">
        <v>-6.5813055502770004</v>
      </c>
      <c r="E118" s="339">
        <v>0.95678768675899994</v>
      </c>
      <c r="F118" s="337">
        <v>119.44878591118599</v>
      </c>
      <c r="G118" s="338">
        <v>69.678458448190995</v>
      </c>
      <c r="H118" s="340">
        <v>7.9325299999999999</v>
      </c>
      <c r="I118" s="337">
        <v>56.045900000000003</v>
      </c>
      <c r="J118" s="338">
        <v>-13.632558448192</v>
      </c>
      <c r="K118" s="341">
        <v>0.46920443412099999</v>
      </c>
    </row>
    <row r="119" spans="1:11" ht="14.4" customHeight="1" thickBot="1" x14ac:dyDescent="0.35">
      <c r="A119" s="354" t="s">
        <v>290</v>
      </c>
      <c r="B119" s="332">
        <v>152.30162555027701</v>
      </c>
      <c r="C119" s="332">
        <v>145.72031999999999</v>
      </c>
      <c r="D119" s="333">
        <v>-6.5813055502770004</v>
      </c>
      <c r="E119" s="334">
        <v>0.95678768675899994</v>
      </c>
      <c r="F119" s="332">
        <v>119.44878591118599</v>
      </c>
      <c r="G119" s="333">
        <v>69.678458448190995</v>
      </c>
      <c r="H119" s="335">
        <v>7.9325299999999999</v>
      </c>
      <c r="I119" s="332">
        <v>56.045900000000003</v>
      </c>
      <c r="J119" s="333">
        <v>-13.632558448192</v>
      </c>
      <c r="K119" s="336">
        <v>0.46920443412099999</v>
      </c>
    </row>
    <row r="120" spans="1:11" ht="14.4" customHeight="1" thickBot="1" x14ac:dyDescent="0.35">
      <c r="A120" s="353" t="s">
        <v>291</v>
      </c>
      <c r="B120" s="337">
        <v>0</v>
      </c>
      <c r="C120" s="337">
        <v>15.638</v>
      </c>
      <c r="D120" s="338">
        <v>15.638</v>
      </c>
      <c r="E120" s="345" t="s">
        <v>191</v>
      </c>
      <c r="F120" s="337">
        <v>0</v>
      </c>
      <c r="G120" s="338">
        <v>0</v>
      </c>
      <c r="H120" s="340">
        <v>1.284</v>
      </c>
      <c r="I120" s="337">
        <v>5.77</v>
      </c>
      <c r="J120" s="338">
        <v>5.77</v>
      </c>
      <c r="K120" s="344" t="s">
        <v>191</v>
      </c>
    </row>
    <row r="121" spans="1:11" ht="14.4" customHeight="1" thickBot="1" x14ac:dyDescent="0.35">
      <c r="A121" s="354" t="s">
        <v>292</v>
      </c>
      <c r="B121" s="332">
        <v>0</v>
      </c>
      <c r="C121" s="332">
        <v>15.638</v>
      </c>
      <c r="D121" s="333">
        <v>15.638</v>
      </c>
      <c r="E121" s="343" t="s">
        <v>191</v>
      </c>
      <c r="F121" s="332">
        <v>0</v>
      </c>
      <c r="G121" s="333">
        <v>0</v>
      </c>
      <c r="H121" s="335">
        <v>1.284</v>
      </c>
      <c r="I121" s="332">
        <v>5.77</v>
      </c>
      <c r="J121" s="333">
        <v>5.77</v>
      </c>
      <c r="K121" s="342" t="s">
        <v>191</v>
      </c>
    </row>
    <row r="122" spans="1:11" ht="14.4" customHeight="1" thickBot="1" x14ac:dyDescent="0.35">
      <c r="A122" s="353" t="s">
        <v>293</v>
      </c>
      <c r="B122" s="337">
        <v>301.14067490817098</v>
      </c>
      <c r="C122" s="337">
        <v>312.58051</v>
      </c>
      <c r="D122" s="338">
        <v>11.439835091828</v>
      </c>
      <c r="E122" s="339">
        <v>1.037988342475</v>
      </c>
      <c r="F122" s="337">
        <v>289.52533244714499</v>
      </c>
      <c r="G122" s="338">
        <v>168.88977726083499</v>
      </c>
      <c r="H122" s="340">
        <v>37.524349999999998</v>
      </c>
      <c r="I122" s="337">
        <v>194.22290000000001</v>
      </c>
      <c r="J122" s="338">
        <v>25.333122739164999</v>
      </c>
      <c r="K122" s="341">
        <v>0.67083214569899996</v>
      </c>
    </row>
    <row r="123" spans="1:11" ht="14.4" customHeight="1" thickBot="1" x14ac:dyDescent="0.35">
      <c r="A123" s="354" t="s">
        <v>294</v>
      </c>
      <c r="B123" s="332">
        <v>301.14067490817098</v>
      </c>
      <c r="C123" s="332">
        <v>312.58051</v>
      </c>
      <c r="D123" s="333">
        <v>11.439835091828</v>
      </c>
      <c r="E123" s="334">
        <v>1.037988342475</v>
      </c>
      <c r="F123" s="332">
        <v>289.52533244714499</v>
      </c>
      <c r="G123" s="333">
        <v>168.88977726083499</v>
      </c>
      <c r="H123" s="335">
        <v>37.524349999999998</v>
      </c>
      <c r="I123" s="332">
        <v>194.22290000000001</v>
      </c>
      <c r="J123" s="333">
        <v>25.333122739164999</v>
      </c>
      <c r="K123" s="336">
        <v>0.67083214569899996</v>
      </c>
    </row>
    <row r="124" spans="1:11" ht="14.4" customHeight="1" thickBot="1" x14ac:dyDescent="0.35">
      <c r="A124" s="358"/>
      <c r="B124" s="332">
        <v>-3853.6280916659198</v>
      </c>
      <c r="C124" s="332">
        <v>-4131.4663200000005</v>
      </c>
      <c r="D124" s="333">
        <v>-277.83822833407999</v>
      </c>
      <c r="E124" s="334">
        <v>1.0720978313739999</v>
      </c>
      <c r="F124" s="332">
        <v>-3907.3935390244301</v>
      </c>
      <c r="G124" s="333">
        <v>-2279.31289776425</v>
      </c>
      <c r="H124" s="335">
        <v>-458.16566999999998</v>
      </c>
      <c r="I124" s="332">
        <v>-2527.5777400000002</v>
      </c>
      <c r="J124" s="333">
        <v>-248.26484223575201</v>
      </c>
      <c r="K124" s="336">
        <v>0.64687053268500005</v>
      </c>
    </row>
    <row r="125" spans="1:11" ht="14.4" customHeight="1" thickBot="1" x14ac:dyDescent="0.35">
      <c r="A125" s="359" t="s">
        <v>50</v>
      </c>
      <c r="B125" s="346">
        <v>-3853.6280916659198</v>
      </c>
      <c r="C125" s="346">
        <v>-4131.4663200000005</v>
      </c>
      <c r="D125" s="347">
        <v>-277.83822833407999</v>
      </c>
      <c r="E125" s="348">
        <v>-1.986301531232</v>
      </c>
      <c r="F125" s="346">
        <v>-3907.3935390244301</v>
      </c>
      <c r="G125" s="347">
        <v>-2279.31289776425</v>
      </c>
      <c r="H125" s="346">
        <v>-458.16566999999998</v>
      </c>
      <c r="I125" s="346">
        <v>-2527.5777400000002</v>
      </c>
      <c r="J125" s="347">
        <v>-248.26484223575201</v>
      </c>
      <c r="K125" s="349">
        <v>0.64687053268500005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14" t="s">
        <v>77</v>
      </c>
      <c r="B1" s="315"/>
      <c r="C1" s="315"/>
      <c r="D1" s="315"/>
      <c r="E1" s="315"/>
      <c r="F1" s="315"/>
      <c r="G1" s="285"/>
      <c r="H1" s="316"/>
      <c r="I1" s="316"/>
    </row>
    <row r="2" spans="1:10" ht="14.4" customHeight="1" thickBot="1" x14ac:dyDescent="0.35">
      <c r="A2" s="173" t="s">
        <v>179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55"/>
      <c r="C3" s="254">
        <v>2015</v>
      </c>
      <c r="D3" s="228">
        <v>2016</v>
      </c>
      <c r="E3" s="7"/>
      <c r="F3" s="293">
        <v>2017</v>
      </c>
      <c r="G3" s="311"/>
      <c r="H3" s="311"/>
      <c r="I3" s="294"/>
    </row>
    <row r="4" spans="1:10" ht="14.4" customHeight="1" thickBot="1" x14ac:dyDescent="0.35">
      <c r="A4" s="232" t="s">
        <v>0</v>
      </c>
      <c r="B4" s="233" t="s">
        <v>134</v>
      </c>
      <c r="C4" s="312" t="s">
        <v>55</v>
      </c>
      <c r="D4" s="313"/>
      <c r="E4" s="234"/>
      <c r="F4" s="229" t="s">
        <v>55</v>
      </c>
      <c r="G4" s="230" t="s">
        <v>56</v>
      </c>
      <c r="H4" s="230" t="s">
        <v>52</v>
      </c>
      <c r="I4" s="231" t="s">
        <v>57</v>
      </c>
    </row>
    <row r="5" spans="1:10" ht="14.4" customHeight="1" x14ac:dyDescent="0.3">
      <c r="A5" s="360" t="s">
        <v>295</v>
      </c>
      <c r="B5" s="361" t="s">
        <v>296</v>
      </c>
      <c r="C5" s="362" t="s">
        <v>297</v>
      </c>
      <c r="D5" s="362" t="s">
        <v>297</v>
      </c>
      <c r="E5" s="362"/>
      <c r="F5" s="362" t="s">
        <v>297</v>
      </c>
      <c r="G5" s="362" t="s">
        <v>297</v>
      </c>
      <c r="H5" s="362" t="s">
        <v>297</v>
      </c>
      <c r="I5" s="363" t="s">
        <v>297</v>
      </c>
      <c r="J5" s="364" t="s">
        <v>53</v>
      </c>
    </row>
    <row r="6" spans="1:10" ht="14.4" customHeight="1" x14ac:dyDescent="0.3">
      <c r="A6" s="360" t="s">
        <v>295</v>
      </c>
      <c r="B6" s="361" t="s">
        <v>298</v>
      </c>
      <c r="C6" s="362">
        <v>0.40908999999999995</v>
      </c>
      <c r="D6" s="362">
        <v>0.45740999999999998</v>
      </c>
      <c r="E6" s="362"/>
      <c r="F6" s="362">
        <v>0.41960000000000003</v>
      </c>
      <c r="G6" s="362">
        <v>2.9166665039062498</v>
      </c>
      <c r="H6" s="362">
        <v>-2.4970665039062498</v>
      </c>
      <c r="I6" s="363">
        <v>0.14386286517091884</v>
      </c>
      <c r="J6" s="364" t="s">
        <v>1</v>
      </c>
    </row>
    <row r="7" spans="1:10" ht="14.4" customHeight="1" x14ac:dyDescent="0.3">
      <c r="A7" s="360" t="s">
        <v>295</v>
      </c>
      <c r="B7" s="361" t="s">
        <v>299</v>
      </c>
      <c r="C7" s="362">
        <v>0.40908999999999995</v>
      </c>
      <c r="D7" s="362">
        <v>0.45740999999999998</v>
      </c>
      <c r="E7" s="362"/>
      <c r="F7" s="362">
        <v>0.41960000000000003</v>
      </c>
      <c r="G7" s="362">
        <v>2.9166665039062498</v>
      </c>
      <c r="H7" s="362">
        <v>-2.4970665039062498</v>
      </c>
      <c r="I7" s="363">
        <v>0.14386286517091884</v>
      </c>
      <c r="J7" s="364" t="s">
        <v>300</v>
      </c>
    </row>
    <row r="9" spans="1:10" ht="14.4" customHeight="1" x14ac:dyDescent="0.3">
      <c r="A9" s="360" t="s">
        <v>295</v>
      </c>
      <c r="B9" s="361" t="s">
        <v>296</v>
      </c>
      <c r="C9" s="362" t="s">
        <v>297</v>
      </c>
      <c r="D9" s="362" t="s">
        <v>297</v>
      </c>
      <c r="E9" s="362"/>
      <c r="F9" s="362" t="s">
        <v>297</v>
      </c>
      <c r="G9" s="362" t="s">
        <v>297</v>
      </c>
      <c r="H9" s="362" t="s">
        <v>297</v>
      </c>
      <c r="I9" s="363" t="s">
        <v>297</v>
      </c>
      <c r="J9" s="364" t="s">
        <v>53</v>
      </c>
    </row>
    <row r="10" spans="1:10" ht="14.4" customHeight="1" x14ac:dyDescent="0.3">
      <c r="A10" s="360" t="s">
        <v>301</v>
      </c>
      <c r="B10" s="361" t="s">
        <v>296</v>
      </c>
      <c r="C10" s="362" t="s">
        <v>297</v>
      </c>
      <c r="D10" s="362" t="s">
        <v>297</v>
      </c>
      <c r="E10" s="362"/>
      <c r="F10" s="362" t="s">
        <v>297</v>
      </c>
      <c r="G10" s="362" t="s">
        <v>297</v>
      </c>
      <c r="H10" s="362" t="s">
        <v>297</v>
      </c>
      <c r="I10" s="363" t="s">
        <v>297</v>
      </c>
      <c r="J10" s="364" t="s">
        <v>0</v>
      </c>
    </row>
    <row r="11" spans="1:10" ht="14.4" customHeight="1" x14ac:dyDescent="0.3">
      <c r="A11" s="360" t="s">
        <v>301</v>
      </c>
      <c r="B11" s="361" t="s">
        <v>298</v>
      </c>
      <c r="C11" s="362">
        <v>0.40908999999999995</v>
      </c>
      <c r="D11" s="362">
        <v>0.45740999999999998</v>
      </c>
      <c r="E11" s="362"/>
      <c r="F11" s="362">
        <v>0.41960000000000003</v>
      </c>
      <c r="G11" s="362">
        <v>3</v>
      </c>
      <c r="H11" s="362">
        <v>-2.5804</v>
      </c>
      <c r="I11" s="363">
        <v>0.13986666666666667</v>
      </c>
      <c r="J11" s="364" t="s">
        <v>1</v>
      </c>
    </row>
    <row r="12" spans="1:10" ht="14.4" customHeight="1" x14ac:dyDescent="0.3">
      <c r="A12" s="360" t="s">
        <v>301</v>
      </c>
      <c r="B12" s="361" t="s">
        <v>299</v>
      </c>
      <c r="C12" s="362">
        <v>0.40908999999999995</v>
      </c>
      <c r="D12" s="362">
        <v>0.45740999999999998</v>
      </c>
      <c r="E12" s="362"/>
      <c r="F12" s="362">
        <v>0.41960000000000003</v>
      </c>
      <c r="G12" s="362">
        <v>3</v>
      </c>
      <c r="H12" s="362">
        <v>-2.5804</v>
      </c>
      <c r="I12" s="363">
        <v>0.13986666666666667</v>
      </c>
      <c r="J12" s="364" t="s">
        <v>302</v>
      </c>
    </row>
    <row r="13" spans="1:10" ht="14.4" customHeight="1" x14ac:dyDescent="0.3">
      <c r="A13" s="360" t="s">
        <v>297</v>
      </c>
      <c r="B13" s="361" t="s">
        <v>297</v>
      </c>
      <c r="C13" s="362" t="s">
        <v>297</v>
      </c>
      <c r="D13" s="362" t="s">
        <v>297</v>
      </c>
      <c r="E13" s="362"/>
      <c r="F13" s="362" t="s">
        <v>297</v>
      </c>
      <c r="G13" s="362" t="s">
        <v>297</v>
      </c>
      <c r="H13" s="362" t="s">
        <v>297</v>
      </c>
      <c r="I13" s="363" t="s">
        <v>297</v>
      </c>
      <c r="J13" s="364" t="s">
        <v>303</v>
      </c>
    </row>
    <row r="14" spans="1:10" ht="14.4" customHeight="1" x14ac:dyDescent="0.3">
      <c r="A14" s="360" t="s">
        <v>295</v>
      </c>
      <c r="B14" s="361" t="s">
        <v>299</v>
      </c>
      <c r="C14" s="362">
        <v>0.40908999999999995</v>
      </c>
      <c r="D14" s="362">
        <v>0.45740999999999998</v>
      </c>
      <c r="E14" s="362"/>
      <c r="F14" s="362">
        <v>0.41960000000000003</v>
      </c>
      <c r="G14" s="362">
        <v>3</v>
      </c>
      <c r="H14" s="362">
        <v>-2.5804</v>
      </c>
      <c r="I14" s="363">
        <v>0.13986666666666667</v>
      </c>
      <c r="J14" s="364" t="s">
        <v>300</v>
      </c>
    </row>
  </sheetData>
  <mergeCells count="3">
    <mergeCell ref="F3:I3"/>
    <mergeCell ref="C4:D4"/>
    <mergeCell ref="A1:I1"/>
  </mergeCells>
  <conditionalFormatting sqref="F8 F15:F65537">
    <cfRule type="cellIs" dxfId="42" priority="18" stopIfTrue="1" operator="greaterThan">
      <formula>1</formula>
    </cfRule>
  </conditionalFormatting>
  <conditionalFormatting sqref="H5:H7">
    <cfRule type="expression" dxfId="41" priority="14">
      <formula>$H5&gt;0</formula>
    </cfRule>
  </conditionalFormatting>
  <conditionalFormatting sqref="I5:I7">
    <cfRule type="expression" dxfId="40" priority="15">
      <formula>$I5&gt;1</formula>
    </cfRule>
  </conditionalFormatting>
  <conditionalFormatting sqref="B5:B7">
    <cfRule type="expression" dxfId="39" priority="11">
      <formula>OR($J5="NS",$J5="SumaNS",$J5="Účet")</formula>
    </cfRule>
  </conditionalFormatting>
  <conditionalFormatting sqref="B5:D7 F5:I7">
    <cfRule type="expression" dxfId="38" priority="17">
      <formula>AND($J5&lt;&gt;"",$J5&lt;&gt;"mezeraKL")</formula>
    </cfRule>
  </conditionalFormatting>
  <conditionalFormatting sqref="B5:D7 F5:I7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6" priority="13">
      <formula>OR($J5="SumaNS",$J5="NS")</formula>
    </cfRule>
  </conditionalFormatting>
  <conditionalFormatting sqref="A5:A7">
    <cfRule type="expression" dxfId="35" priority="9">
      <formula>AND($J5&lt;&gt;"mezeraKL",$J5&lt;&gt;"")</formula>
    </cfRule>
  </conditionalFormatting>
  <conditionalFormatting sqref="A5:A7">
    <cfRule type="expression" dxfId="34" priority="10">
      <formula>AND($J5&lt;&gt;"",$J5&lt;&gt;"mezeraKL")</formula>
    </cfRule>
  </conditionalFormatting>
  <conditionalFormatting sqref="H9:H14">
    <cfRule type="expression" dxfId="33" priority="5">
      <formula>$H9&gt;0</formula>
    </cfRule>
  </conditionalFormatting>
  <conditionalFormatting sqref="A9:A14">
    <cfRule type="expression" dxfId="32" priority="2">
      <formula>AND($J9&lt;&gt;"mezeraKL",$J9&lt;&gt;"")</formula>
    </cfRule>
  </conditionalFormatting>
  <conditionalFormatting sqref="I9:I14">
    <cfRule type="expression" dxfId="31" priority="6">
      <formula>$I9&gt;1</formula>
    </cfRule>
  </conditionalFormatting>
  <conditionalFormatting sqref="B9:B14">
    <cfRule type="expression" dxfId="30" priority="1">
      <formula>OR($J9="NS",$J9="SumaNS",$J9="Účet")</formula>
    </cfRule>
  </conditionalFormatting>
  <conditionalFormatting sqref="A9:D14 F9:I14">
    <cfRule type="expression" dxfId="29" priority="8">
      <formula>AND($J9&lt;&gt;"",$J9&lt;&gt;"mezeraKL")</formula>
    </cfRule>
  </conditionalFormatting>
  <conditionalFormatting sqref="B9:D14 F9:I14">
    <cfRule type="expression" dxfId="28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76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321" t="s">
        <v>93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14.4" customHeight="1" thickBot="1" x14ac:dyDescent="0.35">
      <c r="A2" s="173" t="s">
        <v>179</v>
      </c>
      <c r="B2" s="57"/>
      <c r="C2" s="165"/>
      <c r="D2" s="165"/>
      <c r="E2" s="275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317"/>
      <c r="D3" s="318"/>
      <c r="E3" s="318"/>
      <c r="F3" s="318"/>
      <c r="G3" s="318"/>
      <c r="H3" s="318"/>
      <c r="I3" s="318"/>
      <c r="J3" s="319" t="s">
        <v>75</v>
      </c>
      <c r="K3" s="320"/>
      <c r="L3" s="71">
        <f>IF(M3&lt;&gt;0,N3/M3,0)</f>
        <v>69.934060526102513</v>
      </c>
      <c r="M3" s="71">
        <f>SUBTOTAL(9,M5:M1048576)</f>
        <v>6</v>
      </c>
      <c r="N3" s="72">
        <f>SUBTOTAL(9,N5:N1048576)</f>
        <v>419.60436315661508</v>
      </c>
    </row>
    <row r="4" spans="1:14" s="162" customFormat="1" ht="14.4" customHeight="1" thickBot="1" x14ac:dyDescent="0.35">
      <c r="A4" s="365" t="s">
        <v>3</v>
      </c>
      <c r="B4" s="366" t="s">
        <v>4</v>
      </c>
      <c r="C4" s="366" t="s">
        <v>0</v>
      </c>
      <c r="D4" s="366" t="s">
        <v>5</v>
      </c>
      <c r="E4" s="367" t="s">
        <v>6</v>
      </c>
      <c r="F4" s="366" t="s">
        <v>1</v>
      </c>
      <c r="G4" s="366" t="s">
        <v>7</v>
      </c>
      <c r="H4" s="366" t="s">
        <v>8</v>
      </c>
      <c r="I4" s="366" t="s">
        <v>9</v>
      </c>
      <c r="J4" s="368" t="s">
        <v>10</v>
      </c>
      <c r="K4" s="368" t="s">
        <v>11</v>
      </c>
      <c r="L4" s="369" t="s">
        <v>81</v>
      </c>
      <c r="M4" s="369" t="s">
        <v>12</v>
      </c>
      <c r="N4" s="370" t="s">
        <v>89</v>
      </c>
    </row>
    <row r="5" spans="1:14" ht="14.4" customHeight="1" x14ac:dyDescent="0.3">
      <c r="A5" s="371" t="s">
        <v>295</v>
      </c>
      <c r="B5" s="372" t="s">
        <v>296</v>
      </c>
      <c r="C5" s="373" t="s">
        <v>301</v>
      </c>
      <c r="D5" s="374" t="s">
        <v>296</v>
      </c>
      <c r="E5" s="375">
        <v>50113001</v>
      </c>
      <c r="F5" s="374" t="s">
        <v>304</v>
      </c>
      <c r="G5" s="373" t="s">
        <v>305</v>
      </c>
      <c r="H5" s="373">
        <v>500979</v>
      </c>
      <c r="I5" s="373">
        <v>0</v>
      </c>
      <c r="J5" s="373" t="s">
        <v>306</v>
      </c>
      <c r="K5" s="373" t="s">
        <v>297</v>
      </c>
      <c r="L5" s="376">
        <v>52.149978030293653</v>
      </c>
      <c r="M5" s="376">
        <v>2</v>
      </c>
      <c r="N5" s="377">
        <v>104.29995606058731</v>
      </c>
    </row>
    <row r="6" spans="1:14" ht="14.4" customHeight="1" thickBot="1" x14ac:dyDescent="0.35">
      <c r="A6" s="378" t="s">
        <v>295</v>
      </c>
      <c r="B6" s="379" t="s">
        <v>296</v>
      </c>
      <c r="C6" s="380" t="s">
        <v>301</v>
      </c>
      <c r="D6" s="381" t="s">
        <v>296</v>
      </c>
      <c r="E6" s="382">
        <v>50113001</v>
      </c>
      <c r="F6" s="381" t="s">
        <v>304</v>
      </c>
      <c r="G6" s="380" t="s">
        <v>305</v>
      </c>
      <c r="H6" s="380">
        <v>900321</v>
      </c>
      <c r="I6" s="380">
        <v>0</v>
      </c>
      <c r="J6" s="380" t="s">
        <v>307</v>
      </c>
      <c r="K6" s="380" t="s">
        <v>297</v>
      </c>
      <c r="L6" s="383">
        <v>78.826101774006943</v>
      </c>
      <c r="M6" s="383">
        <v>4</v>
      </c>
      <c r="N6" s="384">
        <v>315.30440709602777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47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322" t="s">
        <v>135</v>
      </c>
      <c r="B1" s="322"/>
      <c r="C1" s="322"/>
      <c r="D1" s="322"/>
      <c r="E1" s="322"/>
      <c r="F1" s="285"/>
      <c r="G1" s="285"/>
      <c r="H1" s="285"/>
      <c r="I1" s="285"/>
      <c r="J1" s="316"/>
      <c r="K1" s="316"/>
      <c r="L1" s="316"/>
      <c r="M1" s="316"/>
      <c r="N1" s="316"/>
      <c r="O1" s="316"/>
      <c r="P1" s="316"/>
      <c r="Q1" s="316"/>
    </row>
    <row r="2" spans="1:17" ht="14.4" customHeight="1" thickBot="1" x14ac:dyDescent="0.35">
      <c r="A2" s="173" t="s">
        <v>179</v>
      </c>
      <c r="B2" s="168"/>
      <c r="C2" s="168"/>
      <c r="D2" s="168"/>
      <c r="E2" s="168"/>
    </row>
    <row r="3" spans="1:17" ht="14.4" customHeight="1" thickBot="1" x14ac:dyDescent="0.35">
      <c r="A3" s="236" t="s">
        <v>2</v>
      </c>
      <c r="B3" s="240">
        <f>SUM(B6:B1048576)</f>
        <v>14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7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" customHeight="1" thickBot="1" x14ac:dyDescent="0.35">
      <c r="A4" s="235"/>
      <c r="B4" s="326" t="s">
        <v>137</v>
      </c>
      <c r="C4" s="327"/>
      <c r="D4" s="327"/>
      <c r="E4" s="328"/>
      <c r="F4" s="323" t="s">
        <v>142</v>
      </c>
      <c r="G4" s="324"/>
      <c r="H4" s="324"/>
      <c r="I4" s="325"/>
      <c r="J4" s="326" t="s">
        <v>143</v>
      </c>
      <c r="K4" s="327"/>
      <c r="L4" s="327"/>
      <c r="M4" s="328"/>
      <c r="N4" s="323" t="s">
        <v>144</v>
      </c>
      <c r="O4" s="324"/>
      <c r="P4" s="324"/>
      <c r="Q4" s="325"/>
    </row>
    <row r="5" spans="1:17" ht="14.4" customHeight="1" thickBot="1" x14ac:dyDescent="0.35">
      <c r="A5" s="385" t="s">
        <v>136</v>
      </c>
      <c r="B5" s="386" t="s">
        <v>138</v>
      </c>
      <c r="C5" s="386" t="s">
        <v>139</v>
      </c>
      <c r="D5" s="386" t="s">
        <v>140</v>
      </c>
      <c r="E5" s="387" t="s">
        <v>141</v>
      </c>
      <c r="F5" s="388" t="s">
        <v>138</v>
      </c>
      <c r="G5" s="389" t="s">
        <v>139</v>
      </c>
      <c r="H5" s="389" t="s">
        <v>140</v>
      </c>
      <c r="I5" s="390" t="s">
        <v>141</v>
      </c>
      <c r="J5" s="386" t="s">
        <v>138</v>
      </c>
      <c r="K5" s="386" t="s">
        <v>139</v>
      </c>
      <c r="L5" s="386" t="s">
        <v>140</v>
      </c>
      <c r="M5" s="387" t="s">
        <v>141</v>
      </c>
      <c r="N5" s="388" t="s">
        <v>138</v>
      </c>
      <c r="O5" s="389" t="s">
        <v>139</v>
      </c>
      <c r="P5" s="389" t="s">
        <v>140</v>
      </c>
      <c r="Q5" s="390" t="s">
        <v>141</v>
      </c>
    </row>
    <row r="6" spans="1:17" ht="14.4" customHeight="1" x14ac:dyDescent="0.3">
      <c r="A6" s="395" t="s">
        <v>308</v>
      </c>
      <c r="B6" s="399"/>
      <c r="C6" s="376"/>
      <c r="D6" s="376"/>
      <c r="E6" s="377"/>
      <c r="F6" s="397"/>
      <c r="G6" s="391"/>
      <c r="H6" s="391"/>
      <c r="I6" s="401"/>
      <c r="J6" s="399"/>
      <c r="K6" s="376"/>
      <c r="L6" s="376"/>
      <c r="M6" s="377"/>
      <c r="N6" s="397"/>
      <c r="O6" s="391"/>
      <c r="P6" s="391"/>
      <c r="Q6" s="392"/>
    </row>
    <row r="7" spans="1:17" ht="14.4" customHeight="1" thickBot="1" x14ac:dyDescent="0.35">
      <c r="A7" s="396" t="s">
        <v>309</v>
      </c>
      <c r="B7" s="400">
        <v>14</v>
      </c>
      <c r="C7" s="383"/>
      <c r="D7" s="383"/>
      <c r="E7" s="384"/>
      <c r="F7" s="398">
        <v>1</v>
      </c>
      <c r="G7" s="393">
        <v>0</v>
      </c>
      <c r="H7" s="393">
        <v>0</v>
      </c>
      <c r="I7" s="402">
        <v>0</v>
      </c>
      <c r="J7" s="400">
        <v>7</v>
      </c>
      <c r="K7" s="383"/>
      <c r="L7" s="383"/>
      <c r="M7" s="384"/>
      <c r="N7" s="398">
        <v>1</v>
      </c>
      <c r="O7" s="393">
        <v>0</v>
      </c>
      <c r="P7" s="393">
        <v>0</v>
      </c>
      <c r="Q7" s="39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14" t="s">
        <v>78</v>
      </c>
      <c r="B1" s="315"/>
      <c r="C1" s="315"/>
      <c r="D1" s="315"/>
      <c r="E1" s="315"/>
      <c r="F1" s="315"/>
      <c r="G1" s="285"/>
      <c r="H1" s="316"/>
      <c r="I1" s="316"/>
    </row>
    <row r="2" spans="1:10" ht="14.4" customHeight="1" thickBot="1" x14ac:dyDescent="0.35">
      <c r="A2" s="173" t="s">
        <v>179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55"/>
      <c r="C3" s="227">
        <v>2015</v>
      </c>
      <c r="D3" s="228">
        <v>2016</v>
      </c>
      <c r="E3" s="7"/>
      <c r="F3" s="293">
        <v>2017</v>
      </c>
      <c r="G3" s="311"/>
      <c r="H3" s="311"/>
      <c r="I3" s="294"/>
    </row>
    <row r="4" spans="1:10" ht="14.4" customHeight="1" thickBot="1" x14ac:dyDescent="0.35">
      <c r="A4" s="232" t="s">
        <v>0</v>
      </c>
      <c r="B4" s="233" t="s">
        <v>134</v>
      </c>
      <c r="C4" s="312" t="s">
        <v>55</v>
      </c>
      <c r="D4" s="313"/>
      <c r="E4" s="234"/>
      <c r="F4" s="229" t="s">
        <v>55</v>
      </c>
      <c r="G4" s="230" t="s">
        <v>56</v>
      </c>
      <c r="H4" s="230" t="s">
        <v>52</v>
      </c>
      <c r="I4" s="231" t="s">
        <v>57</v>
      </c>
    </row>
    <row r="5" spans="1:10" ht="14.4" customHeight="1" x14ac:dyDescent="0.3">
      <c r="A5" s="360" t="s">
        <v>295</v>
      </c>
      <c r="B5" s="361" t="s">
        <v>296</v>
      </c>
      <c r="C5" s="362" t="s">
        <v>297</v>
      </c>
      <c r="D5" s="362" t="s">
        <v>297</v>
      </c>
      <c r="E5" s="362"/>
      <c r="F5" s="362" t="s">
        <v>297</v>
      </c>
      <c r="G5" s="362" t="s">
        <v>297</v>
      </c>
      <c r="H5" s="362" t="s">
        <v>297</v>
      </c>
      <c r="I5" s="363" t="s">
        <v>297</v>
      </c>
      <c r="J5" s="364" t="s">
        <v>53</v>
      </c>
    </row>
    <row r="6" spans="1:10" ht="14.4" customHeight="1" x14ac:dyDescent="0.3">
      <c r="A6" s="360" t="s">
        <v>295</v>
      </c>
      <c r="B6" s="361" t="s">
        <v>310</v>
      </c>
      <c r="C6" s="362">
        <v>31.517600000000002</v>
      </c>
      <c r="D6" s="362">
        <v>37.211959999999998</v>
      </c>
      <c r="E6" s="362"/>
      <c r="F6" s="362">
        <v>35.544979999999995</v>
      </c>
      <c r="G6" s="362">
        <v>35</v>
      </c>
      <c r="H6" s="362">
        <v>0.54497999999999536</v>
      </c>
      <c r="I6" s="363">
        <v>1.015570857142857</v>
      </c>
      <c r="J6" s="364" t="s">
        <v>1</v>
      </c>
    </row>
    <row r="7" spans="1:10" ht="14.4" customHeight="1" x14ac:dyDescent="0.3">
      <c r="A7" s="360" t="s">
        <v>295</v>
      </c>
      <c r="B7" s="361" t="s">
        <v>311</v>
      </c>
      <c r="C7" s="362">
        <v>2.6520999999999999</v>
      </c>
      <c r="D7" s="362">
        <v>2.42</v>
      </c>
      <c r="E7" s="362"/>
      <c r="F7" s="362">
        <v>2.42</v>
      </c>
      <c r="G7" s="362">
        <v>2.3333334960937502</v>
      </c>
      <c r="H7" s="362">
        <v>8.6666503906249748E-2</v>
      </c>
      <c r="I7" s="363">
        <v>1.0371427847975176</v>
      </c>
      <c r="J7" s="364" t="s">
        <v>1</v>
      </c>
    </row>
    <row r="8" spans="1:10" ht="14.4" customHeight="1" x14ac:dyDescent="0.3">
      <c r="A8" s="360" t="s">
        <v>295</v>
      </c>
      <c r="B8" s="361" t="s">
        <v>312</v>
      </c>
      <c r="C8" s="362">
        <v>0.14199999999999999</v>
      </c>
      <c r="D8" s="362">
        <v>0</v>
      </c>
      <c r="E8" s="362"/>
      <c r="F8" s="362">
        <v>0.27600000000000002</v>
      </c>
      <c r="G8" s="362">
        <v>0</v>
      </c>
      <c r="H8" s="362">
        <v>0.27600000000000002</v>
      </c>
      <c r="I8" s="363" t="s">
        <v>297</v>
      </c>
      <c r="J8" s="364" t="s">
        <v>1</v>
      </c>
    </row>
    <row r="9" spans="1:10" ht="14.4" customHeight="1" x14ac:dyDescent="0.3">
      <c r="A9" s="360" t="s">
        <v>295</v>
      </c>
      <c r="B9" s="361" t="s">
        <v>299</v>
      </c>
      <c r="C9" s="362">
        <v>34.311700000000002</v>
      </c>
      <c r="D9" s="362">
        <v>39.631959999999999</v>
      </c>
      <c r="E9" s="362"/>
      <c r="F9" s="362">
        <v>38.24098</v>
      </c>
      <c r="G9" s="362">
        <v>37.333333496093751</v>
      </c>
      <c r="H9" s="362">
        <v>0.90764650390624979</v>
      </c>
      <c r="I9" s="363">
        <v>1.0243119598200685</v>
      </c>
      <c r="J9" s="364" t="s">
        <v>300</v>
      </c>
    </row>
    <row r="11" spans="1:10" ht="14.4" customHeight="1" x14ac:dyDescent="0.3">
      <c r="A11" s="360" t="s">
        <v>295</v>
      </c>
      <c r="B11" s="361" t="s">
        <v>296</v>
      </c>
      <c r="C11" s="362" t="s">
        <v>297</v>
      </c>
      <c r="D11" s="362" t="s">
        <v>297</v>
      </c>
      <c r="E11" s="362"/>
      <c r="F11" s="362" t="s">
        <v>297</v>
      </c>
      <c r="G11" s="362" t="s">
        <v>297</v>
      </c>
      <c r="H11" s="362" t="s">
        <v>297</v>
      </c>
      <c r="I11" s="363" t="s">
        <v>297</v>
      </c>
      <c r="J11" s="364" t="s">
        <v>53</v>
      </c>
    </row>
    <row r="12" spans="1:10" ht="14.4" customHeight="1" x14ac:dyDescent="0.3">
      <c r="A12" s="360" t="s">
        <v>301</v>
      </c>
      <c r="B12" s="361" t="s">
        <v>296</v>
      </c>
      <c r="C12" s="362" t="s">
        <v>297</v>
      </c>
      <c r="D12" s="362" t="s">
        <v>297</v>
      </c>
      <c r="E12" s="362"/>
      <c r="F12" s="362" t="s">
        <v>297</v>
      </c>
      <c r="G12" s="362" t="s">
        <v>297</v>
      </c>
      <c r="H12" s="362" t="s">
        <v>297</v>
      </c>
      <c r="I12" s="363" t="s">
        <v>297</v>
      </c>
      <c r="J12" s="364" t="s">
        <v>0</v>
      </c>
    </row>
    <row r="13" spans="1:10" ht="14.4" customHeight="1" x14ac:dyDescent="0.3">
      <c r="A13" s="360" t="s">
        <v>301</v>
      </c>
      <c r="B13" s="361" t="s">
        <v>310</v>
      </c>
      <c r="C13" s="362">
        <v>31.517600000000002</v>
      </c>
      <c r="D13" s="362">
        <v>37.211959999999998</v>
      </c>
      <c r="E13" s="362"/>
      <c r="F13" s="362">
        <v>35.544979999999995</v>
      </c>
      <c r="G13" s="362">
        <v>35</v>
      </c>
      <c r="H13" s="362">
        <v>0.54497999999999536</v>
      </c>
      <c r="I13" s="363">
        <v>1.015570857142857</v>
      </c>
      <c r="J13" s="364" t="s">
        <v>1</v>
      </c>
    </row>
    <row r="14" spans="1:10" ht="14.4" customHeight="1" x14ac:dyDescent="0.3">
      <c r="A14" s="360" t="s">
        <v>301</v>
      </c>
      <c r="B14" s="361" t="s">
        <v>311</v>
      </c>
      <c r="C14" s="362">
        <v>2.6520999999999999</v>
      </c>
      <c r="D14" s="362">
        <v>2.42</v>
      </c>
      <c r="E14" s="362"/>
      <c r="F14" s="362">
        <v>2.42</v>
      </c>
      <c r="G14" s="362">
        <v>2</v>
      </c>
      <c r="H14" s="362">
        <v>0.41999999999999993</v>
      </c>
      <c r="I14" s="363">
        <v>1.21</v>
      </c>
      <c r="J14" s="364" t="s">
        <v>1</v>
      </c>
    </row>
    <row r="15" spans="1:10" ht="14.4" customHeight="1" x14ac:dyDescent="0.3">
      <c r="A15" s="360" t="s">
        <v>301</v>
      </c>
      <c r="B15" s="361" t="s">
        <v>312</v>
      </c>
      <c r="C15" s="362">
        <v>0.14199999999999999</v>
      </c>
      <c r="D15" s="362">
        <v>0</v>
      </c>
      <c r="E15" s="362"/>
      <c r="F15" s="362">
        <v>0.27600000000000002</v>
      </c>
      <c r="G15" s="362">
        <v>0</v>
      </c>
      <c r="H15" s="362">
        <v>0.27600000000000002</v>
      </c>
      <c r="I15" s="363" t="s">
        <v>297</v>
      </c>
      <c r="J15" s="364" t="s">
        <v>1</v>
      </c>
    </row>
    <row r="16" spans="1:10" ht="14.4" customHeight="1" x14ac:dyDescent="0.3">
      <c r="A16" s="360" t="s">
        <v>301</v>
      </c>
      <c r="B16" s="361" t="s">
        <v>299</v>
      </c>
      <c r="C16" s="362">
        <v>34.311700000000002</v>
      </c>
      <c r="D16" s="362">
        <v>39.631959999999999</v>
      </c>
      <c r="E16" s="362"/>
      <c r="F16" s="362">
        <v>38.24098</v>
      </c>
      <c r="G16" s="362">
        <v>37</v>
      </c>
      <c r="H16" s="362">
        <v>1.2409800000000004</v>
      </c>
      <c r="I16" s="363">
        <v>1.0335399999999999</v>
      </c>
      <c r="J16" s="364" t="s">
        <v>302</v>
      </c>
    </row>
    <row r="17" spans="1:10" ht="14.4" customHeight="1" x14ac:dyDescent="0.3">
      <c r="A17" s="360" t="s">
        <v>297</v>
      </c>
      <c r="B17" s="361" t="s">
        <v>297</v>
      </c>
      <c r="C17" s="362" t="s">
        <v>297</v>
      </c>
      <c r="D17" s="362" t="s">
        <v>297</v>
      </c>
      <c r="E17" s="362"/>
      <c r="F17" s="362" t="s">
        <v>297</v>
      </c>
      <c r="G17" s="362" t="s">
        <v>297</v>
      </c>
      <c r="H17" s="362" t="s">
        <v>297</v>
      </c>
      <c r="I17" s="363" t="s">
        <v>297</v>
      </c>
      <c r="J17" s="364" t="s">
        <v>303</v>
      </c>
    </row>
    <row r="18" spans="1:10" ht="14.4" customHeight="1" x14ac:dyDescent="0.3">
      <c r="A18" s="360" t="s">
        <v>295</v>
      </c>
      <c r="B18" s="361" t="s">
        <v>299</v>
      </c>
      <c r="C18" s="362">
        <v>34.311700000000002</v>
      </c>
      <c r="D18" s="362">
        <v>39.631959999999999</v>
      </c>
      <c r="E18" s="362"/>
      <c r="F18" s="362">
        <v>38.24098</v>
      </c>
      <c r="G18" s="362">
        <v>37</v>
      </c>
      <c r="H18" s="362">
        <v>1.2409800000000004</v>
      </c>
      <c r="I18" s="363">
        <v>1.0335399999999999</v>
      </c>
      <c r="J18" s="364" t="s">
        <v>300</v>
      </c>
    </row>
  </sheetData>
  <mergeCells count="3">
    <mergeCell ref="A1:I1"/>
    <mergeCell ref="F3:I3"/>
    <mergeCell ref="C4:D4"/>
  </mergeCells>
  <conditionalFormatting sqref="F10 F19:F65537">
    <cfRule type="cellIs" dxfId="25" priority="18" stopIfTrue="1" operator="greaterThan">
      <formula>1</formula>
    </cfRule>
  </conditionalFormatting>
  <conditionalFormatting sqref="H5:H9">
    <cfRule type="expression" dxfId="24" priority="14">
      <formula>$H5&gt;0</formula>
    </cfRule>
  </conditionalFormatting>
  <conditionalFormatting sqref="I5:I9">
    <cfRule type="expression" dxfId="23" priority="15">
      <formula>$I5&gt;1</formula>
    </cfRule>
  </conditionalFormatting>
  <conditionalFormatting sqref="B5:B9">
    <cfRule type="expression" dxfId="22" priority="11">
      <formula>OR($J5="NS",$J5="SumaNS",$J5="Účet")</formula>
    </cfRule>
  </conditionalFormatting>
  <conditionalFormatting sqref="F5:I9 B5:D9">
    <cfRule type="expression" dxfId="21" priority="17">
      <formula>AND($J5&lt;&gt;"",$J5&lt;&gt;"mezeraKL")</formula>
    </cfRule>
  </conditionalFormatting>
  <conditionalFormatting sqref="B5:D9 F5:I9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9" priority="13">
      <formula>OR($J5="SumaNS",$J5="NS")</formula>
    </cfRule>
  </conditionalFormatting>
  <conditionalFormatting sqref="A5:A9">
    <cfRule type="expression" dxfId="18" priority="9">
      <formula>AND($J5&lt;&gt;"mezeraKL",$J5&lt;&gt;"")</formula>
    </cfRule>
  </conditionalFormatting>
  <conditionalFormatting sqref="A5:A9">
    <cfRule type="expression" dxfId="17" priority="10">
      <formula>AND($J5&lt;&gt;"",$J5&lt;&gt;"mezeraKL")</formula>
    </cfRule>
  </conditionalFormatting>
  <conditionalFormatting sqref="H11:H18">
    <cfRule type="expression" dxfId="16" priority="6">
      <formula>$H11&gt;0</formula>
    </cfRule>
  </conditionalFormatting>
  <conditionalFormatting sqref="A11:A18">
    <cfRule type="expression" dxfId="15" priority="5">
      <formula>AND($J11&lt;&gt;"mezeraKL",$J11&lt;&gt;"")</formula>
    </cfRule>
  </conditionalFormatting>
  <conditionalFormatting sqref="I11:I18">
    <cfRule type="expression" dxfId="14" priority="7">
      <formula>$I11&gt;1</formula>
    </cfRule>
  </conditionalFormatting>
  <conditionalFormatting sqref="B11:B18">
    <cfRule type="expression" dxfId="13" priority="4">
      <formula>OR($J11="NS",$J11="SumaNS",$J11="Účet")</formula>
    </cfRule>
  </conditionalFormatting>
  <conditionalFormatting sqref="A11:D18 F11:I18">
    <cfRule type="expression" dxfId="12" priority="8">
      <formula>AND($J11&lt;&gt;"",$J11&lt;&gt;"mezeraKL")</formula>
    </cfRule>
  </conditionalFormatting>
  <conditionalFormatting sqref="B11:D18 F11:I18">
    <cfRule type="expression" dxfId="11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10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2017-09-07T11:06:29Z</dcterms:modified>
</cp:coreProperties>
</file>