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Statim" sheetId="427" r:id="rId7"/>
    <sheet name="Materiál Žádanky" sheetId="420" r:id="rId8"/>
    <sheet name="MŽ Detail" sheetId="403" r:id="rId9"/>
    <sheet name="Osobní náklady" sheetId="431" r:id="rId10"/>
    <sheet name="ON Data" sheetId="432" state="hidden" r:id="rId11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Statim'!$A$5:$I$5</definedName>
    <definedName name="_xlnm._FilterDatabase" localSheetId="3" hidden="1">'Man Tab'!$A$5:$A$31</definedName>
    <definedName name="_xlnm._FilterDatabase" localSheetId="7" hidden="1">'Materiál Žádanky'!$A$4:$I$4</definedName>
    <definedName name="_xlnm._FilterDatabase" localSheetId="8" hidden="1">'MŽ Detail'!$A$4:$K$4</definedName>
    <definedName name="doměsíce">#REF!</definedName>
    <definedName name="Obdobi" localSheetId="10">'ON Data'!$B$3:$B$16</definedName>
    <definedName name="Obdobi" localSheetId="9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C13" i="431"/>
  <c r="D10" i="431"/>
  <c r="D14" i="431"/>
  <c r="E11" i="431"/>
  <c r="E15" i="431"/>
  <c r="F12" i="431"/>
  <c r="G9" i="431"/>
  <c r="G13" i="431"/>
  <c r="H10" i="431"/>
  <c r="H14" i="431"/>
  <c r="I11" i="431"/>
  <c r="I15" i="431"/>
  <c r="J12" i="431"/>
  <c r="K9" i="431"/>
  <c r="K13" i="431"/>
  <c r="L10" i="431"/>
  <c r="L14" i="431"/>
  <c r="M11" i="431"/>
  <c r="M15" i="431"/>
  <c r="N12" i="431"/>
  <c r="O9" i="431"/>
  <c r="O13" i="431"/>
  <c r="P10" i="431"/>
  <c r="P14" i="431"/>
  <c r="Q11" i="431"/>
  <c r="Q15" i="431"/>
  <c r="C10" i="431"/>
  <c r="C14" i="431"/>
  <c r="D11" i="431"/>
  <c r="D15" i="431"/>
  <c r="E12" i="431"/>
  <c r="F9" i="431"/>
  <c r="F13" i="431"/>
  <c r="G10" i="431"/>
  <c r="G14" i="431"/>
  <c r="H11" i="431"/>
  <c r="H15" i="431"/>
  <c r="I12" i="431"/>
  <c r="J9" i="431"/>
  <c r="J13" i="431"/>
  <c r="K10" i="431"/>
  <c r="K14" i="431"/>
  <c r="L11" i="431"/>
  <c r="L15" i="431"/>
  <c r="M12" i="431"/>
  <c r="N9" i="431"/>
  <c r="N13" i="431"/>
  <c r="O10" i="431"/>
  <c r="O14" i="431"/>
  <c r="P11" i="431"/>
  <c r="P15" i="431"/>
  <c r="Q12" i="431"/>
  <c r="C11" i="431"/>
  <c r="C15" i="431"/>
  <c r="D12" i="431"/>
  <c r="E9" i="431"/>
  <c r="E13" i="431"/>
  <c r="F10" i="431"/>
  <c r="F14" i="431"/>
  <c r="G11" i="431"/>
  <c r="G15" i="431"/>
  <c r="H12" i="431"/>
  <c r="I9" i="431"/>
  <c r="I13" i="431"/>
  <c r="J10" i="431"/>
  <c r="J14" i="431"/>
  <c r="K11" i="431"/>
  <c r="K15" i="431"/>
  <c r="L12" i="431"/>
  <c r="M9" i="431"/>
  <c r="M13" i="431"/>
  <c r="N10" i="431"/>
  <c r="N14" i="431"/>
  <c r="O11" i="431"/>
  <c r="O15" i="431"/>
  <c r="P12" i="431"/>
  <c r="Q9" i="431"/>
  <c r="Q13" i="431"/>
  <c r="C12" i="431"/>
  <c r="D9" i="431"/>
  <c r="D13" i="431"/>
  <c r="E10" i="431"/>
  <c r="E14" i="431"/>
  <c r="F11" i="431"/>
  <c r="F15" i="431"/>
  <c r="G12" i="431"/>
  <c r="H9" i="431"/>
  <c r="H13" i="431"/>
  <c r="I10" i="431"/>
  <c r="I14" i="431"/>
  <c r="J11" i="431"/>
  <c r="J15" i="431"/>
  <c r="K12" i="431"/>
  <c r="L9" i="431"/>
  <c r="L13" i="431"/>
  <c r="M10" i="431"/>
  <c r="M14" i="431"/>
  <c r="N11" i="431"/>
  <c r="N15" i="431"/>
  <c r="O12" i="431"/>
  <c r="P9" i="431"/>
  <c r="P13" i="431"/>
  <c r="Q10" i="431"/>
  <c r="Q14" i="431"/>
  <c r="O8" i="431"/>
  <c r="J8" i="431"/>
  <c r="P8" i="431"/>
  <c r="I8" i="431"/>
  <c r="E8" i="431"/>
  <c r="H8" i="431"/>
  <c r="K8" i="431"/>
  <c r="F8" i="431"/>
  <c r="M8" i="431"/>
  <c r="D8" i="431"/>
  <c r="N8" i="431"/>
  <c r="Q8" i="431"/>
  <c r="C8" i="431"/>
  <c r="L8" i="431"/>
  <c r="G8" i="431"/>
  <c r="S14" i="431" l="1"/>
  <c r="R14" i="431"/>
  <c r="S10" i="431"/>
  <c r="R10" i="431"/>
  <c r="S13" i="431"/>
  <c r="R13" i="431"/>
  <c r="S9" i="431"/>
  <c r="R9" i="431"/>
  <c r="R12" i="431"/>
  <c r="S12" i="431"/>
  <c r="S15" i="431"/>
  <c r="R15" i="431"/>
  <c r="S11" i="431"/>
  <c r="R11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E11" i="339" l="1"/>
  <c r="C11" i="339"/>
  <c r="A8" i="414" l="1"/>
  <c r="A7" i="414"/>
  <c r="A11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12" i="383" l="1"/>
  <c r="A10" i="383"/>
  <c r="A7" i="339" l="1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7" i="414" l="1"/>
  <c r="A16" i="414"/>
  <c r="B11" i="339" l="1"/>
  <c r="J11" i="339" s="1"/>
  <c r="I11" i="339" l="1"/>
  <c r="F11" i="339"/>
  <c r="H11" i="339" l="1"/>
  <c r="G11" i="339"/>
  <c r="A12" i="414"/>
  <c r="A13" i="414"/>
  <c r="A4" i="414"/>
  <c r="A6" i="339" l="1"/>
  <c r="A5" i="339"/>
  <c r="C16" i="414"/>
  <c r="C13" i="414"/>
  <c r="D4" i="414"/>
  <c r="D16" i="414"/>
  <c r="D13" i="414"/>
  <c r="C12" i="414" l="1"/>
  <c r="C7" i="414"/>
  <c r="E12" i="414" l="1"/>
  <c r="E7" i="414"/>
  <c r="K3" i="403" l="1"/>
  <c r="J3" i="403"/>
  <c r="I3" i="403" s="1"/>
  <c r="E12" i="339" l="1"/>
  <c r="C12" i="339"/>
  <c r="F12" i="339" s="1"/>
  <c r="B12" i="339"/>
  <c r="J12" i="339" s="1"/>
  <c r="C17" i="414"/>
  <c r="D17" i="414"/>
  <c r="I12" i="339" l="1"/>
  <c r="I13" i="339" s="1"/>
  <c r="F13" i="339"/>
  <c r="E13" i="339"/>
  <c r="E15" i="339" s="1"/>
  <c r="H12" i="339"/>
  <c r="G12" i="339"/>
  <c r="A4" i="383"/>
  <c r="A14" i="383"/>
  <c r="A13" i="383"/>
  <c r="A7" i="383"/>
  <c r="A6" i="383"/>
  <c r="A5" i="383"/>
  <c r="C13" i="339"/>
  <c r="C15" i="339" s="1"/>
  <c r="B13" i="339"/>
  <c r="D15" i="414"/>
  <c r="C4" i="414"/>
  <c r="H13" i="339" l="1"/>
  <c r="F15" i="339"/>
  <c r="J13" i="339"/>
  <c r="B15" i="339"/>
  <c r="E13" i="414"/>
  <c r="E4" i="414"/>
  <c r="G13" i="339"/>
  <c r="G15" i="339" l="1"/>
  <c r="H15" i="339"/>
  <c r="E16" i="414"/>
  <c r="E17" i="414"/>
  <c r="C15" i="414"/>
  <c r="E15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<sst xmlns="http://schemas.openxmlformats.org/spreadsheetml/2006/main" count="656" uniqueCount="337">
  <si>
    <t>NS</t>
  </si>
  <si>
    <t>Účet</t>
  </si>
  <si>
    <t>Celkem</t>
  </si>
  <si>
    <t>Č.kl.</t>
  </si>
  <si>
    <t>Klinika</t>
  </si>
  <si>
    <t>Oddělení</t>
  </si>
  <si>
    <t>Č.účtu</t>
  </si>
  <si>
    <t>Název</t>
  </si>
  <si>
    <t>Mn.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</si>
  <si>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</si>
  <si>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</si>
  <si>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</si>
  <si>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</si>
  <si>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</si>
  <si>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</si>
  <si>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</si>
  <si>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</si>
  <si>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</si>
  <si>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</si>
  <si>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</si>
  <si>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</si>
  <si>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</si>
  <si>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</si>
  <si>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</si>
  <si>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</si>
  <si>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</si>
  <si>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</si>
  <si>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</si>
  <si>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</si>
  <si>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</si>
  <si>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</si>
  <si>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</si>
  <si>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</si>
  <si>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</si>
  <si>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</si>
  <si>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</si>
  <si>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</si>
  <si>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</si>
  <si>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</si>
  <si>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</si>
  <si>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</si>
  <si>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</si>
  <si>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</si>
  <si>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</si>
  <si>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</si>
  <si>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</si>
  <si>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</si>
  <si>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</si>
  <si>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</si>
  <si>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</si>
  <si>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</si>
  <si>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</si>
  <si>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</si>
  <si>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</si>
  <si>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</si>
  <si>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</si>
  <si>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</si>
  <si>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</si>
  <si>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</si>
  <si>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</si>
  <si>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</si>
  <si>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</si>
  <si>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</si>
  <si>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</si>
  <si>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Materiál Žádanky</t>
  </si>
  <si>
    <t>MŽ Detail</t>
  </si>
  <si>
    <t>Osobní náklady</t>
  </si>
  <si>
    <t>Motivační kritéria</t>
  </si>
  <si>
    <t>Motivace</t>
  </si>
  <si>
    <t>Celkem: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</si>
  <si>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</si>
  <si>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</si>
  <si>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</si>
  <si>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</si>
  <si>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</si>
  <si>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</si>
  <si>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</si>
  <si>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</si>
  <si>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</si>
  <si>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</si>
  <si>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</si>
  <si>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</si>
  <si>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</si>
  <si>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</si>
  <si>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</si>
  <si>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</si>
  <si>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</si>
  <si>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</si>
  <si>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</si>
  <si>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</si>
  <si>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</si>
  <si>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</si>
  <si>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</si>
  <si>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</si>
  <si>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</si>
  <si>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</si>
  <si>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</si>
  <si>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</si>
  <si>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</si>
  <si>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</si>
  <si>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</si>
  <si>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</si>
  <si>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</si>
  <si>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</si>
  <si>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</si>
  <si>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</si>
  <si>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</si>
  <si>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</si>
  <si>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</si>
  <si>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</si>
  <si>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</si>
  <si>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</si>
  <si>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</si>
  <si>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</si>
  <si>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</si>
  <si>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</si>
  <si>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</si>
  <si>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</si>
  <si>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</si>
  <si>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</si>
  <si>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</si>
  <si>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</si>
  <si>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</si>
  <si>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</si>
  <si>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</si>
  <si>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</si>
  <si>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</si>
  <si>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</si>
  <si>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</si>
  <si>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</si>
  <si>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</si>
  <si>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</si>
  <si>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</si>
  <si>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</si>
  <si>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</si>
  <si>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</si>
  <si>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</si>
  <si>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</si>
  <si>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</si>
  <si>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</si>
  <si>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</si>
  <si>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</si>
  <si>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</si>
  <si>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</si>
  <si>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</si>
  <si>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</si>
  <si>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</si>
  <si>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</si>
  <si>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</si>
  <si>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</si>
  <si>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</si>
  <si>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</si>
  <si>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</si>
  <si>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</si>
  <si>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</si>
  <si>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</si>
  <si>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</si>
  <si>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</si>
  <si>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</si>
  <si>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</si>
  <si>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</si>
  <si>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</si>
  <si>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</si>
  <si>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2018 je stanoven jako 100% skutečnosti referenčního období (2017)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</si>
  <si>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</si>
  <si>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</si>
  <si>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</si>
  <si>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</si>
  <si>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</si>
  <si>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</si>
  <si>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</si>
  <si>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</si>
  <si>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</si>
  <si>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</si>
  <si>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</si>
  <si>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</si>
  <si>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Rozp. 2017            CELKEM</t>
  </si>
  <si>
    <t>Skut. 2017 CELKEM</t>
  </si>
  <si>
    <t>ROZDÍL  Skut. - Rozp. 2017</t>
  </si>
  <si>
    <t>% plnění rozp.2017</t>
  </si>
  <si>
    <t>Rozp.rok 2018</t>
  </si>
  <si>
    <t>Sk.v tis 2018</t>
  </si>
  <si>
    <t>ROZDÍL (Sk.do data - Rozp.do data 2018)</t>
  </si>
  <si>
    <t>% plnění (Skut.do data/Rozp.rok 2018)</t>
  </si>
  <si>
    <t>POMĚROVÉ  PLNĚNÍ = Rozpočet na rok 2018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</si>
  <si>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1.-3.měsíc | Oddělení nemocniční hygieny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</si>
  <si>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</si>
  <si>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</si>
  <si>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</si>
  <si>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</si>
  <si>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</si>
  <si>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50113     Léky a léčiva</t>
  </si>
  <si>
    <t>50113001     léky - paušál (LEK)</t>
  </si>
  <si>
    <t>50115     Zdravotnické prostředky</t>
  </si>
  <si>
    <t>50115020     laboratorní diagnostika-LEK (Z501)</t>
  </si>
  <si>
    <t>50115050     obvazový materiál (Z502)</t>
  </si>
  <si>
    <t>50115067     ZPr - rukavice (Z532)</t>
  </si>
  <si>
    <t>--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</si>
  <si>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</si>
  <si>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</si>
  <si>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</si>
  <si>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</si>
  <si>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</si>
  <si>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</si>
  <si>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50117011     obalový mat. pro sterilizaci (sk.V20)</t>
  </si>
  <si>
    <t>50117015     IT - spotřební materiál (sk. P37, 48)</t>
  </si>
  <si>
    <t>50117021     všeob.mat. - hosp.přístr.a nářadí (V32) od 1tis do 2999,99</t>
  </si>
  <si>
    <t>50117024     všeob.mat. - ostatní-vyjímky (V44) od 0,01 do 999,99</t>
  </si>
  <si>
    <t>50117190     technické plyny</t>
  </si>
  <si>
    <t>50118     Náhradní díly</t>
  </si>
  <si>
    <t>50118006     ND - ZVIT (sk.B63)</t>
  </si>
  <si>
    <t>50119     DDHM a textil</t>
  </si>
  <si>
    <t>50119077     OOPP a prádlo pro zaměstnance (sk.T14)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</si>
  <si>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</si>
  <si>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</si>
  <si>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</si>
  <si>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</si>
  <si>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</si>
  <si>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</si>
  <si>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</si>
  <si>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</si>
  <si>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</si>
  <si>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</si>
  <si>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</si>
  <si>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</si>
  <si>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</si>
  <si>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</si>
  <si>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</si>
  <si>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</si>
  <si>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</si>
  <si>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51806     Úklid, odpad, desinf., deratizace</t>
  </si>
  <si>
    <t>51806001     úklid. služby - paušál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</si>
  <si>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</si>
  <si>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</si>
  <si>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</si>
  <si>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</si>
  <si>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51808013     revize - kalibrace - metrolog</t>
  </si>
  <si>
    <t>51874     Ostatní služby</t>
  </si>
  <si>
    <t>51874010     ostatní služby - zdravotní</t>
  </si>
  <si>
    <t>51874011     zkoušky kvality</t>
  </si>
  <si>
    <t>51874015     organ.rozvoj (certif., akred.)</t>
  </si>
  <si>
    <t>51874018     propagace, reklama, tisk (TM)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</si>
  <si>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</si>
  <si>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</si>
  <si>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</si>
  <si>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</si>
  <si>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</si>
  <si>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</si>
  <si>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</si>
  <si>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</si>
  <si>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</si>
  <si>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</si>
  <si>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</si>
  <si>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</si>
  <si>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</si>
  <si>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</si>
  <si>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</si>
  <si>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</si>
  <si>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</si>
  <si>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53     Daně a poplatky</t>
  </si>
  <si>
    <t>538     Jiné daně a poplatky</t>
  </si>
  <si>
    <t>53801     Poplatky</t>
  </si>
  <si>
    <t>53801003     správní poplatky</t>
  </si>
  <si>
    <t>54     Jiné provozní náklady</t>
  </si>
  <si>
    <t>542     Jiné pokuty a penále</t>
  </si>
  <si>
    <t>54201     Jiné pokuty a penále(dle dokladů)</t>
  </si>
  <si>
    <t>54201013     ostatní pokuty a penále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</si>
  <si>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</si>
  <si>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</si>
  <si>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</si>
  <si>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</si>
  <si>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</si>
  <si>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</si>
  <si>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</si>
  <si>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</si>
  <si>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</si>
  <si>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</si>
  <si>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6     Účtová třída 6 - Výnosy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</si>
  <si>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</si>
  <si>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</si>
  <si>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</si>
  <si>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</si>
  <si>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</si>
  <si>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64924     Ostatní služby - mimo zdrav.výkony  FAKTURACE</t>
  </si>
  <si>
    <t>64924442     telekom.služby, soukr. hovory</t>
  </si>
  <si>
    <t>64924449     ostatní provoz.sl.-hl.čin.</t>
  </si>
  <si>
    <t>7     Účtová třída 7 - Vnitropodnikové účetnictví - náklady</t>
  </si>
  <si>
    <t>79     Vnitropodnikové náklady</t>
  </si>
  <si>
    <t>79903     VPN - doprava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</si>
  <si>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</si>
  <si>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</si>
  <si>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</si>
  <si>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</si>
  <si>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</si>
  <si>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</si>
  <si>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</si>
  <si>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</si>
  <si>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</si>
  <si>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</si>
  <si>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54</t>
  </si>
  <si>
    <t>ONH: Oddělení nemocniční hygieny</t>
  </si>
  <si>
    <t/>
  </si>
  <si>
    <t>50113001 - léky - paušál (LEK)</t>
  </si>
  <si>
    <t>ONH: Oddělení nemocniční hygieny Celkem</t>
  </si>
  <si>
    <t>SumaKL</t>
  </si>
  <si>
    <t>5498</t>
  </si>
  <si>
    <t>SumaNS</t>
  </si>
  <si>
    <t>mezeraNS</t>
  </si>
  <si>
    <t>54 - Oddělení nemocniční hygieny</t>
  </si>
  <si>
    <t>5498 - Oddělení nemocniční hygieny</t>
  </si>
  <si>
    <t>50115020 - laboratorní diagnostika-LEK (Z501)</t>
  </si>
  <si>
    <t>50115050 - obvazový materiál (Z502)</t>
  </si>
  <si>
    <t>50115067 - ZPr - rukavice (Z532)</t>
  </si>
  <si>
    <t>50115020</t>
  </si>
  <si>
    <t>laboratorní diagnostika-LEK (Z501)</t>
  </si>
  <si>
    <t>DC859</t>
  </si>
  <si>
    <t>COLUMBIA AGAR</t>
  </si>
  <si>
    <t>DD558</t>
  </si>
  <si>
    <t>ENDO AGAR</t>
  </si>
  <si>
    <t>DB001</t>
  </si>
  <si>
    <t>Glukózový bujon (5 ml)</t>
  </si>
  <si>
    <t>DA999</t>
  </si>
  <si>
    <t>Půda s bromkresolem (kontrola sterility)</t>
  </si>
  <si>
    <t>DD596</t>
  </si>
  <si>
    <t>Sabouraud agar s CMP</t>
  </si>
  <si>
    <t>Spotřeba zdravotnického materiálu - orientační přehled</t>
  </si>
  <si>
    <t>2 VŠ NLZP</t>
  </si>
  <si>
    <t>3 NLZP</t>
  </si>
  <si>
    <t>1 Celkem</t>
  </si>
  <si>
    <t>2 Celkem</t>
  </si>
  <si>
    <t>3 Celkem</t>
  </si>
  <si>
    <t>ON Data</t>
  </si>
  <si>
    <t>lékaři pod odborným dozorem</t>
  </si>
  <si>
    <t>lékaři specialisté</t>
  </si>
  <si>
    <t>odborní pracovníci v lab. metodách</t>
  </si>
  <si>
    <t>odb. pracovníci v ochraně veřejného zdraví</t>
  </si>
  <si>
    <t>zdravotní laboranti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</si>
</sst>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71" formatCode="0.00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5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11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1" xfId="0" applyFont="1" applyFill="1" applyBorder="1" applyAlignment="1"/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8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5" fillId="4" borderId="34" xfId="1" applyFont="1" applyFill="1" applyBorder="1"/>
    <xf numFmtId="0" fontId="45" fillId="4" borderId="18" xfId="1" applyFont="1" applyFill="1" applyBorder="1"/>
    <xf numFmtId="0" fontId="45" fillId="3" borderId="19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5" fillId="3" borderId="9" xfId="1" applyFont="1" applyFill="1" applyBorder="1"/>
    <xf numFmtId="0" fontId="45" fillId="3" borderId="5" xfId="1" applyFont="1" applyFill="1" applyBorder="1"/>
    <xf numFmtId="0" fontId="45" fillId="6" borderId="5" xfId="1" applyFont="1" applyFill="1" applyBorder="1"/>
    <xf numFmtId="0" fontId="45" fillId="6" borderId="49" xfId="1" applyFont="1" applyFill="1" applyBorder="1"/>
    <xf numFmtId="0" fontId="45" fillId="2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6" xfId="0" applyNumberFormat="1" applyFont="1" applyFill="1" applyBorder="1"/>
    <xf numFmtId="3" fontId="39" fillId="2" borderId="47" xfId="0" applyNumberFormat="1" applyFont="1" applyFill="1" applyBorder="1"/>
    <xf numFmtId="9" fontId="39" fillId="2" borderId="50" xfId="0" applyNumberFormat="1" applyFont="1" applyFill="1" applyBorder="1"/>
    <xf numFmtId="0" fontId="49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48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5" fillId="2" borderId="35" xfId="1" applyFont="1" applyFill="1" applyBorder="1" applyAlignment="1">
      <alignment horizontal="left" indent="2"/>
    </xf>
    <xf numFmtId="0" fontId="49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49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49" fillId="4" borderId="48" xfId="1" applyFont="1" applyFill="1" applyBorder="1" applyAlignment="1">
      <alignment horizontal="left"/>
    </xf>
    <xf numFmtId="0" fontId="49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7" fillId="0" borderId="0" xfId="81" applyFont="1" applyFill="1"/>
    <xf numFmtId="0" fontId="50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3" fontId="0" fillId="0" borderId="0" xfId="0" applyNumberFormat="1"/>
    <xf numFmtId="0" fontId="53" fillId="0" borderId="0" xfId="1" applyFont="1" applyFill="1"/>
    <xf numFmtId="3" fontId="51" fillId="0" borderId="0" xfId="26" applyNumberFormat="1" applyFont="1" applyFill="1" applyBorder="1" applyAlignment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0" fontId="31" fillId="2" borderId="76" xfId="74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61" xfId="81" applyFont="1" applyFill="1" applyBorder="1" applyAlignment="1">
      <alignment horizontal="center"/>
    </xf>
    <xf numFmtId="0" fontId="31" fillId="2" borderId="62" xfId="81" applyFont="1" applyFill="1" applyBorder="1" applyAlignment="1">
      <alignment horizontal="center"/>
    </xf>
    <xf numFmtId="0" fontId="31" fillId="2" borderId="6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67" xfId="0" applyFont="1" applyFill="1" applyBorder="1"/>
    <xf numFmtId="0" fontId="32" fillId="0" borderId="68" xfId="0" applyFont="1" applyBorder="1" applyAlignment="1"/>
    <xf numFmtId="9" fontId="32" fillId="0" borderId="66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49" fontId="37" fillId="2" borderId="66" xfId="0" quotePrefix="1" applyNumberFormat="1" applyFont="1" applyFill="1" applyBorder="1" applyAlignment="1">
      <alignment horizontal="center" vertical="center"/>
    </xf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9" fontId="0" fillId="0" borderId="0" xfId="0" applyNumberFormat="1"/>
    <xf numFmtId="168" fontId="0" fillId="0" borderId="0" xfId="0" applyNumberFormat="1"/>
    <xf numFmtId="0" fontId="47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4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2" xfId="0" applyNumberFormat="1" applyFont="1" applyBorder="1" applyAlignment="1">
      <alignment horizontal="right" vertical="center"/>
    </xf>
    <xf numFmtId="9" fontId="39" fillId="0" borderId="83" xfId="0" applyNumberFormat="1" applyFont="1" applyBorder="1" applyAlignment="1">
      <alignment horizontal="right" vertical="center"/>
    </xf>
    <xf numFmtId="173" fontId="39" fillId="0" borderId="83" xfId="0" applyNumberFormat="1" applyFont="1" applyBorder="1" applyAlignment="1">
      <alignment horizontal="right" vertical="center"/>
    </xf>
    <xf numFmtId="173" fontId="39" fillId="0" borderId="54" xfId="0" applyNumberFormat="1" applyFont="1" applyBorder="1" applyAlignment="1">
      <alignment horizontal="right" vertical="center"/>
    </xf>
    <xf numFmtId="173" fontId="39" fillId="0" borderId="56" xfId="0" applyNumberFormat="1" applyFont="1" applyBorder="1" applyAlignment="1">
      <alignment vertical="center"/>
    </xf>
    <xf numFmtId="173" fontId="39" fillId="0" borderId="84" xfId="0" applyNumberFormat="1" applyFont="1" applyBorder="1" applyAlignment="1">
      <alignment vertical="center"/>
    </xf>
    <xf numFmtId="173" fontId="39" fillId="0" borderId="83" xfId="0" applyNumberFormat="1" applyFont="1" applyBorder="1" applyAlignment="1">
      <alignment vertical="center"/>
    </xf>
    <xf numFmtId="173" fontId="39" fillId="0" borderId="54" xfId="0" applyNumberFormat="1" applyFont="1" applyBorder="1" applyAlignment="1">
      <alignment vertical="center"/>
    </xf>
    <xf numFmtId="173" fontId="39" fillId="0" borderId="85" xfId="0" applyNumberFormat="1" applyFont="1" applyBorder="1" applyAlignment="1">
      <alignment vertical="center"/>
    </xf>
    <xf numFmtId="174" fontId="39" fillId="0" borderId="86" xfId="0" applyNumberFormat="1" applyFont="1" applyBorder="1" applyAlignment="1">
      <alignment vertical="center"/>
    </xf>
    <xf numFmtId="174" fontId="39" fillId="0" borderId="83" xfId="0" applyNumberFormat="1" applyFont="1" applyBorder="1" applyAlignment="1">
      <alignment vertical="center"/>
    </xf>
    <xf numFmtId="174" fontId="39" fillId="0" borderId="54" xfId="0" applyNumberFormat="1" applyFont="1" applyBorder="1" applyAlignment="1">
      <alignment vertical="center"/>
    </xf>
    <xf numFmtId="168" fontId="39" fillId="0" borderId="77" xfId="0" applyNumberFormat="1" applyFont="1" applyBorder="1" applyAlignment="1">
      <alignment vertical="center"/>
    </xf>
    <xf numFmtId="0" fontId="32" fillId="0" borderId="84" xfId="0" applyFont="1" applyBorder="1" applyAlignment="1">
      <alignment horizontal="center" vertical="center"/>
    </xf>
    <xf numFmtId="166" fontId="39" fillId="2" borderId="54" xfId="0" applyNumberFormat="1" applyFont="1" applyFill="1" applyBorder="1" applyAlignment="1">
      <alignment horizontal="center" vertical="center"/>
    </xf>
    <xf numFmtId="173" fontId="39" fillId="0" borderId="63" xfId="0" applyNumberFormat="1" applyFont="1" applyBorder="1" applyAlignment="1">
      <alignment horizontal="right" vertical="center"/>
    </xf>
    <xf numFmtId="175" fontId="39" fillId="0" borderId="62" xfId="0" applyNumberFormat="1" applyFont="1" applyBorder="1" applyAlignment="1">
      <alignment horizontal="right" vertical="center"/>
    </xf>
    <xf numFmtId="173" fontId="39" fillId="0" borderId="62" xfId="0" applyNumberFormat="1" applyFont="1" applyBorder="1" applyAlignment="1">
      <alignment horizontal="right" vertical="center"/>
    </xf>
    <xf numFmtId="173" fontId="39" fillId="0" borderId="63" xfId="0" applyNumberFormat="1" applyFont="1" applyBorder="1" applyAlignment="1">
      <alignment vertical="center"/>
    </xf>
    <xf numFmtId="173" fontId="39" fillId="0" borderId="62" xfId="0" applyNumberFormat="1" applyFont="1" applyBorder="1" applyAlignment="1">
      <alignment vertical="center"/>
    </xf>
    <xf numFmtId="173" fontId="39" fillId="0" borderId="61" xfId="0" applyNumberFormat="1" applyFont="1" applyBorder="1" applyAlignment="1">
      <alignment vertical="center"/>
    </xf>
    <xf numFmtId="176" fontId="39" fillId="0" borderId="6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4" fillId="9" borderId="66" xfId="0" quotePrefix="1" applyFont="1" applyFill="1" applyBorder="1" applyAlignment="1">
      <alignment horizontal="center" vertical="center" wrapText="1"/>
    </xf>
    <xf numFmtId="0" fontId="40" fillId="9" borderId="66" xfId="0" quotePrefix="1" applyFont="1" applyFill="1" applyBorder="1" applyAlignment="1">
      <alignment horizontal="center" vertical="center" wrapText="1"/>
    </xf>
    <xf numFmtId="0" fontId="40" fillId="9" borderId="65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92" xfId="0" applyNumberFormat="1" applyFont="1" applyFill="1" applyBorder="1"/>
    <xf numFmtId="3" fontId="0" fillId="7" borderId="55" xfId="0" applyNumberFormat="1" applyFont="1" applyFill="1" applyBorder="1"/>
    <xf numFmtId="0" fontId="0" fillId="0" borderId="93" xfId="0" applyNumberFormat="1" applyFont="1" applyBorder="1"/>
    <xf numFmtId="3" fontId="0" fillId="0" borderId="94" xfId="0" applyNumberFormat="1" applyFont="1" applyBorder="1"/>
    <xf numFmtId="0" fontId="0" fillId="7" borderId="93" xfId="0" applyNumberFormat="1" applyFont="1" applyFill="1" applyBorder="1"/>
    <xf numFmtId="3" fontId="0" fillId="7" borderId="94" xfId="0" applyNumberFormat="1" applyFont="1" applyFill="1" applyBorder="1"/>
    <xf numFmtId="0" fontId="52" fillId="8" borderId="93" xfId="0" applyNumberFormat="1" applyFont="1" applyFill="1" applyBorder="1"/>
    <xf numFmtId="3" fontId="52" fillId="8" borderId="94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53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76" xfId="81" applyFont="1" applyFill="1" applyBorder="1" applyAlignment="1">
      <alignment horizontal="center"/>
    </xf>
    <xf numFmtId="0" fontId="31" fillId="2" borderId="64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74" xfId="81" applyFont="1" applyFill="1" applyBorder="1" applyAlignment="1">
      <alignment horizontal="center"/>
    </xf>
    <xf numFmtId="0" fontId="31" fillId="2" borderId="75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/>
    <xf numFmtId="9" fontId="3" fillId="2" borderId="79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78" xfId="80" applyNumberFormat="1" applyFont="1" applyFill="1" applyBorder="1" applyAlignment="1">
      <alignment horizontal="left"/>
    </xf>
    <xf numFmtId="3" fontId="3" fillId="2" borderId="73" xfId="80" applyNumberFormat="1" applyFont="1" applyFill="1" applyBorder="1" applyAlignment="1">
      <alignment horizontal="left"/>
    </xf>
    <xf numFmtId="0" fontId="2" fillId="0" borderId="2" xfId="26" applyFont="1" applyFill="1" applyBorder="1" applyAlignment="1"/>
    <xf numFmtId="3" fontId="54" fillId="4" borderId="69" xfId="0" applyNumberFormat="1" applyFont="1" applyFill="1" applyBorder="1" applyAlignment="1">
      <alignment horizontal="center" vertical="center"/>
    </xf>
    <xf numFmtId="3" fontId="54" fillId="4" borderId="81" xfId="0" applyNumberFormat="1" applyFont="1" applyFill="1" applyBorder="1" applyAlignment="1">
      <alignment horizontal="center" vertical="center"/>
    </xf>
    <xf numFmtId="9" fontId="54" fillId="4" borderId="69" xfId="0" applyNumberFormat="1" applyFont="1" applyFill="1" applyBorder="1" applyAlignment="1">
      <alignment horizontal="center" vertical="center"/>
    </xf>
    <xf numFmtId="9" fontId="54" fillId="4" borderId="81" xfId="0" applyNumberFormat="1" applyFont="1" applyFill="1" applyBorder="1" applyAlignment="1">
      <alignment horizontal="center" vertical="center"/>
    </xf>
    <xf numFmtId="3" fontId="54" fillId="4" borderId="70" xfId="0" applyNumberFormat="1" applyFont="1" applyFill="1" applyBorder="1" applyAlignment="1">
      <alignment horizontal="center" vertical="center" wrapText="1"/>
    </xf>
    <xf numFmtId="3" fontId="54" fillId="4" borderId="82" xfId="0" applyNumberFormat="1" applyFont="1" applyFill="1" applyBorder="1" applyAlignment="1">
      <alignment horizontal="center" vertical="center" wrapText="1"/>
    </xf>
    <xf numFmtId="0" fontId="39" fillId="2" borderId="89" xfId="0" applyFont="1" applyFill="1" applyBorder="1" applyAlignment="1">
      <alignment horizontal="center" vertical="center" wrapText="1"/>
    </xf>
    <xf numFmtId="0" fontId="39" fillId="2" borderId="73" xfId="0" applyFont="1" applyFill="1" applyBorder="1" applyAlignment="1">
      <alignment horizontal="center" vertical="center" wrapText="1"/>
    </xf>
    <xf numFmtId="0" fontId="54" fillId="9" borderId="91" xfId="0" applyFont="1" applyFill="1" applyBorder="1" applyAlignment="1">
      <alignment horizontal="center"/>
    </xf>
    <xf numFmtId="0" fontId="54" fillId="9" borderId="90" xfId="0" applyFont="1" applyFill="1" applyBorder="1" applyAlignment="1">
      <alignment horizontal="center"/>
    </xf>
    <xf numFmtId="0" fontId="54" fillId="9" borderId="68" xfId="0" applyFont="1" applyFill="1" applyBorder="1" applyAlignment="1">
      <alignment horizontal="center"/>
    </xf>
    <xf numFmtId="0" fontId="54" fillId="2" borderId="70" xfId="0" applyFont="1" applyFill="1" applyBorder="1" applyAlignment="1">
      <alignment horizontal="center" vertical="center" wrapText="1"/>
    </xf>
    <xf numFmtId="0" fontId="54" fillId="2" borderId="82" xfId="0" applyFont="1" applyFill="1" applyBorder="1" applyAlignment="1">
      <alignment horizontal="center" vertical="center" wrapText="1"/>
    </xf>
    <xf numFmtId="0" fontId="39" fillId="4" borderId="77" xfId="0" applyFont="1" applyFill="1" applyBorder="1" applyAlignment="1">
      <alignment horizontal="center" vertical="center" wrapText="1"/>
    </xf>
    <xf numFmtId="0" fontId="39" fillId="4" borderId="57" xfId="0" applyFont="1" applyFill="1" applyBorder="1" applyAlignment="1">
      <alignment horizontal="center" vertical="center" wrapText="1"/>
    </xf>
    <xf numFmtId="0" fontId="58" fillId="2" borderId="41" xfId="0" applyFont="1" applyFill="1" applyBorder="1" applyAlignment="1">
      <alignment horizontal="center"/>
    </xf>
    <xf numFmtId="0" fontId="58" fillId="2" borderId="74" xfId="0" applyFont="1" applyFill="1" applyBorder="1" applyAlignment="1">
      <alignment horizontal="center"/>
    </xf>
    <xf numFmtId="0" fontId="58" fillId="2" borderId="64" xfId="0" applyFont="1" applyFill="1" applyBorder="1" applyAlignment="1">
      <alignment horizontal="center"/>
    </xf>
    <xf numFmtId="0" fontId="58" fillId="4" borderId="25" xfId="0" applyFont="1" applyFill="1" applyBorder="1" applyAlignment="1">
      <alignment horizontal="center"/>
    </xf>
    <xf numFmtId="0" fontId="58" fillId="4" borderId="59" xfId="0" applyFont="1" applyFill="1" applyBorder="1" applyAlignment="1">
      <alignment horizontal="center"/>
    </xf>
    <xf numFmtId="0" fontId="58" fillId="4" borderId="60" xfId="0" applyFont="1" applyFill="1" applyBorder="1" applyAlignment="1">
      <alignment horizontal="center"/>
    </xf>
    <xf numFmtId="0" fontId="58" fillId="2" borderId="25" xfId="0" applyFont="1" applyFill="1" applyBorder="1" applyAlignment="1">
      <alignment horizontal="center"/>
    </xf>
    <xf numFmtId="0" fontId="58" fillId="2" borderId="59" xfId="0" applyFont="1" applyFill="1" applyBorder="1" applyAlignment="1">
      <alignment horizontal="center"/>
    </xf>
    <xf numFmtId="0" fontId="58" fillId="2" borderId="60" xfId="0" applyFont="1" applyFill="1" applyBorder="1" applyAlignment="1">
      <alignment horizontal="center"/>
    </xf>
    <xf numFmtId="166" fontId="39" fillId="2" borderId="61" xfId="0" applyNumberFormat="1" applyFont="1" applyFill="1" applyBorder="1" applyAlignment="1">
      <alignment horizontal="center" vertical="center"/>
    </xf>
    <xf numFmtId="0" fontId="32" fillId="0" borderId="87" xfId="0" applyFont="1" applyBorder="1" applyAlignment="1">
      <alignment horizontal="center" vertical="center"/>
    </xf>
    <xf numFmtId="0" fontId="54" fillId="4" borderId="80" xfId="0" applyFont="1" applyFill="1" applyBorder="1" applyAlignment="1">
      <alignment horizontal="center" vertical="center" wrapText="1"/>
    </xf>
    <xf numFmtId="0" fontId="54" fillId="4" borderId="88" xfId="0" applyFont="1" applyFill="1" applyBorder="1" applyAlignment="1">
      <alignment horizontal="center" vertical="center" wrapText="1"/>
    </xf>
    <xf numFmtId="0" fontId="54" fillId="4" borderId="69" xfId="0" applyFont="1" applyFill="1" applyBorder="1" applyAlignment="1">
      <alignment horizontal="center" vertical="center" wrapText="1"/>
    </xf>
    <xf numFmtId="0" fontId="54" fillId="4" borderId="81" xfId="0" applyFont="1" applyFill="1" applyBorder="1" applyAlignment="1">
      <alignment horizontal="center" vertical="center" wrapText="1"/>
    </xf>
    <xf numFmtId="0" fontId="54" fillId="4" borderId="70" xfId="0" applyFont="1" applyFill="1" applyBorder="1" applyAlignment="1">
      <alignment horizontal="center" vertical="center" wrapText="1"/>
    </xf>
    <xf numFmtId="0" fontId="54" fillId="4" borderId="82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4" fillId="2" borderId="80" xfId="0" applyNumberFormat="1" applyFont="1" applyFill="1" applyBorder="1" applyAlignment="1">
      <alignment horizontal="center" vertical="center" wrapText="1"/>
    </xf>
    <xf numFmtId="168" fontId="54" fillId="2" borderId="88" xfId="0" applyNumberFormat="1" applyFont="1" applyFill="1" applyBorder="1" applyAlignment="1">
      <alignment horizontal="center" vertical="center" wrapText="1"/>
    </xf>
    <xf numFmtId="0" fontId="54" fillId="2" borderId="69" xfId="0" applyFont="1" applyFill="1" applyBorder="1" applyAlignment="1">
      <alignment horizontal="center" vertical="center" wrapText="1"/>
    </xf>
    <xf numFmtId="0" fontId="54" fillId="2" borderId="81" xfId="0" applyFont="1" applyFill="1" applyBorder="1" applyAlignment="1">
      <alignment horizontal="center" vertical="center" wrapText="1"/>
    </xf>
    <xf numFmtId="3" fontId="33" fillId="10" borderId="96" xfId="0" applyNumberFormat="1" applyFont="1" applyFill="1" applyBorder="1" applyAlignment="1">
      <alignment horizontal="right" vertical="top"/>
    </xf>
    <xf numFmtId="3" fontId="33" fillId="10" borderId="97" xfId="0" applyNumberFormat="1" applyFont="1" applyFill="1" applyBorder="1" applyAlignment="1">
      <alignment horizontal="right" vertical="top"/>
    </xf>
    <xf numFmtId="177" fontId="33" fillId="10" borderId="98" xfId="0" applyNumberFormat="1" applyFont="1" applyFill="1" applyBorder="1" applyAlignment="1">
      <alignment horizontal="right" vertical="top"/>
    </xf>
    <xf numFmtId="3" fontId="33" fillId="0" borderId="96" xfId="0" applyNumberFormat="1" applyFont="1" applyBorder="1" applyAlignment="1">
      <alignment horizontal="right" vertical="top"/>
    </xf>
    <xf numFmtId="177" fontId="33" fillId="10" borderId="99" xfId="0" applyNumberFormat="1" applyFont="1" applyFill="1" applyBorder="1" applyAlignment="1">
      <alignment horizontal="right" vertical="top"/>
    </xf>
    <xf numFmtId="3" fontId="35" fillId="10" borderId="101" xfId="0" applyNumberFormat="1" applyFont="1" applyFill="1" applyBorder="1" applyAlignment="1">
      <alignment horizontal="right" vertical="top"/>
    </xf>
    <xf numFmtId="3" fontId="35" fillId="10" borderId="102" xfId="0" applyNumberFormat="1" applyFont="1" applyFill="1" applyBorder="1" applyAlignment="1">
      <alignment horizontal="right" vertical="top"/>
    </xf>
    <xf numFmtId="177" fontId="35" fillId="10" borderId="103" xfId="0" applyNumberFormat="1" applyFont="1" applyFill="1" applyBorder="1" applyAlignment="1">
      <alignment horizontal="right" vertical="top"/>
    </xf>
    <xf numFmtId="3" fontId="35" fillId="0" borderId="101" xfId="0" applyNumberFormat="1" applyFont="1" applyBorder="1" applyAlignment="1">
      <alignment horizontal="right" vertical="top"/>
    </xf>
    <xf numFmtId="177" fontId="35" fillId="10" borderId="104" xfId="0" applyNumberFormat="1" applyFont="1" applyFill="1" applyBorder="1" applyAlignment="1">
      <alignment horizontal="right" vertical="top"/>
    </xf>
    <xf numFmtId="0" fontId="33" fillId="10" borderId="98" xfId="0" applyFont="1" applyFill="1" applyBorder="1" applyAlignment="1">
      <alignment horizontal="right" vertical="top"/>
    </xf>
    <xf numFmtId="0" fontId="33" fillId="10" borderId="99" xfId="0" applyFont="1" applyFill="1" applyBorder="1" applyAlignment="1">
      <alignment horizontal="right" vertical="top"/>
    </xf>
    <xf numFmtId="0" fontId="35" fillId="10" borderId="103" xfId="0" applyFont="1" applyFill="1" applyBorder="1" applyAlignment="1">
      <alignment horizontal="right" vertical="top"/>
    </xf>
    <xf numFmtId="0" fontId="35" fillId="10" borderId="104" xfId="0" applyFont="1" applyFill="1" applyBorder="1" applyAlignment="1">
      <alignment horizontal="right" vertical="top"/>
    </xf>
    <xf numFmtId="3" fontId="35" fillId="0" borderId="105" xfId="0" applyNumberFormat="1" applyFont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3" fontId="35" fillId="0" borderId="107" xfId="0" applyNumberFormat="1" applyFont="1" applyBorder="1" applyAlignment="1">
      <alignment horizontal="right" vertical="top"/>
    </xf>
    <xf numFmtId="177" fontId="35" fillId="10" borderId="108" xfId="0" applyNumberFormat="1" applyFont="1" applyFill="1" applyBorder="1" applyAlignment="1">
      <alignment horizontal="right" vertical="top"/>
    </xf>
    <xf numFmtId="0" fontId="37" fillId="11" borderId="95" xfId="0" applyFont="1" applyFill="1" applyBorder="1" applyAlignment="1">
      <alignment vertical="top"/>
    </xf>
    <xf numFmtId="0" fontId="37" fillId="11" borderId="95" xfId="0" applyFont="1" applyFill="1" applyBorder="1" applyAlignment="1">
      <alignment vertical="top" indent="2"/>
    </xf>
    <xf numFmtId="0" fontId="37" fillId="11" borderId="95" xfId="0" applyFont="1" applyFill="1" applyBorder="1" applyAlignment="1">
      <alignment vertical="top" indent="4"/>
    </xf>
    <xf numFmtId="0" fontId="38" fillId="11" borderId="100" xfId="0" applyFont="1" applyFill="1" applyBorder="1" applyAlignment="1">
      <alignment vertical="top" indent="6"/>
    </xf>
    <xf numFmtId="0" fontId="37" fillId="11" borderId="95" xfId="0" applyFont="1" applyFill="1" applyBorder="1" applyAlignment="1">
      <alignment vertical="top" indent="8"/>
    </xf>
    <xf numFmtId="0" fontId="38" fillId="11" borderId="100" xfId="0" applyFont="1" applyFill="1" applyBorder="1" applyAlignment="1">
      <alignment vertical="top" indent="2"/>
    </xf>
    <xf numFmtId="0" fontId="37" fillId="11" borderId="95" xfId="0" applyFont="1" applyFill="1" applyBorder="1" applyAlignment="1">
      <alignment vertical="top" indent="6"/>
    </xf>
    <xf numFmtId="0" fontId="38" fillId="11" borderId="100" xfId="0" applyFont="1" applyFill="1" applyBorder="1" applyAlignment="1">
      <alignment vertical="top" indent="4"/>
    </xf>
    <xf numFmtId="0" fontId="32" fillId="11" borderId="95" xfId="0" applyFont="1" applyFill="1" applyBorder="1"/>
    <xf numFmtId="0" fontId="38" fillId="11" borderId="19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0" fontId="3" fillId="2" borderId="85" xfId="79" applyFont="1" applyFill="1" applyBorder="1" applyAlignment="1">
      <alignment horizontal="left"/>
    </xf>
    <xf numFmtId="3" fontId="3" fillId="2" borderId="69" xfId="80" applyNumberFormat="1" applyFont="1" applyFill="1" applyBorder="1"/>
    <xf numFmtId="3" fontId="3" fillId="2" borderId="70" xfId="80" applyNumberFormat="1" applyFont="1" applyFill="1" applyBorder="1"/>
    <xf numFmtId="9" fontId="3" fillId="2" borderId="109" xfId="80" applyNumberFormat="1" applyFont="1" applyFill="1" applyBorder="1"/>
    <xf numFmtId="9" fontId="3" fillId="2" borderId="69" xfId="80" applyNumberFormat="1" applyFont="1" applyFill="1" applyBorder="1"/>
    <xf numFmtId="9" fontId="3" fillId="2" borderId="70" xfId="80" applyNumberFormat="1" applyFont="1" applyFill="1" applyBorder="1"/>
    <xf numFmtId="3" fontId="32" fillId="0" borderId="59" xfId="0" applyNumberFormat="1" applyFont="1" applyFill="1" applyBorder="1"/>
    <xf numFmtId="9" fontId="32" fillId="0" borderId="59" xfId="0" applyNumberFormat="1" applyFont="1" applyFill="1" applyBorder="1"/>
    <xf numFmtId="9" fontId="32" fillId="0" borderId="60" xfId="0" applyNumberFormat="1" applyFont="1" applyFill="1" applyBorder="1"/>
    <xf numFmtId="3" fontId="32" fillId="0" borderId="62" xfId="0" applyNumberFormat="1" applyFont="1" applyFill="1" applyBorder="1"/>
    <xf numFmtId="9" fontId="32" fillId="0" borderId="62" xfId="0" applyNumberFormat="1" applyFont="1" applyFill="1" applyBorder="1"/>
    <xf numFmtId="9" fontId="32" fillId="0" borderId="63" xfId="0" applyNumberFormat="1" applyFont="1" applyFill="1" applyBorder="1"/>
    <xf numFmtId="0" fontId="39" fillId="0" borderId="76" xfId="0" applyFont="1" applyFill="1" applyBorder="1"/>
    <xf numFmtId="0" fontId="39" fillId="0" borderId="75" xfId="0" applyFont="1" applyFill="1" applyBorder="1" applyAlignment="1">
      <alignment horizontal="left" indent="1"/>
    </xf>
    <xf numFmtId="9" fontId="32" fillId="0" borderId="111" xfId="0" applyNumberFormat="1" applyFont="1" applyFill="1" applyBorder="1"/>
    <xf numFmtId="9" fontId="32" fillId="0" borderId="72" xfId="0" applyNumberFormat="1" applyFont="1" applyFill="1" applyBorder="1"/>
    <xf numFmtId="3" fontId="32" fillId="0" borderId="58" xfId="0" applyNumberFormat="1" applyFont="1" applyFill="1" applyBorder="1"/>
    <xf numFmtId="3" fontId="32" fillId="0" borderId="61" xfId="0" applyNumberFormat="1" applyFont="1" applyFill="1" applyBorder="1"/>
    <xf numFmtId="3" fontId="32" fillId="0" borderId="60" xfId="0" applyNumberFormat="1" applyFont="1" applyFill="1" applyBorder="1"/>
    <xf numFmtId="3" fontId="32" fillId="0" borderId="63" xfId="0" applyNumberFormat="1" applyFont="1" applyFill="1" applyBorder="1"/>
    <xf numFmtId="9" fontId="32" fillId="0" borderId="112" xfId="0" applyNumberFormat="1" applyFont="1" applyFill="1" applyBorder="1"/>
    <xf numFmtId="9" fontId="32" fillId="0" borderId="87" xfId="0" applyNumberFormat="1" applyFont="1" applyFill="1" applyBorder="1"/>
    <xf numFmtId="164" fontId="31" fillId="2" borderId="85" xfId="53" applyNumberFormat="1" applyFont="1" applyFill="1" applyBorder="1" applyAlignment="1">
      <alignment horizontal="left"/>
    </xf>
    <xf numFmtId="164" fontId="31" fillId="2" borderId="110" xfId="53" applyNumberFormat="1" applyFont="1" applyFill="1" applyBorder="1" applyAlignment="1">
      <alignment horizontal="left"/>
    </xf>
    <xf numFmtId="164" fontId="31" fillId="2" borderId="83" xfId="53" applyNumberFormat="1" applyFont="1" applyFill="1" applyBorder="1" applyAlignment="1">
      <alignment horizontal="left"/>
    </xf>
    <xf numFmtId="3" fontId="31" fillId="2" borderId="83" xfId="53" applyNumberFormat="1" applyFont="1" applyFill="1" applyBorder="1" applyAlignment="1">
      <alignment horizontal="left"/>
    </xf>
    <xf numFmtId="3" fontId="31" fillId="2" borderId="52" xfId="53" applyNumberFormat="1" applyFont="1" applyFill="1" applyBorder="1" applyAlignment="1">
      <alignment horizontal="left"/>
    </xf>
    <xf numFmtId="0" fontId="32" fillId="0" borderId="58" xfId="0" applyFont="1" applyFill="1" applyBorder="1"/>
    <xf numFmtId="0" fontId="32" fillId="0" borderId="59" xfId="0" applyFont="1" applyFill="1" applyBorder="1"/>
    <xf numFmtId="164" fontId="32" fillId="0" borderId="59" xfId="0" applyNumberFormat="1" applyFont="1" applyFill="1" applyBorder="1"/>
    <xf numFmtId="164" fontId="32" fillId="0" borderId="59" xfId="0" applyNumberFormat="1" applyFont="1" applyFill="1" applyBorder="1" applyAlignment="1">
      <alignment horizontal="right"/>
    </xf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2" fillId="0" borderId="61" xfId="0" applyFont="1" applyFill="1" applyBorder="1"/>
    <xf numFmtId="0" fontId="32" fillId="0" borderId="62" xfId="0" applyFont="1" applyFill="1" applyBorder="1"/>
    <xf numFmtId="164" fontId="32" fillId="0" borderId="62" xfId="0" applyNumberFormat="1" applyFont="1" applyFill="1" applyBorder="1"/>
    <xf numFmtId="164" fontId="32" fillId="0" borderId="62" xfId="0" applyNumberFormat="1" applyFont="1" applyFill="1" applyBorder="1" applyAlignment="1">
      <alignment horizontal="right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87"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86"/>
      <tableStyleElement type="headerRow" dxfId="85"/>
      <tableStyleElement type="totalRow" dxfId="84"/>
      <tableStyleElement type="firstColumn" dxfId="83"/>
      <tableStyleElement type="lastColumn" dxfId="82"/>
      <tableStyleElement type="firstRowStripe" dxfId="81"/>
      <tableStyleElement type="firstColumnStripe" dxfId="80"/>
    </tableStyle>
    <tableStyle name="TableStyleMedium2 2" pivot="0" count="7">
      <tableStyleElement type="wholeTable" dxfId="79"/>
      <tableStyleElement type="headerRow" dxfId="78"/>
      <tableStyleElement type="totalRow" dxfId="77"/>
      <tableStyleElement type="firstColumn" dxfId="76"/>
      <tableStyleElement type="lastColumn" dxfId="75"/>
      <tableStyleElement type="firstRowStripe" dxfId="74"/>
      <tableStyleElement type="firstColumnStripe" dxfId="73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6" name="Tabulka" displayName="Tabulka" ref="A7:S15" totalsRowShown="0" headerRowDxfId="72" tableBorderDxfId="71">
  <autoFilter ref="A7:S1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70"/>
    <tableColumn id="2" name="popis" dataDxfId="69"/>
    <tableColumn id="3" name="01 uv_sk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5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5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5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53">
      <calculatedColumnFormula>IF(Tabulka[[#This Row],[15_vzpl]]=0,"",Tabulka[[#This Row],[14_vzsk]]/Tabulka[[#This Row],[15_vzpl]])</calculatedColumnFormula>
    </tableColumn>
    <tableColumn id="20" name="17_vzroz" dataDxfId="52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30" totalsRowShown="0">
  <autoFilter ref="C3:S30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6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95" bestFit="1" customWidth="1"/>
    <col min="2" max="2" width="102.21875" style="95" bestFit="1" customWidth="1"/>
    <col min="3" max="3" width="16.109375" style="42" hidden="1" customWidth="1"/>
    <col min="4" max="16384" width="8.88671875" style="95"/>
  </cols>
  <sheetData>
    <row r="1" spans="1:3" ht="18.600000000000001" customHeight="1" thickBot="1" x14ac:dyDescent="0.4">
      <c r="A1" s="255" t="s">
        <v>58</v>
      </c>
      <c r="B1" s="255"/>
    </row>
    <row r="2" spans="1:3" ht="14.4" customHeight="1" thickBot="1" x14ac:dyDescent="0.35">
      <c r="A2" s="170" t="s">
        <v>185</v>
      </c>
      <c r="B2" s="41"/>
    </row>
    <row r="3" spans="1:3" ht="14.4" customHeight="1" thickBot="1" x14ac:dyDescent="0.35">
      <c r="A3" s="251" t="s">
        <v>73</v>
      </c>
      <c r="B3" s="252"/>
    </row>
    <row r="4" spans="1:3" ht="14.4" customHeight="1" x14ac:dyDescent="0.3">
      <c r="A4" s="108" t="str">
        <f t="shared" ref="A4:A7" si="0">HYPERLINK("#'"&amp;C4&amp;"'!A1",C4)</f>
        <v>Motivace</v>
      </c>
      <c r="B4" s="61" t="s">
        <v>67</v>
      </c>
      <c r="C4" s="42" t="s">
        <v>68</v>
      </c>
    </row>
    <row r="5" spans="1:3" ht="14.4" customHeight="1" x14ac:dyDescent="0.3">
      <c r="A5" s="109" t="str">
        <f t="shared" si="0"/>
        <v>HI</v>
      </c>
      <c r="B5" s="62" t="s">
        <v>70</v>
      </c>
      <c r="C5" s="42" t="s">
        <v>61</v>
      </c>
    </row>
    <row r="6" spans="1:3" ht="14.4" customHeight="1" x14ac:dyDescent="0.3">
      <c r="A6" s="110" t="str">
        <f t="shared" si="0"/>
        <v>Man Tab</v>
      </c>
      <c r="B6" s="63" t="s">
        <v>187</v>
      </c>
      <c r="C6" s="42" t="s">
        <v>62</v>
      </c>
    </row>
    <row r="7" spans="1:3" ht="14.4" customHeight="1" thickBot="1" x14ac:dyDescent="0.35">
      <c r="A7" s="111" t="str">
        <f t="shared" si="0"/>
        <v>HV</v>
      </c>
      <c r="B7" s="64" t="s">
        <v>41</v>
      </c>
      <c r="C7" s="42" t="s">
        <v>46</v>
      </c>
    </row>
    <row r="8" spans="1:3" ht="14.4" customHeight="1" thickBot="1" x14ac:dyDescent="0.35">
      <c r="A8" s="65"/>
      <c r="B8" s="65"/>
    </row>
    <row r="9" spans="1:3" ht="14.4" customHeight="1" thickBot="1" x14ac:dyDescent="0.35">
      <c r="A9" s="253" t="s">
        <v>59</v>
      </c>
      <c r="B9" s="252"/>
    </row>
    <row r="10" spans="1:3" ht="14.4" customHeight="1" x14ac:dyDescent="0.3">
      <c r="A10" s="112" t="str">
        <f t="shared" ref="A10" si="1">HYPERLINK("#'"&amp;C10&amp;"'!A1",C10)</f>
        <v>Léky Žádanky</v>
      </c>
      <c r="B10" s="62" t="s">
        <v>71</v>
      </c>
      <c r="C10" s="42" t="s">
        <v>63</v>
      </c>
    </row>
    <row r="11" spans="1:3" ht="14.4" customHeight="1" x14ac:dyDescent="0.3">
      <c r="A11" s="110" t="str">
        <f t="shared" ref="A11:A14" si="2">HYPERLINK("#'"&amp;C11&amp;"'!A1",C11)</f>
        <v>LŽ Statim</v>
      </c>
      <c r="B11" s="192" t="s">
        <v>117</v>
      </c>
      <c r="C11" s="42" t="s">
        <v>127</v>
      </c>
    </row>
    <row r="12" spans="1:3" ht="14.4" customHeight="1" x14ac:dyDescent="0.3">
      <c r="A12" s="112" t="str">
        <f t="shared" ref="A12" si="3">HYPERLINK("#'"&amp;C12&amp;"'!A1",C12)</f>
        <v>Materiál Žádanky</v>
      </c>
      <c r="B12" s="63" t="s">
        <v>72</v>
      </c>
      <c r="C12" s="42" t="s">
        <v>64</v>
      </c>
    </row>
    <row r="13" spans="1:3" ht="14.4" customHeight="1" x14ac:dyDescent="0.3">
      <c r="A13" s="110" t="str">
        <f t="shared" si="2"/>
        <v>MŽ Detail</v>
      </c>
      <c r="B13" s="63" t="s">
        <v>325</v>
      </c>
      <c r="C13" s="42" t="s">
        <v>65</v>
      </c>
    </row>
    <row r="14" spans="1:3" ht="14.4" customHeight="1" thickBot="1" x14ac:dyDescent="0.35">
      <c r="A14" s="112" t="str">
        <f t="shared" si="2"/>
        <v>Osobní náklady</v>
      </c>
      <c r="B14" s="63" t="s">
        <v>56</v>
      </c>
      <c r="C14" s="42" t="s">
        <v>66</v>
      </c>
    </row>
    <row r="15" spans="1:3" ht="14.4" customHeight="1" thickBot="1" x14ac:dyDescent="0.35">
      <c r="A15" s="66"/>
      <c r="B15" s="66"/>
    </row>
    <row r="16" spans="1:3" ht="14.4" customHeight="1" thickBot="1" x14ac:dyDescent="0.35">
      <c r="A16" s="254" t="s">
        <v>60</v>
      </c>
      <c r="B16" s="252"/>
    </row>
  </sheetData>
  <mergeCells count="4">
    <mergeCell ref="A3:B3"/>
    <mergeCell ref="A9:B9"/>
    <mergeCell ref="A16:B16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1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03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169" customWidth="1"/>
    <col min="18" max="18" width="7.33203125" style="202" customWidth="1"/>
    <col min="19" max="19" width="8" style="169" customWidth="1"/>
    <col min="21" max="21" width="11.21875" bestFit="1" customWidth="1"/>
  </cols>
  <sheetData>
    <row r="1" spans="1:19" ht="18.600000000000001" thickBot="1" x14ac:dyDescent="0.4">
      <c r="A1" s="298" t="s">
        <v>56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</row>
    <row r="2" spans="1:19" ht="15" thickBot="1" x14ac:dyDescent="0.35">
      <c r="A2" s="170" t="s">
        <v>185</v>
      </c>
      <c r="B2" s="171"/>
    </row>
    <row r="3" spans="1:19" x14ac:dyDescent="0.3">
      <c r="A3" s="312" t="s">
        <v>112</v>
      </c>
      <c r="B3" s="313"/>
      <c r="C3" s="314" t="s">
        <v>101</v>
      </c>
      <c r="D3" s="315"/>
      <c r="E3" s="315"/>
      <c r="F3" s="316"/>
      <c r="G3" s="317" t="s">
        <v>102</v>
      </c>
      <c r="H3" s="318"/>
      <c r="I3" s="318"/>
      <c r="J3" s="319"/>
      <c r="K3" s="320" t="s">
        <v>111</v>
      </c>
      <c r="L3" s="321"/>
      <c r="M3" s="321"/>
      <c r="N3" s="321"/>
      <c r="O3" s="322"/>
      <c r="P3" s="318" t="s">
        <v>160</v>
      </c>
      <c r="Q3" s="318"/>
      <c r="R3" s="318"/>
      <c r="S3" s="319"/>
    </row>
    <row r="4" spans="1:19" ht="15" thickBot="1" x14ac:dyDescent="0.35">
      <c r="A4" s="331">
        <v>2018</v>
      </c>
      <c r="B4" s="332"/>
      <c r="C4" s="333" t="s">
        <v>159</v>
      </c>
      <c r="D4" s="335" t="s">
        <v>57</v>
      </c>
      <c r="E4" s="335" t="s">
        <v>52</v>
      </c>
      <c r="F4" s="310" t="s">
        <v>47</v>
      </c>
      <c r="G4" s="325" t="s">
        <v>103</v>
      </c>
      <c r="H4" s="327" t="s">
        <v>107</v>
      </c>
      <c r="I4" s="327" t="s">
        <v>158</v>
      </c>
      <c r="J4" s="329" t="s">
        <v>104</v>
      </c>
      <c r="K4" s="307" t="s">
        <v>157</v>
      </c>
      <c r="L4" s="308"/>
      <c r="M4" s="308"/>
      <c r="N4" s="309"/>
      <c r="O4" s="310" t="s">
        <v>156</v>
      </c>
      <c r="P4" s="299" t="s">
        <v>155</v>
      </c>
      <c r="Q4" s="299" t="s">
        <v>114</v>
      </c>
      <c r="R4" s="301" t="s">
        <v>52</v>
      </c>
      <c r="S4" s="303" t="s">
        <v>113</v>
      </c>
    </row>
    <row r="5" spans="1:19" s="237" customFormat="1" ht="19.2" customHeight="1" x14ac:dyDescent="0.3">
      <c r="A5" s="305" t="s">
        <v>154</v>
      </c>
      <c r="B5" s="306"/>
      <c r="C5" s="334"/>
      <c r="D5" s="336"/>
      <c r="E5" s="336"/>
      <c r="F5" s="311"/>
      <c r="G5" s="326"/>
      <c r="H5" s="328"/>
      <c r="I5" s="328"/>
      <c r="J5" s="330"/>
      <c r="K5" s="240" t="s">
        <v>105</v>
      </c>
      <c r="L5" s="239" t="s">
        <v>106</v>
      </c>
      <c r="M5" s="239" t="s">
        <v>153</v>
      </c>
      <c r="N5" s="238" t="s">
        <v>2</v>
      </c>
      <c r="O5" s="311"/>
      <c r="P5" s="300"/>
      <c r="Q5" s="300"/>
      <c r="R5" s="302"/>
      <c r="S5" s="304"/>
    </row>
    <row r="6" spans="1:19" ht="15" thickBot="1" x14ac:dyDescent="0.35">
      <c r="A6" s="323" t="s">
        <v>100</v>
      </c>
      <c r="B6" s="324"/>
      <c r="C6" s="236">
        <f ca="1">SUM(Tabulka[01 uv_sk])/2</f>
        <v>4</v>
      </c>
      <c r="D6" s="234"/>
      <c r="E6" s="234"/>
      <c r="F6" s="233"/>
      <c r="G6" s="235">
        <f ca="1">SUM(Tabulka[05 h_vram])/2</f>
        <v>1632</v>
      </c>
      <c r="H6" s="234">
        <f ca="1">SUM(Tabulka[06 h_naduv])/2</f>
        <v>0</v>
      </c>
      <c r="I6" s="234">
        <f ca="1">SUM(Tabulka[07 h_nadzk])/2</f>
        <v>0</v>
      </c>
      <c r="J6" s="233">
        <f ca="1">SUM(Tabulka[08 h_oon])/2</f>
        <v>60</v>
      </c>
      <c r="K6" s="235">
        <f ca="1">SUM(Tabulka[09 m_kl])/2</f>
        <v>0</v>
      </c>
      <c r="L6" s="234">
        <f ca="1">SUM(Tabulka[10 m_gr])/2</f>
        <v>0</v>
      </c>
      <c r="M6" s="234">
        <f ca="1">SUM(Tabulka[11 m_jo])/2</f>
        <v>39708</v>
      </c>
      <c r="N6" s="234">
        <f ca="1">SUM(Tabulka[12 m_oc])/2</f>
        <v>39708</v>
      </c>
      <c r="O6" s="233">
        <f ca="1">SUM(Tabulka[13 m_sk])/2</f>
        <v>561101</v>
      </c>
      <c r="P6" s="232">
        <f ca="1">SUM(Tabulka[14_vzsk])/2</f>
        <v>2620</v>
      </c>
      <c r="Q6" s="232">
        <f ca="1">SUM(Tabulka[15_vzpl])/2</f>
        <v>3244.8760113075241</v>
      </c>
      <c r="R6" s="231">
        <f ca="1">IF(Q6=0,0,P6/Q6)</f>
        <v>0.80742684493028438</v>
      </c>
      <c r="S6" s="230">
        <f ca="1">Q6-P6</f>
        <v>624.8760113075241</v>
      </c>
    </row>
    <row r="7" spans="1:19" hidden="1" x14ac:dyDescent="0.3">
      <c r="A7" s="229" t="s">
        <v>152</v>
      </c>
      <c r="B7" s="228" t="s">
        <v>151</v>
      </c>
      <c r="C7" s="227" t="s">
        <v>150</v>
      </c>
      <c r="D7" s="226" t="s">
        <v>149</v>
      </c>
      <c r="E7" s="225" t="s">
        <v>148</v>
      </c>
      <c r="F7" s="224" t="s">
        <v>147</v>
      </c>
      <c r="G7" s="223" t="s">
        <v>146</v>
      </c>
      <c r="H7" s="221" t="s">
        <v>145</v>
      </c>
      <c r="I7" s="221" t="s">
        <v>144</v>
      </c>
      <c r="J7" s="220" t="s">
        <v>143</v>
      </c>
      <c r="K7" s="222" t="s">
        <v>142</v>
      </c>
      <c r="L7" s="221" t="s">
        <v>141</v>
      </c>
      <c r="M7" s="221" t="s">
        <v>140</v>
      </c>
      <c r="N7" s="220" t="s">
        <v>139</v>
      </c>
      <c r="O7" s="219" t="s">
        <v>138</v>
      </c>
      <c r="P7" s="218" t="s">
        <v>137</v>
      </c>
      <c r="Q7" s="217" t="s">
        <v>136</v>
      </c>
      <c r="R7" s="216" t="s">
        <v>135</v>
      </c>
      <c r="S7" s="215" t="s">
        <v>134</v>
      </c>
    </row>
    <row r="8" spans="1:19" x14ac:dyDescent="0.3">
      <c r="A8" s="212" t="s">
        <v>133</v>
      </c>
      <c r="B8" s="211"/>
      <c r="C8" s="20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8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672</v>
      </c>
      <c r="H8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</v>
      </c>
      <c r="K8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8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8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316180</v>
      </c>
      <c r="P8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710</v>
      </c>
      <c r="Q8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1462.0102597467703</v>
      </c>
      <c r="R8" s="214">
        <f ca="1">IF(Tabulka[[#This Row],[15_vzpl]]=0,"",Tabulka[[#This Row],[14_vzsk]]/Tabulka[[#This Row],[15_vzpl]])</f>
        <v>0.48563270692982458</v>
      </c>
      <c r="S8" s="213">
        <f ca="1">IF(Tabulka[[#This Row],[15_vzpl]]-Tabulka[[#This Row],[14_vzsk]]=0,"",Tabulka[[#This Row],[15_vzpl]]-Tabulka[[#This Row],[14_vzsk]])</f>
        <v>752.01025974677032</v>
      </c>
    </row>
    <row r="9" spans="1:19" x14ac:dyDescent="0.3">
      <c r="A9" s="212">
        <v>99</v>
      </c>
      <c r="B9" s="211" t="s">
        <v>332</v>
      </c>
      <c r="C9" s="20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710</v>
      </c>
      <c r="Q9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1462.0102597467703</v>
      </c>
      <c r="R9" s="214">
        <f ca="1">IF(Tabulka[[#This Row],[15_vzpl]]=0,"",Tabulka[[#This Row],[14_vzsk]]/Tabulka[[#This Row],[15_vzpl]])</f>
        <v>0.48563270692982458</v>
      </c>
      <c r="S9" s="213">
        <f ca="1">IF(Tabulka[[#This Row],[15_vzpl]]-Tabulka[[#This Row],[14_vzsk]]=0,"",Tabulka[[#This Row],[15_vzpl]]-Tabulka[[#This Row],[14_vzsk]])</f>
        <v>752.01025974677032</v>
      </c>
    </row>
    <row r="10" spans="1:19" x14ac:dyDescent="0.3">
      <c r="A10" s="212">
        <v>101</v>
      </c>
      <c r="B10" s="211" t="s">
        <v>333</v>
      </c>
      <c r="C10" s="20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0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672</v>
      </c>
      <c r="H10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</v>
      </c>
      <c r="K10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316180</v>
      </c>
      <c r="P10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14" t="str">
        <f ca="1">IF(Tabulka[[#This Row],[15_vzpl]]=0,"",Tabulka[[#This Row],[14_vzsk]]/Tabulka[[#This Row],[15_vzpl]])</f>
        <v/>
      </c>
      <c r="S10" s="213" t="str">
        <f ca="1">IF(Tabulka[[#This Row],[15_vzpl]]-Tabulka[[#This Row],[14_vzsk]]=0,"",Tabulka[[#This Row],[15_vzpl]]-Tabulka[[#This Row],[14_vzsk]])</f>
        <v/>
      </c>
    </row>
    <row r="11" spans="1:19" x14ac:dyDescent="0.3">
      <c r="A11" s="212" t="s">
        <v>326</v>
      </c>
      <c r="B11" s="211"/>
      <c r="C11" s="20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1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448</v>
      </c>
      <c r="H11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19628</v>
      </c>
      <c r="N11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19628</v>
      </c>
      <c r="O11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125601</v>
      </c>
      <c r="P11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1910</v>
      </c>
      <c r="Q11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1782.8657515607542</v>
      </c>
      <c r="R11" s="214">
        <f ca="1">IF(Tabulka[[#This Row],[15_vzpl]]=0,"",Tabulka[[#This Row],[14_vzsk]]/Tabulka[[#This Row],[15_vzpl]])</f>
        <v>1.0713089296420384</v>
      </c>
      <c r="S11" s="213">
        <f ca="1">IF(Tabulka[[#This Row],[15_vzpl]]-Tabulka[[#This Row],[14_vzsk]]=0,"",Tabulka[[#This Row],[15_vzpl]]-Tabulka[[#This Row],[14_vzsk]])</f>
        <v>-127.13424843924577</v>
      </c>
    </row>
    <row r="12" spans="1:19" x14ac:dyDescent="0.3">
      <c r="A12" s="212">
        <v>526</v>
      </c>
      <c r="B12" s="211" t="s">
        <v>334</v>
      </c>
      <c r="C12" s="20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2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2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1198</v>
      </c>
      <c r="P12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1910</v>
      </c>
      <c r="Q12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1782.8657515607542</v>
      </c>
      <c r="R12" s="214">
        <f ca="1">IF(Tabulka[[#This Row],[15_vzpl]]=0,"",Tabulka[[#This Row],[14_vzsk]]/Tabulka[[#This Row],[15_vzpl]])</f>
        <v>1.0713089296420384</v>
      </c>
      <c r="S12" s="213">
        <f ca="1">IF(Tabulka[[#This Row],[15_vzpl]]-Tabulka[[#This Row],[14_vzsk]]=0,"",Tabulka[[#This Row],[15_vzpl]]-Tabulka[[#This Row],[14_vzsk]])</f>
        <v>-127.13424843924577</v>
      </c>
    </row>
    <row r="13" spans="1:19" x14ac:dyDescent="0.3">
      <c r="A13" s="212">
        <v>528</v>
      </c>
      <c r="B13" s="211" t="s">
        <v>335</v>
      </c>
      <c r="C13" s="20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3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448</v>
      </c>
      <c r="H13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19628</v>
      </c>
      <c r="N13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19628</v>
      </c>
      <c r="O13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124403</v>
      </c>
      <c r="P13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14" t="str">
        <f ca="1">IF(Tabulka[[#This Row],[15_vzpl]]=0,"",Tabulka[[#This Row],[14_vzsk]]/Tabulka[[#This Row],[15_vzpl]])</f>
        <v/>
      </c>
      <c r="S13" s="213" t="str">
        <f ca="1">IF(Tabulka[[#This Row],[15_vzpl]]-Tabulka[[#This Row],[14_vzsk]]=0,"",Tabulka[[#This Row],[15_vzpl]]-Tabulka[[#This Row],[14_vzsk]])</f>
        <v/>
      </c>
    </row>
    <row r="14" spans="1:19" x14ac:dyDescent="0.3">
      <c r="A14" s="212" t="s">
        <v>327</v>
      </c>
      <c r="B14" s="211"/>
      <c r="C14" s="20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4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512</v>
      </c>
      <c r="H14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20080</v>
      </c>
      <c r="N14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20080</v>
      </c>
      <c r="O14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119320</v>
      </c>
      <c r="P14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14" t="str">
        <f ca="1">IF(Tabulka[[#This Row],[15_vzpl]]=0,"",Tabulka[[#This Row],[14_vzsk]]/Tabulka[[#This Row],[15_vzpl]])</f>
        <v/>
      </c>
      <c r="S14" s="213" t="str">
        <f ca="1">IF(Tabulka[[#This Row],[15_vzpl]]-Tabulka[[#This Row],[14_vzsk]]=0,"",Tabulka[[#This Row],[15_vzpl]]-Tabulka[[#This Row],[14_vzsk]])</f>
        <v/>
      </c>
    </row>
    <row r="15" spans="1:19" x14ac:dyDescent="0.3">
      <c r="A15" s="212">
        <v>409</v>
      </c>
      <c r="B15" s="211" t="s">
        <v>336</v>
      </c>
      <c r="C15" s="20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5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512</v>
      </c>
      <c r="H15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20080</v>
      </c>
      <c r="N15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20080</v>
      </c>
      <c r="O15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119320</v>
      </c>
      <c r="P15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14" t="str">
        <f ca="1">IF(Tabulka[[#This Row],[15_vzpl]]=0,"",Tabulka[[#This Row],[14_vzsk]]/Tabulka[[#This Row],[15_vzpl]])</f>
        <v/>
      </c>
      <c r="S15" s="213" t="str">
        <f ca="1">IF(Tabulka[[#This Row],[15_vzpl]]-Tabulka[[#This Row],[14_vzsk]]=0,"",Tabulka[[#This Row],[15_vzpl]]-Tabulka[[#This Row],[14_vzsk]])</f>
        <v/>
      </c>
    </row>
    <row r="16" spans="1:19" x14ac:dyDescent="0.3">
      <c r="A16" t="s">
        <v>162</v>
      </c>
    </row>
    <row r="17" spans="1:1" x14ac:dyDescent="0.3">
      <c r="A17" s="79" t="s">
        <v>84</v>
      </c>
    </row>
    <row r="18" spans="1:1" x14ac:dyDescent="0.3">
      <c r="A18" s="80" t="s">
        <v>132</v>
      </c>
    </row>
    <row r="19" spans="1:1" x14ac:dyDescent="0.3">
      <c r="A19" s="204" t="s">
        <v>131</v>
      </c>
    </row>
    <row r="20" spans="1:1" x14ac:dyDescent="0.3">
      <c r="A20" s="173" t="s">
        <v>110</v>
      </c>
    </row>
    <row r="21" spans="1:1" x14ac:dyDescent="0.3">
      <c r="A21" s="175" t="s">
        <v>115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5">
    <cfRule type="cellIs" dxfId="3" priority="3" operator="lessThan">
      <formula>0</formula>
    </cfRule>
  </conditionalFormatting>
  <conditionalFormatting sqref="R6:R15">
    <cfRule type="cellIs" dxfId="2" priority="4" operator="greaterThan">
      <formula>1</formula>
    </cfRule>
  </conditionalFormatting>
  <conditionalFormatting sqref="A8:S15">
    <cfRule type="expression" dxfId="1" priority="2">
      <formula>$B8=""</formula>
    </cfRule>
  </conditionalFormatting>
  <conditionalFormatting sqref="P8:S15">
    <cfRule type="expression" dxfId="0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30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331</v>
      </c>
    </row>
    <row r="2" spans="1:19" x14ac:dyDescent="0.3">
      <c r="A2" s="170" t="s">
        <v>185</v>
      </c>
    </row>
    <row r="3" spans="1:19" x14ac:dyDescent="0.3">
      <c r="A3" s="250" t="s">
        <v>87</v>
      </c>
      <c r="B3" s="249">
        <v>2018</v>
      </c>
      <c r="C3" t="s">
        <v>161</v>
      </c>
      <c r="D3" t="s">
        <v>152</v>
      </c>
      <c r="E3" t="s">
        <v>150</v>
      </c>
      <c r="F3" t="s">
        <v>149</v>
      </c>
      <c r="G3" t="s">
        <v>148</v>
      </c>
      <c r="H3" t="s">
        <v>147</v>
      </c>
      <c r="I3" t="s">
        <v>146</v>
      </c>
      <c r="J3" t="s">
        <v>145</v>
      </c>
      <c r="K3" t="s">
        <v>144</v>
      </c>
      <c r="L3" t="s">
        <v>143</v>
      </c>
      <c r="M3" t="s">
        <v>142</v>
      </c>
      <c r="N3" t="s">
        <v>141</v>
      </c>
      <c r="O3" t="s">
        <v>140</v>
      </c>
      <c r="P3" t="s">
        <v>139</v>
      </c>
      <c r="Q3" t="s">
        <v>138</v>
      </c>
      <c r="R3" t="s">
        <v>137</v>
      </c>
      <c r="S3" t="s">
        <v>136</v>
      </c>
    </row>
    <row r="4" spans="1:19" x14ac:dyDescent="0.3">
      <c r="A4" s="248" t="s">
        <v>88</v>
      </c>
      <c r="B4" s="247">
        <v>1</v>
      </c>
      <c r="C4" s="242">
        <v>1</v>
      </c>
      <c r="D4" s="242" t="s">
        <v>133</v>
      </c>
      <c r="E4" s="241">
        <v>2</v>
      </c>
      <c r="F4" s="241"/>
      <c r="G4" s="241"/>
      <c r="H4" s="241"/>
      <c r="I4" s="241">
        <v>184</v>
      </c>
      <c r="J4" s="241"/>
      <c r="K4" s="241"/>
      <c r="L4" s="241">
        <v>20</v>
      </c>
      <c r="M4" s="241"/>
      <c r="N4" s="241"/>
      <c r="O4" s="241"/>
      <c r="P4" s="241"/>
      <c r="Q4" s="241">
        <v>84140</v>
      </c>
      <c r="R4" s="241"/>
      <c r="S4" s="241">
        <v>487.33675324892346</v>
      </c>
    </row>
    <row r="5" spans="1:19" x14ac:dyDescent="0.3">
      <c r="A5" s="246" t="s">
        <v>89</v>
      </c>
      <c r="B5" s="245">
        <v>2</v>
      </c>
      <c r="C5">
        <v>1</v>
      </c>
      <c r="D5">
        <v>99</v>
      </c>
      <c r="S5">
        <v>487.33675324892346</v>
      </c>
    </row>
    <row r="6" spans="1:19" x14ac:dyDescent="0.3">
      <c r="A6" s="248" t="s">
        <v>90</v>
      </c>
      <c r="B6" s="247">
        <v>3</v>
      </c>
      <c r="C6">
        <v>1</v>
      </c>
      <c r="D6">
        <v>101</v>
      </c>
      <c r="E6">
        <v>2</v>
      </c>
      <c r="I6">
        <v>184</v>
      </c>
      <c r="L6">
        <v>20</v>
      </c>
      <c r="Q6">
        <v>84140</v>
      </c>
    </row>
    <row r="7" spans="1:19" x14ac:dyDescent="0.3">
      <c r="A7" s="246" t="s">
        <v>91</v>
      </c>
      <c r="B7" s="245">
        <v>4</v>
      </c>
      <c r="C7">
        <v>1</v>
      </c>
      <c r="D7" t="s">
        <v>326</v>
      </c>
      <c r="E7">
        <v>1</v>
      </c>
      <c r="I7">
        <v>160</v>
      </c>
      <c r="O7">
        <v>8650</v>
      </c>
      <c r="P7">
        <v>8650</v>
      </c>
      <c r="Q7">
        <v>44838</v>
      </c>
      <c r="S7">
        <v>594.28858385358478</v>
      </c>
    </row>
    <row r="8" spans="1:19" x14ac:dyDescent="0.3">
      <c r="A8" s="248" t="s">
        <v>92</v>
      </c>
      <c r="B8" s="247">
        <v>5</v>
      </c>
      <c r="C8">
        <v>1</v>
      </c>
      <c r="D8">
        <v>526</v>
      </c>
      <c r="Q8">
        <v>600</v>
      </c>
      <c r="S8">
        <v>594.28858385358478</v>
      </c>
    </row>
    <row r="9" spans="1:19" x14ac:dyDescent="0.3">
      <c r="A9" s="246" t="s">
        <v>93</v>
      </c>
      <c r="B9" s="245">
        <v>6</v>
      </c>
      <c r="C9">
        <v>1</v>
      </c>
      <c r="D9">
        <v>528</v>
      </c>
      <c r="E9">
        <v>1</v>
      </c>
      <c r="I9">
        <v>160</v>
      </c>
      <c r="O9">
        <v>8650</v>
      </c>
      <c r="P9">
        <v>8650</v>
      </c>
      <c r="Q9">
        <v>44238</v>
      </c>
    </row>
    <row r="10" spans="1:19" x14ac:dyDescent="0.3">
      <c r="A10" s="248" t="s">
        <v>94</v>
      </c>
      <c r="B10" s="247">
        <v>7</v>
      </c>
      <c r="C10">
        <v>1</v>
      </c>
      <c r="D10" t="s">
        <v>327</v>
      </c>
      <c r="E10">
        <v>1</v>
      </c>
      <c r="I10">
        <v>176</v>
      </c>
      <c r="O10">
        <v>9580</v>
      </c>
      <c r="P10">
        <v>9580</v>
      </c>
      <c r="Q10">
        <v>42740</v>
      </c>
    </row>
    <row r="11" spans="1:19" x14ac:dyDescent="0.3">
      <c r="A11" s="246" t="s">
        <v>95</v>
      </c>
      <c r="B11" s="245">
        <v>8</v>
      </c>
      <c r="C11">
        <v>1</v>
      </c>
      <c r="D11">
        <v>409</v>
      </c>
      <c r="E11">
        <v>1</v>
      </c>
      <c r="I11">
        <v>176</v>
      </c>
      <c r="O11">
        <v>9580</v>
      </c>
      <c r="P11">
        <v>9580</v>
      </c>
      <c r="Q11">
        <v>42740</v>
      </c>
    </row>
    <row r="12" spans="1:19" x14ac:dyDescent="0.3">
      <c r="A12" s="248" t="s">
        <v>96</v>
      </c>
      <c r="B12" s="247">
        <v>9</v>
      </c>
      <c r="C12" t="s">
        <v>328</v>
      </c>
      <c r="E12">
        <v>4</v>
      </c>
      <c r="I12">
        <v>520</v>
      </c>
      <c r="L12">
        <v>20</v>
      </c>
      <c r="O12">
        <v>18230</v>
      </c>
      <c r="P12">
        <v>18230</v>
      </c>
      <c r="Q12">
        <v>171718</v>
      </c>
      <c r="S12">
        <v>1081.6253371025082</v>
      </c>
    </row>
    <row r="13" spans="1:19" x14ac:dyDescent="0.3">
      <c r="A13" s="246" t="s">
        <v>97</v>
      </c>
      <c r="B13" s="245">
        <v>10</v>
      </c>
      <c r="C13">
        <v>2</v>
      </c>
      <c r="D13" t="s">
        <v>133</v>
      </c>
      <c r="E13">
        <v>2</v>
      </c>
      <c r="I13">
        <v>176</v>
      </c>
      <c r="L13">
        <v>20</v>
      </c>
      <c r="Q13">
        <v>92396</v>
      </c>
      <c r="R13">
        <v>110</v>
      </c>
      <c r="S13">
        <v>487.33675324892346</v>
      </c>
    </row>
    <row r="14" spans="1:19" x14ac:dyDescent="0.3">
      <c r="A14" s="248" t="s">
        <v>98</v>
      </c>
      <c r="B14" s="247">
        <v>11</v>
      </c>
      <c r="C14">
        <v>2</v>
      </c>
      <c r="D14">
        <v>99</v>
      </c>
      <c r="R14">
        <v>110</v>
      </c>
      <c r="S14">
        <v>487.33675324892346</v>
      </c>
    </row>
    <row r="15" spans="1:19" x14ac:dyDescent="0.3">
      <c r="A15" s="246" t="s">
        <v>99</v>
      </c>
      <c r="B15" s="245">
        <v>12</v>
      </c>
      <c r="C15">
        <v>2</v>
      </c>
      <c r="D15">
        <v>101</v>
      </c>
      <c r="E15">
        <v>2</v>
      </c>
      <c r="I15">
        <v>176</v>
      </c>
      <c r="L15">
        <v>20</v>
      </c>
      <c r="Q15">
        <v>92396</v>
      </c>
    </row>
    <row r="16" spans="1:19" x14ac:dyDescent="0.3">
      <c r="A16" s="244" t="s">
        <v>87</v>
      </c>
      <c r="B16" s="243">
        <v>2018</v>
      </c>
      <c r="C16">
        <v>2</v>
      </c>
      <c r="D16" t="s">
        <v>326</v>
      </c>
      <c r="E16">
        <v>1</v>
      </c>
      <c r="I16">
        <v>120</v>
      </c>
      <c r="O16">
        <v>10228</v>
      </c>
      <c r="P16">
        <v>10228</v>
      </c>
      <c r="Q16">
        <v>44813</v>
      </c>
      <c r="R16">
        <v>1910</v>
      </c>
      <c r="S16">
        <v>594.28858385358478</v>
      </c>
    </row>
    <row r="17" spans="3:19" x14ac:dyDescent="0.3">
      <c r="C17">
        <v>2</v>
      </c>
      <c r="D17">
        <v>526</v>
      </c>
      <c r="Q17">
        <v>570</v>
      </c>
      <c r="R17">
        <v>1910</v>
      </c>
      <c r="S17">
        <v>594.28858385358478</v>
      </c>
    </row>
    <row r="18" spans="3:19" x14ac:dyDescent="0.3">
      <c r="C18">
        <v>2</v>
      </c>
      <c r="D18">
        <v>528</v>
      </c>
      <c r="E18">
        <v>1</v>
      </c>
      <c r="I18">
        <v>120</v>
      </c>
      <c r="O18">
        <v>10228</v>
      </c>
      <c r="P18">
        <v>10228</v>
      </c>
      <c r="Q18">
        <v>44243</v>
      </c>
    </row>
    <row r="19" spans="3:19" x14ac:dyDescent="0.3">
      <c r="C19">
        <v>2</v>
      </c>
      <c r="D19" t="s">
        <v>327</v>
      </c>
      <c r="E19">
        <v>1</v>
      </c>
      <c r="I19">
        <v>160</v>
      </c>
      <c r="O19">
        <v>10500</v>
      </c>
      <c r="P19">
        <v>10500</v>
      </c>
      <c r="Q19">
        <v>43540</v>
      </c>
    </row>
    <row r="20" spans="3:19" x14ac:dyDescent="0.3">
      <c r="C20">
        <v>2</v>
      </c>
      <c r="D20">
        <v>409</v>
      </c>
      <c r="E20">
        <v>1</v>
      </c>
      <c r="I20">
        <v>160</v>
      </c>
      <c r="O20">
        <v>10500</v>
      </c>
      <c r="P20">
        <v>10500</v>
      </c>
      <c r="Q20">
        <v>43540</v>
      </c>
    </row>
    <row r="21" spans="3:19" x14ac:dyDescent="0.3">
      <c r="C21" t="s">
        <v>329</v>
      </c>
      <c r="E21">
        <v>4</v>
      </c>
      <c r="I21">
        <v>456</v>
      </c>
      <c r="L21">
        <v>20</v>
      </c>
      <c r="O21">
        <v>20728</v>
      </c>
      <c r="P21">
        <v>20728</v>
      </c>
      <c r="Q21">
        <v>180749</v>
      </c>
      <c r="R21">
        <v>2020</v>
      </c>
      <c r="S21">
        <v>1081.6253371025082</v>
      </c>
    </row>
    <row r="22" spans="3:19" x14ac:dyDescent="0.3">
      <c r="C22">
        <v>3</v>
      </c>
      <c r="D22" t="s">
        <v>133</v>
      </c>
      <c r="E22">
        <v>2</v>
      </c>
      <c r="I22">
        <v>312</v>
      </c>
      <c r="L22">
        <v>20</v>
      </c>
      <c r="Q22">
        <v>139644</v>
      </c>
      <c r="R22">
        <v>600</v>
      </c>
      <c r="S22">
        <v>487.33675324892346</v>
      </c>
    </row>
    <row r="23" spans="3:19" x14ac:dyDescent="0.3">
      <c r="C23">
        <v>3</v>
      </c>
      <c r="D23">
        <v>99</v>
      </c>
      <c r="R23">
        <v>600</v>
      </c>
      <c r="S23">
        <v>487.33675324892346</v>
      </c>
    </row>
    <row r="24" spans="3:19" x14ac:dyDescent="0.3">
      <c r="C24">
        <v>3</v>
      </c>
      <c r="D24">
        <v>101</v>
      </c>
      <c r="E24">
        <v>2</v>
      </c>
      <c r="I24">
        <v>312</v>
      </c>
      <c r="L24">
        <v>20</v>
      </c>
      <c r="Q24">
        <v>139644</v>
      </c>
    </row>
    <row r="25" spans="3:19" x14ac:dyDescent="0.3">
      <c r="C25">
        <v>3</v>
      </c>
      <c r="D25" t="s">
        <v>326</v>
      </c>
      <c r="E25">
        <v>1</v>
      </c>
      <c r="I25">
        <v>168</v>
      </c>
      <c r="O25">
        <v>750</v>
      </c>
      <c r="P25">
        <v>750</v>
      </c>
      <c r="Q25">
        <v>35950</v>
      </c>
      <c r="S25">
        <v>594.28858385358478</v>
      </c>
    </row>
    <row r="26" spans="3:19" x14ac:dyDescent="0.3">
      <c r="C26">
        <v>3</v>
      </c>
      <c r="D26">
        <v>526</v>
      </c>
      <c r="Q26">
        <v>28</v>
      </c>
      <c r="S26">
        <v>594.28858385358478</v>
      </c>
    </row>
    <row r="27" spans="3:19" x14ac:dyDescent="0.3">
      <c r="C27">
        <v>3</v>
      </c>
      <c r="D27">
        <v>528</v>
      </c>
      <c r="E27">
        <v>1</v>
      </c>
      <c r="I27">
        <v>168</v>
      </c>
      <c r="O27">
        <v>750</v>
      </c>
      <c r="P27">
        <v>750</v>
      </c>
      <c r="Q27">
        <v>35922</v>
      </c>
    </row>
    <row r="28" spans="3:19" x14ac:dyDescent="0.3">
      <c r="C28">
        <v>3</v>
      </c>
      <c r="D28" t="s">
        <v>327</v>
      </c>
      <c r="E28">
        <v>1</v>
      </c>
      <c r="I28">
        <v>176</v>
      </c>
      <c r="Q28">
        <v>33040</v>
      </c>
    </row>
    <row r="29" spans="3:19" x14ac:dyDescent="0.3">
      <c r="C29">
        <v>3</v>
      </c>
      <c r="D29">
        <v>409</v>
      </c>
      <c r="E29">
        <v>1</v>
      </c>
      <c r="I29">
        <v>176</v>
      </c>
      <c r="Q29">
        <v>33040</v>
      </c>
    </row>
    <row r="30" spans="3:19" x14ac:dyDescent="0.3">
      <c r="C30" t="s">
        <v>330</v>
      </c>
      <c r="E30">
        <v>4</v>
      </c>
      <c r="I30">
        <v>656</v>
      </c>
      <c r="L30">
        <v>20</v>
      </c>
      <c r="O30">
        <v>750</v>
      </c>
      <c r="P30">
        <v>750</v>
      </c>
      <c r="Q30">
        <v>208634</v>
      </c>
      <c r="R30">
        <v>600</v>
      </c>
      <c r="S30">
        <v>1081.6253371025082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0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3" bestFit="1" customWidth="1"/>
    <col min="2" max="2" width="11.6640625" style="113" hidden="1" customWidth="1"/>
    <col min="3" max="4" width="11" style="115" customWidth="1"/>
    <col min="5" max="5" width="11" style="116" customWidth="1"/>
    <col min="6" max="16384" width="8.88671875" style="113"/>
  </cols>
  <sheetData>
    <row r="1" spans="1:5" ht="18.600000000000001" thickBot="1" x14ac:dyDescent="0.4">
      <c r="A1" s="255" t="s">
        <v>67</v>
      </c>
      <c r="B1" s="255"/>
      <c r="C1" s="256"/>
      <c r="D1" s="256"/>
      <c r="E1" s="256"/>
    </row>
    <row r="2" spans="1:5" ht="14.4" customHeight="1" thickBot="1" x14ac:dyDescent="0.35">
      <c r="A2" s="170" t="s">
        <v>185</v>
      </c>
      <c r="B2" s="114"/>
    </row>
    <row r="3" spans="1:5" ht="14.4" customHeight="1" thickBot="1" x14ac:dyDescent="0.35">
      <c r="A3" s="117"/>
      <c r="C3" s="118" t="s">
        <v>57</v>
      </c>
      <c r="D3" s="119" t="s">
        <v>50</v>
      </c>
      <c r="E3" s="120" t="s">
        <v>52</v>
      </c>
    </row>
    <row r="4" spans="1:5" ht="14.4" customHeight="1" thickBot="1" x14ac:dyDescent="0.35">
      <c r="A4" s="121" t="str">
        <f>HYPERLINK("#HI!A1","NÁKLADY CELKEM (v tisících Kč)")</f>
        <v>NÁKLADY CELKEM (v tisících Kč)</v>
      </c>
      <c r="B4" s="122"/>
      <c r="C4" s="123">
        <f ca="1">IF(ISERROR(VLOOKUP("Náklady celkem",INDIRECT("HI!$A:$G"),6,0)),0,VLOOKUP("Náklady celkem",INDIRECT("HI!$A:$G"),6,0))</f>
        <v>1005.7701604356765</v>
      </c>
      <c r="D4" s="123">
        <f ca="1">IF(ISERROR(VLOOKUP("Náklady celkem",INDIRECT("HI!$A:$G"),5,0)),0,VLOOKUP("Náklady celkem",INDIRECT("HI!$A:$G"),5,0))</f>
        <v>957.68570999999997</v>
      </c>
      <c r="E4" s="124">
        <f ca="1">IF(C4=0,0,D4/C4)</f>
        <v>0.95219141278276986</v>
      </c>
    </row>
    <row r="5" spans="1:5" ht="14.4" customHeight="1" x14ac:dyDescent="0.3">
      <c r="A5" s="125" t="s">
        <v>76</v>
      </c>
      <c r="B5" s="126"/>
      <c r="C5" s="127"/>
      <c r="D5" s="127"/>
      <c r="E5" s="128"/>
    </row>
    <row r="6" spans="1:5" ht="14.4" customHeight="1" x14ac:dyDescent="0.3">
      <c r="A6" s="129" t="s">
        <v>81</v>
      </c>
      <c r="B6" s="130"/>
      <c r="C6" s="131"/>
      <c r="D6" s="131"/>
      <c r="E6" s="128"/>
    </row>
    <row r="7" spans="1:5" ht="14.4" customHeight="1" x14ac:dyDescent="0.3">
      <c r="A7" s="19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0" t="s">
        <v>61</v>
      </c>
      <c r="C7" s="131">
        <f>IF(ISERROR(HI!F5),"",HI!F5)</f>
        <v>1.25</v>
      </c>
      <c r="D7" s="131">
        <f>IF(ISERROR(HI!E5),"",HI!E5)</f>
        <v>0</v>
      </c>
      <c r="E7" s="128">
        <f t="shared" ref="E7:E12" si="0">IF(C7=0,0,D7/C7)</f>
        <v>0</v>
      </c>
    </row>
    <row r="8" spans="1:5" ht="14.4" customHeight="1" x14ac:dyDescent="0.3">
      <c r="A8" s="195" t="str">
        <f>HYPERLINK("#'LŽ Statim'!A1","Podíl statimových žádanek (max. 30%)")</f>
        <v>Podíl statimových žádanek (max. 30%)</v>
      </c>
      <c r="B8" s="193" t="s">
        <v>127</v>
      </c>
      <c r="C8" s="194">
        <v>0.3</v>
      </c>
      <c r="D8" s="194">
        <f>IF('LŽ Statim'!G3="",0,'LŽ Statim'!G3)</f>
        <v>0</v>
      </c>
      <c r="E8" s="128">
        <f>IF(C8=0,0,D8/C8)</f>
        <v>0</v>
      </c>
    </row>
    <row r="9" spans="1:5" ht="14.4" customHeight="1" x14ac:dyDescent="0.3">
      <c r="A9" s="132" t="s">
        <v>77</v>
      </c>
      <c r="B9" s="130"/>
      <c r="C9" s="131"/>
      <c r="D9" s="131"/>
      <c r="E9" s="128"/>
    </row>
    <row r="10" spans="1:5" ht="14.4" customHeight="1" x14ac:dyDescent="0.3">
      <c r="A10" s="132" t="s">
        <v>78</v>
      </c>
      <c r="B10" s="130"/>
      <c r="C10" s="131"/>
      <c r="D10" s="131"/>
      <c r="E10" s="128"/>
    </row>
    <row r="11" spans="1:5" ht="14.4" customHeight="1" x14ac:dyDescent="0.3">
      <c r="A11" s="133" t="s">
        <v>82</v>
      </c>
      <c r="B11" s="130"/>
      <c r="C11" s="127"/>
      <c r="D11" s="127"/>
      <c r="E11" s="128"/>
    </row>
    <row r="12" spans="1:5" ht="14.4" customHeight="1" x14ac:dyDescent="0.3">
      <c r="A12" s="13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30" t="s">
        <v>61</v>
      </c>
      <c r="C12" s="131">
        <f>IF(ISERROR(HI!F6),"",HI!F6)</f>
        <v>16.570290168762206</v>
      </c>
      <c r="D12" s="131">
        <f>IF(ISERROR(HI!E6),"",HI!E6)</f>
        <v>12.459</v>
      </c>
      <c r="E12" s="128">
        <f t="shared" si="0"/>
        <v>0.7518878591207363</v>
      </c>
    </row>
    <row r="13" spans="1:5" ht="14.4" customHeight="1" thickBot="1" x14ac:dyDescent="0.35">
      <c r="A13" s="135" t="str">
        <f>HYPERLINK("#HI!A1","Osobní náklady")</f>
        <v>Osobní náklady</v>
      </c>
      <c r="B13" s="130"/>
      <c r="C13" s="127">
        <f ca="1">IF(ISERROR(VLOOKUP("Osobní náklady (Kč) *",INDIRECT("HI!$A:$G"),6,0)),0,VLOOKUP("Osobní náklady (Kč) *",INDIRECT("HI!$A:$G"),6,0))</f>
        <v>813.584642578125</v>
      </c>
      <c r="D13" s="127">
        <f ca="1">IF(ISERROR(VLOOKUP("Osobní náklady (Kč) *",INDIRECT("HI!$A:$G"),5,0)),0,VLOOKUP("Osobní náklady (Kč) *",INDIRECT("HI!$A:$G"),5,0))</f>
        <v>766.81977000000006</v>
      </c>
      <c r="E13" s="128">
        <f ca="1">IF(C13=0,0,D13/C13)</f>
        <v>0.94251996641685098</v>
      </c>
    </row>
    <row r="14" spans="1:5" ht="14.4" customHeight="1" thickBot="1" x14ac:dyDescent="0.35">
      <c r="A14" s="139"/>
      <c r="B14" s="140"/>
      <c r="C14" s="141"/>
      <c r="D14" s="141"/>
      <c r="E14" s="142"/>
    </row>
    <row r="15" spans="1:5" ht="14.4" customHeight="1" thickBot="1" x14ac:dyDescent="0.35">
      <c r="A15" s="143" t="str">
        <f>HYPERLINK("#HI!A1","VÝNOSY CELKEM (v tisících)")</f>
        <v>VÝNOSY CELKEM (v tisících)</v>
      </c>
      <c r="B15" s="144"/>
      <c r="C15" s="145">
        <f ca="1">IF(ISERROR(VLOOKUP("Výnosy celkem",INDIRECT("HI!$A:$G"),6,0)),0,VLOOKUP("Výnosy celkem",INDIRECT("HI!$A:$G"),6,0))</f>
        <v>0</v>
      </c>
      <c r="D15" s="145">
        <f ca="1">IF(ISERROR(VLOOKUP("Výnosy celkem",INDIRECT("HI!$A:$G"),5,0)),0,VLOOKUP("Výnosy celkem",INDIRECT("HI!$A:$G"),5,0))</f>
        <v>0</v>
      </c>
      <c r="E15" s="146">
        <f t="shared" ref="E15:E16" ca="1" si="1">IF(C15=0,0,D15/C15)</f>
        <v>0</v>
      </c>
    </row>
    <row r="16" spans="1:5" ht="14.4" customHeight="1" x14ac:dyDescent="0.3">
      <c r="A16" s="147" t="str">
        <f>HYPERLINK("#HI!A1","Ambulance (body za výkony + Kč za ZUM a ZULP)")</f>
        <v>Ambulance (body za výkony + Kč za ZUM a ZULP)</v>
      </c>
      <c r="B16" s="126"/>
      <c r="C16" s="127">
        <f ca="1">IF(ISERROR(VLOOKUP("Ambulance *",INDIRECT("HI!$A:$G"),6,0)),0,VLOOKUP("Ambulance *",INDIRECT("HI!$A:$G"),6,0))</f>
        <v>0</v>
      </c>
      <c r="D16" s="127">
        <f ca="1">IF(ISERROR(VLOOKUP("Ambulance *",INDIRECT("HI!$A:$G"),5,0)),0,VLOOKUP("Ambulance *",INDIRECT("HI!$A:$G"),5,0))</f>
        <v>0</v>
      </c>
      <c r="E16" s="128">
        <f t="shared" ca="1" si="1"/>
        <v>0</v>
      </c>
    </row>
    <row r="17" spans="1:5" ht="14.4" customHeight="1" x14ac:dyDescent="0.3">
      <c r="A17" s="148" t="str">
        <f>HYPERLINK("#HI!A1","Hospitalizace (casemix * 30000)")</f>
        <v>Hospitalizace (casemix * 30000)</v>
      </c>
      <c r="B17" s="130"/>
      <c r="C17" s="127">
        <f ca="1">IF(ISERROR(VLOOKUP("Hospitalizace *",INDIRECT("HI!$A:$G"),6,0)),0,VLOOKUP("Hospitalizace *",INDIRECT("HI!$A:$G"),6,0))</f>
        <v>0</v>
      </c>
      <c r="D17" s="127">
        <f ca="1">IF(ISERROR(VLOOKUP("Hospitalizace *",INDIRECT("HI!$A:$G"),5,0)),0,VLOOKUP("Hospitalizace *",INDIRECT("HI!$A:$G"),5,0))</f>
        <v>0</v>
      </c>
      <c r="E17" s="128">
        <f ca="1">IF(C17=0,0,D17/C17)</f>
        <v>0</v>
      </c>
    </row>
    <row r="18" spans="1:5" ht="14.4" customHeight="1" thickBot="1" x14ac:dyDescent="0.35">
      <c r="A18" s="149" t="s">
        <v>79</v>
      </c>
      <c r="B18" s="136"/>
      <c r="C18" s="137"/>
      <c r="D18" s="137"/>
      <c r="E18" s="138"/>
    </row>
    <row r="19" spans="1:5" ht="14.4" customHeight="1" thickBot="1" x14ac:dyDescent="0.35">
      <c r="A19" s="150"/>
      <c r="B19" s="151"/>
      <c r="C19" s="152"/>
      <c r="D19" s="152"/>
      <c r="E19" s="153"/>
    </row>
    <row r="20" spans="1:5" ht="14.4" customHeight="1" thickBot="1" x14ac:dyDescent="0.35">
      <c r="A20" s="154" t="s">
        <v>80</v>
      </c>
      <c r="B20" s="155"/>
      <c r="C20" s="156"/>
      <c r="D20" s="156"/>
      <c r="E20" s="157"/>
    </row>
  </sheetData>
  <mergeCells count="1">
    <mergeCell ref="A1:E1"/>
  </mergeCells>
  <conditionalFormatting sqref="E5">
    <cfRule type="cellIs" dxfId="51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50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4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8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17">
    <cfRule type="cellIs" dxfId="47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45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4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2">
    <cfRule type="cellIs" dxfId="43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95" bestFit="1" customWidth="1"/>
    <col min="2" max="2" width="9.5546875" style="95" hidden="1" customWidth="1" outlineLevel="1"/>
    <col min="3" max="3" width="9.5546875" style="95" customWidth="1" collapsed="1"/>
    <col min="4" max="4" width="2.21875" style="95" customWidth="1"/>
    <col min="5" max="8" width="9.5546875" style="95" customWidth="1"/>
    <col min="9" max="10" width="9.77734375" style="95" hidden="1" customWidth="1" outlineLevel="1"/>
    <col min="11" max="11" width="8.88671875" style="95" collapsed="1"/>
    <col min="12" max="16384" width="8.88671875" style="95"/>
  </cols>
  <sheetData>
    <row r="1" spans="1:10" ht="18.600000000000001" customHeight="1" thickBot="1" x14ac:dyDescent="0.4">
      <c r="A1" s="266" t="s">
        <v>70</v>
      </c>
      <c r="B1" s="266"/>
      <c r="C1" s="266"/>
      <c r="D1" s="266"/>
      <c r="E1" s="266"/>
      <c r="F1" s="266"/>
      <c r="G1" s="266"/>
      <c r="H1" s="266"/>
      <c r="I1" s="266"/>
      <c r="J1" s="266"/>
    </row>
    <row r="2" spans="1:10" ht="14.4" customHeight="1" thickBot="1" x14ac:dyDescent="0.35">
      <c r="A2" s="170" t="s">
        <v>185</v>
      </c>
      <c r="B2" s="77"/>
      <c r="C2" s="77"/>
      <c r="D2" s="77"/>
      <c r="E2" s="77"/>
      <c r="F2" s="77"/>
    </row>
    <row r="3" spans="1:10" ht="14.4" customHeight="1" x14ac:dyDescent="0.3">
      <c r="A3" s="257"/>
      <c r="B3" s="73">
        <v>2015</v>
      </c>
      <c r="C3" s="40">
        <v>2017</v>
      </c>
      <c r="D3" s="7"/>
      <c r="E3" s="261">
        <v>2018</v>
      </c>
      <c r="F3" s="262"/>
      <c r="G3" s="262"/>
      <c r="H3" s="263"/>
      <c r="I3" s="264">
        <v>2017</v>
      </c>
      <c r="J3" s="265"/>
    </row>
    <row r="4" spans="1:10" ht="14.4" customHeight="1" thickBot="1" x14ac:dyDescent="0.35">
      <c r="A4" s="258"/>
      <c r="B4" s="259" t="s">
        <v>50</v>
      </c>
      <c r="C4" s="260"/>
      <c r="D4" s="7"/>
      <c r="E4" s="94" t="s">
        <v>50</v>
      </c>
      <c r="F4" s="75" t="s">
        <v>51</v>
      </c>
      <c r="G4" s="75" t="s">
        <v>47</v>
      </c>
      <c r="H4" s="76" t="s">
        <v>52</v>
      </c>
      <c r="I4" s="198" t="s">
        <v>129</v>
      </c>
      <c r="J4" s="199" t="s">
        <v>130</v>
      </c>
    </row>
    <row r="5" spans="1:10" ht="14.4" customHeight="1" x14ac:dyDescent="0.3">
      <c r="A5" s="78" t="str">
        <f>HYPERLINK("#'Léky Žádanky'!A1","Léky (Kč)")</f>
        <v>Léky (Kč)</v>
      </c>
      <c r="B5" s="27">
        <v>0.15182999999999999</v>
      </c>
      <c r="C5" s="29">
        <v>0.41959999999999997</v>
      </c>
      <c r="D5" s="8"/>
      <c r="E5" s="83">
        <v>0</v>
      </c>
      <c r="F5" s="28">
        <v>1.25</v>
      </c>
      <c r="G5" s="82">
        <f>E5-F5</f>
        <v>-1.25</v>
      </c>
      <c r="H5" s="88">
        <f>IF(F5&lt;0.00000001,"",E5/F5)</f>
        <v>0</v>
      </c>
    </row>
    <row r="6" spans="1:10" ht="14.4" customHeight="1" x14ac:dyDescent="0.3">
      <c r="A6" s="78" t="str">
        <f>HYPERLINK("#'Materiál Žádanky'!A1","Materiál - SZM (Kč)")</f>
        <v>Materiál - SZM (Kč)</v>
      </c>
      <c r="B6" s="10">
        <v>13.95096</v>
      </c>
      <c r="C6" s="31">
        <v>24.17698</v>
      </c>
      <c r="D6" s="8"/>
      <c r="E6" s="84">
        <v>12.459</v>
      </c>
      <c r="F6" s="30">
        <v>16.570290168762206</v>
      </c>
      <c r="G6" s="85">
        <f>E6-F6</f>
        <v>-4.1112901687622063</v>
      </c>
      <c r="H6" s="89">
        <f>IF(F6&lt;0.00000001,"",E6/F6)</f>
        <v>0.7518878591207363</v>
      </c>
    </row>
    <row r="7" spans="1:10" ht="14.4" customHeight="1" x14ac:dyDescent="0.3">
      <c r="A7" s="78" t="str">
        <f>HYPERLINK("#'Osobní náklady'!A1","Osobní náklady (Kč) *")</f>
        <v>Osobní náklady (Kč) *</v>
      </c>
      <c r="B7" s="10">
        <v>682.75252999999987</v>
      </c>
      <c r="C7" s="31">
        <v>773.44611999999995</v>
      </c>
      <c r="D7" s="8"/>
      <c r="E7" s="84">
        <v>766.81977000000006</v>
      </c>
      <c r="F7" s="30">
        <v>813.584642578125</v>
      </c>
      <c r="G7" s="85">
        <f>E7-F7</f>
        <v>-46.764872578124937</v>
      </c>
      <c r="H7" s="89">
        <f>IF(F7&lt;0.00000001,"",E7/F7)</f>
        <v>0.94251996641685098</v>
      </c>
    </row>
    <row r="8" spans="1:10" ht="14.4" customHeight="1" thickBot="1" x14ac:dyDescent="0.35">
      <c r="A8" s="1" t="s">
        <v>53</v>
      </c>
      <c r="B8" s="11">
        <v>133.95397000000017</v>
      </c>
      <c r="C8" s="33">
        <v>144.89783999999997</v>
      </c>
      <c r="D8" s="8"/>
      <c r="E8" s="86">
        <v>178.40693999999991</v>
      </c>
      <c r="F8" s="32">
        <v>174.36522768878933</v>
      </c>
      <c r="G8" s="87">
        <f>E8-F8</f>
        <v>4.0417123112105742</v>
      </c>
      <c r="H8" s="90">
        <f>IF(F8&lt;0.00000001,"",E8/F8)</f>
        <v>1.0231795775154453</v>
      </c>
    </row>
    <row r="9" spans="1:10" ht="14.4" customHeight="1" thickBot="1" x14ac:dyDescent="0.35">
      <c r="A9" s="2" t="s">
        <v>54</v>
      </c>
      <c r="B9" s="3">
        <v>830.80929000000003</v>
      </c>
      <c r="C9" s="35">
        <v>942.94053999999994</v>
      </c>
      <c r="D9" s="8"/>
      <c r="E9" s="3">
        <v>957.68570999999997</v>
      </c>
      <c r="F9" s="34">
        <v>1005.7701604356765</v>
      </c>
      <c r="G9" s="34">
        <f>E9-F9</f>
        <v>-48.084450435676558</v>
      </c>
      <c r="H9" s="91">
        <f>IF(F9&lt;0.00000001,"",E9/F9)</f>
        <v>0.95219141278276986</v>
      </c>
    </row>
    <row r="10" spans="1:10" ht="14.4" customHeight="1" thickBot="1" x14ac:dyDescent="0.35">
      <c r="A10" s="12"/>
      <c r="B10" s="12"/>
      <c r="C10" s="74"/>
      <c r="D10" s="8"/>
      <c r="E10" s="12"/>
      <c r="F10" s="13"/>
    </row>
    <row r="11" spans="1:10" ht="14.4" customHeight="1" x14ac:dyDescent="0.3">
      <c r="A11" s="98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IF(ISERROR(VLOOKUP("Celkem:",#REF!,5,0)),0,VLOOKUP("Celkem:",#REF!,5,0)/1000)</f>
        <v>0</v>
      </c>
      <c r="D11" s="8"/>
      <c r="E11" s="83">
        <f>IF(ISERROR(VLOOKUP("Celkem:",#REF!,8,0)),0,VLOOKUP("Celkem:",#REF!,8,0)/1000)</f>
        <v>0</v>
      </c>
      <c r="F11" s="28">
        <f>C11</f>
        <v>0</v>
      </c>
      <c r="G11" s="82">
        <f>E11-F11</f>
        <v>0</v>
      </c>
      <c r="H11" s="88" t="str">
        <f>IF(F11&lt;0.00000001,"",E11/F11)</f>
        <v/>
      </c>
      <c r="I11" s="82">
        <f>E11-B11</f>
        <v>0</v>
      </c>
      <c r="J11" s="88" t="str">
        <f>IF(B11&lt;0.00000001,"",E11/B11)</f>
        <v/>
      </c>
    </row>
    <row r="12" spans="1:10" ht="14.4" customHeight="1" thickBot="1" x14ac:dyDescent="0.35">
      <c r="A12" s="9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6">
        <f>IF(ISERROR(VLOOKUP("Celkem",#REF!,4,0)),0,VLOOKUP("Celkem",#REF!,4,0)*30)</f>
        <v>0</v>
      </c>
      <c r="F12" s="32">
        <f>C12</f>
        <v>0</v>
      </c>
      <c r="G12" s="87">
        <f>E12-F12</f>
        <v>0</v>
      </c>
      <c r="H12" s="90" t="str">
        <f>IF(F12&lt;0.00000001,"",E12/F12)</f>
        <v/>
      </c>
      <c r="I12" s="87">
        <f>E12-B12</f>
        <v>0</v>
      </c>
      <c r="J12" s="90" t="str">
        <f>IF(B12&lt;0.00000001,"",E12/B12)</f>
        <v/>
      </c>
    </row>
    <row r="13" spans="1:10" ht="14.4" customHeight="1" thickBot="1" x14ac:dyDescent="0.35">
      <c r="A13" s="4" t="s">
        <v>55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92" t="str">
        <f>IF(F13&lt;0.00000001,"",E13/F13)</f>
        <v/>
      </c>
      <c r="I13" s="36">
        <f>SUM(I11:I12)</f>
        <v>0</v>
      </c>
      <c r="J13" s="92" t="str">
        <f>IF(B13&lt;0.00000001,"",E13/B13)</f>
        <v/>
      </c>
    </row>
    <row r="14" spans="1:10" ht="14.4" customHeight="1" thickBot="1" x14ac:dyDescent="0.35">
      <c r="A14" s="12"/>
      <c r="B14" s="12"/>
      <c r="C14" s="74"/>
      <c r="D14" s="8"/>
      <c r="E14" s="12"/>
      <c r="F14" s="13"/>
    </row>
    <row r="15" spans="1:10" ht="14.4" customHeight="1" thickBot="1" x14ac:dyDescent="0.35">
      <c r="A15" s="100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93" t="str">
        <f>IF(ISERROR(F15-E15),"",IF(F15&lt;0.00000001,"",E15/F15))</f>
        <v/>
      </c>
    </row>
    <row r="17" spans="1:8" ht="14.4" customHeight="1" x14ac:dyDescent="0.3">
      <c r="A17" s="79" t="s">
        <v>84</v>
      </c>
    </row>
    <row r="18" spans="1:8" ht="14.4" customHeight="1" x14ac:dyDescent="0.3">
      <c r="A18" s="173" t="s">
        <v>109</v>
      </c>
      <c r="B18" s="174"/>
      <c r="C18" s="174"/>
      <c r="D18" s="174"/>
      <c r="E18" s="174"/>
      <c r="F18" s="174"/>
      <c r="G18" s="174"/>
      <c r="H18" s="174"/>
    </row>
    <row r="19" spans="1:8" x14ac:dyDescent="0.3">
      <c r="A19" s="172" t="s">
        <v>108</v>
      </c>
      <c r="B19" s="174"/>
      <c r="C19" s="174"/>
      <c r="D19" s="174"/>
      <c r="E19" s="174"/>
      <c r="F19" s="174"/>
      <c r="G19" s="174"/>
      <c r="H19" s="174"/>
    </row>
    <row r="20" spans="1:8" ht="14.4" customHeight="1" x14ac:dyDescent="0.3">
      <c r="A20" s="80" t="s">
        <v>128</v>
      </c>
    </row>
    <row r="21" spans="1:8" ht="14.4" customHeight="1" x14ac:dyDescent="0.3">
      <c r="A21" s="80" t="s">
        <v>85</v>
      </c>
    </row>
    <row r="22" spans="1:8" ht="14.4" customHeight="1" x14ac:dyDescent="0.3">
      <c r="A22" s="81" t="s">
        <v>163</v>
      </c>
    </row>
    <row r="23" spans="1:8" ht="14.4" customHeight="1" x14ac:dyDescent="0.3">
      <c r="A23" s="81" t="s">
        <v>86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2" priority="8" operator="greaterThan">
      <formula>0</formula>
    </cfRule>
  </conditionalFormatting>
  <conditionalFormatting sqref="G11:G13 G15">
    <cfRule type="cellIs" dxfId="41" priority="7" operator="lessThan">
      <formula>0</formula>
    </cfRule>
  </conditionalFormatting>
  <conditionalFormatting sqref="H5:H9">
    <cfRule type="cellIs" dxfId="40" priority="6" operator="greaterThan">
      <formula>1</formula>
    </cfRule>
  </conditionalFormatting>
  <conditionalFormatting sqref="H11:H13 H15">
    <cfRule type="cellIs" dxfId="39" priority="5" operator="lessThan">
      <formula>1</formula>
    </cfRule>
  </conditionalFormatting>
  <conditionalFormatting sqref="I11:I13">
    <cfRule type="cellIs" dxfId="38" priority="4" operator="lessThan">
      <formula>0</formula>
    </cfRule>
  </conditionalFormatting>
  <conditionalFormatting sqref="J11:J13">
    <cfRule type="cellIs" dxfId="37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95" bestFit="1" customWidth="1"/>
    <col min="2" max="2" width="12.77734375" style="95" bestFit="1" customWidth="1"/>
    <col min="3" max="3" width="13.6640625" style="95" bestFit="1" customWidth="1"/>
    <col min="4" max="15" width="7.77734375" style="95" bestFit="1" customWidth="1"/>
    <col min="16" max="16" width="8.88671875" style="95" customWidth="1"/>
    <col min="17" max="17" width="6.6640625" style="95" bestFit="1" customWidth="1"/>
    <col min="18" max="16384" width="8.88671875" style="95"/>
  </cols>
  <sheetData>
    <row r="1" spans="1:17" s="158" customFormat="1" ht="18.600000000000001" customHeight="1" thickBot="1" x14ac:dyDescent="0.4">
      <c r="A1" s="267" t="s">
        <v>187</v>
      </c>
      <c r="B1" s="267"/>
      <c r="C1" s="267"/>
      <c r="D1" s="267"/>
      <c r="E1" s="267"/>
      <c r="F1" s="267"/>
      <c r="G1" s="267"/>
      <c r="H1" s="255"/>
      <c r="I1" s="255"/>
      <c r="J1" s="255"/>
      <c r="K1" s="255"/>
      <c r="L1" s="255"/>
      <c r="M1" s="255"/>
      <c r="N1" s="255"/>
      <c r="O1" s="255"/>
      <c r="P1" s="255"/>
      <c r="Q1" s="255"/>
    </row>
    <row r="2" spans="1:17" s="158" customFormat="1" ht="14.4" customHeight="1" thickBot="1" x14ac:dyDescent="0.3">
      <c r="A2" s="170" t="s">
        <v>185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</row>
    <row r="3" spans="1:17" ht="14.4" customHeight="1" x14ac:dyDescent="0.3">
      <c r="A3" s="58"/>
      <c r="B3" s="268" t="s">
        <v>9</v>
      </c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103"/>
      <c r="Q3" s="105"/>
    </row>
    <row r="4" spans="1:17" ht="14.4" customHeight="1" x14ac:dyDescent="0.3">
      <c r="A4" s="59"/>
      <c r="B4" s="20">
        <v>2018</v>
      </c>
      <c r="C4" s="104" t="s">
        <v>10</v>
      </c>
      <c r="D4" s="197" t="s">
        <v>164</v>
      </c>
      <c r="E4" s="197" t="s">
        <v>165</v>
      </c>
      <c r="F4" s="197" t="s">
        <v>166</v>
      </c>
      <c r="G4" s="197" t="s">
        <v>167</v>
      </c>
      <c r="H4" s="197" t="s">
        <v>168</v>
      </c>
      <c r="I4" s="197" t="s">
        <v>169</v>
      </c>
      <c r="J4" s="197" t="s">
        <v>170</v>
      </c>
      <c r="K4" s="197" t="s">
        <v>171</v>
      </c>
      <c r="L4" s="197" t="s">
        <v>172</v>
      </c>
      <c r="M4" s="197" t="s">
        <v>173</v>
      </c>
      <c r="N4" s="197" t="s">
        <v>174</v>
      </c>
      <c r="O4" s="197" t="s">
        <v>175</v>
      </c>
      <c r="P4" s="270" t="s">
        <v>2</v>
      </c>
      <c r="Q4" s="271"/>
    </row>
    <row r="5" spans="1:17" ht="14.4" customHeight="1" thickBot="1" x14ac:dyDescent="0.35">
      <c r="A5" s="60"/>
      <c r="B5" s="21" t="s">
        <v>11</v>
      </c>
      <c r="C5" s="22" t="s">
        <v>11</v>
      </c>
      <c r="D5" s="22" t="s">
        <v>12</v>
      </c>
      <c r="E5" s="22" t="s">
        <v>12</v>
      </c>
      <c r="F5" s="22" t="s">
        <v>12</v>
      </c>
      <c r="G5" s="22" t="s">
        <v>12</v>
      </c>
      <c r="H5" s="22" t="s">
        <v>12</v>
      </c>
      <c r="I5" s="22" t="s">
        <v>12</v>
      </c>
      <c r="J5" s="22" t="s">
        <v>12</v>
      </c>
      <c r="K5" s="22" t="s">
        <v>12</v>
      </c>
      <c r="L5" s="22" t="s">
        <v>12</v>
      </c>
      <c r="M5" s="22" t="s">
        <v>12</v>
      </c>
      <c r="N5" s="22" t="s">
        <v>12</v>
      </c>
      <c r="O5" s="22" t="s">
        <v>12</v>
      </c>
      <c r="P5" s="22" t="s">
        <v>12</v>
      </c>
      <c r="Q5" s="23" t="s">
        <v>13</v>
      </c>
    </row>
    <row r="6" spans="1:17" ht="14.4" customHeight="1" x14ac:dyDescent="0.3">
      <c r="A6" s="14" t="s">
        <v>14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7" t="s">
        <v>186</v>
      </c>
    </row>
    <row r="7" spans="1:17" ht="14.4" customHeight="1" x14ac:dyDescent="0.3">
      <c r="A7" s="15" t="s">
        <v>15</v>
      </c>
      <c r="B7" s="46">
        <v>5</v>
      </c>
      <c r="C7" s="47">
        <v>0.416666666666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68">
        <v>0</v>
      </c>
    </row>
    <row r="8" spans="1:17" ht="14.4" customHeight="1" x14ac:dyDescent="0.3">
      <c r="A8" s="15" t="s">
        <v>16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68" t="s">
        <v>186</v>
      </c>
    </row>
    <row r="9" spans="1:17" ht="14.4" customHeight="1" x14ac:dyDescent="0.3">
      <c r="A9" s="15" t="s">
        <v>17</v>
      </c>
      <c r="B9" s="46">
        <v>66.281160671595998</v>
      </c>
      <c r="C9" s="47">
        <v>5.5234300559660001</v>
      </c>
      <c r="D9" s="47">
        <v>2.7879999999999998</v>
      </c>
      <c r="E9" s="47">
        <v>3.9540000000000002</v>
      </c>
      <c r="F9" s="47">
        <v>5.7169999999999996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12.459</v>
      </c>
      <c r="Q9" s="68">
        <v>0.75188785915900003</v>
      </c>
    </row>
    <row r="10" spans="1:17" ht="14.4" customHeight="1" x14ac:dyDescent="0.3">
      <c r="A10" s="15" t="s">
        <v>18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68" t="s">
        <v>186</v>
      </c>
    </row>
    <row r="11" spans="1:17" ht="14.4" customHeight="1" x14ac:dyDescent="0.3">
      <c r="A11" s="15" t="s">
        <v>19</v>
      </c>
      <c r="B11" s="46">
        <v>210.14785353612501</v>
      </c>
      <c r="C11" s="47">
        <v>17.512321128010001</v>
      </c>
      <c r="D11" s="47">
        <v>41.685000000000002</v>
      </c>
      <c r="E11" s="47">
        <v>7.4875499999999997</v>
      </c>
      <c r="F11" s="47">
        <v>11.796379999999999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60.96893</v>
      </c>
      <c r="Q11" s="68">
        <v>1.160495888472</v>
      </c>
    </row>
    <row r="12" spans="1:17" ht="14.4" customHeight="1" x14ac:dyDescent="0.3">
      <c r="A12" s="15" t="s">
        <v>20</v>
      </c>
      <c r="B12" s="46">
        <v>0.15280865179899999</v>
      </c>
      <c r="C12" s="47">
        <v>1.2734054316E-2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68">
        <v>0</v>
      </c>
    </row>
    <row r="13" spans="1:17" ht="14.4" customHeight="1" x14ac:dyDescent="0.3">
      <c r="A13" s="15" t="s">
        <v>21</v>
      </c>
      <c r="B13" s="46">
        <v>0</v>
      </c>
      <c r="C13" s="47">
        <v>0</v>
      </c>
      <c r="D13" s="47">
        <v>1.9033500000000001</v>
      </c>
      <c r="E13" s="47">
        <v>0.31222</v>
      </c>
      <c r="F13" s="47">
        <v>0.54208000000000001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2.7576499999999999</v>
      </c>
      <c r="Q13" s="68" t="s">
        <v>186</v>
      </c>
    </row>
    <row r="14" spans="1:17" ht="14.4" customHeight="1" x14ac:dyDescent="0.3">
      <c r="A14" s="15" t="s">
        <v>22</v>
      </c>
      <c r="B14" s="46">
        <v>46.941117636765</v>
      </c>
      <c r="C14" s="47">
        <v>3.9117598030630001</v>
      </c>
      <c r="D14" s="47">
        <v>4.1769999999999996</v>
      </c>
      <c r="E14" s="47">
        <v>3.641</v>
      </c>
      <c r="F14" s="47">
        <v>3.7789999999999999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11.597</v>
      </c>
      <c r="Q14" s="68">
        <v>0.98821677743000003</v>
      </c>
    </row>
    <row r="15" spans="1:17" ht="14.4" customHeight="1" x14ac:dyDescent="0.3">
      <c r="A15" s="15" t="s">
        <v>23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68" t="s">
        <v>186</v>
      </c>
    </row>
    <row r="16" spans="1:17" ht="14.4" customHeight="1" x14ac:dyDescent="0.3">
      <c r="A16" s="15" t="s">
        <v>24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68" t="s">
        <v>186</v>
      </c>
    </row>
    <row r="17" spans="1:17" ht="14.4" customHeight="1" x14ac:dyDescent="0.3">
      <c r="A17" s="15" t="s">
        <v>25</v>
      </c>
      <c r="B17" s="46">
        <v>37.543890881556997</v>
      </c>
      <c r="C17" s="47">
        <v>3.1286575734630002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0</v>
      </c>
      <c r="Q17" s="68">
        <v>0</v>
      </c>
    </row>
    <row r="18" spans="1:17" ht="14.4" customHeight="1" x14ac:dyDescent="0.3">
      <c r="A18" s="15" t="s">
        <v>26</v>
      </c>
      <c r="B18" s="46">
        <v>0</v>
      </c>
      <c r="C18" s="47">
        <v>0</v>
      </c>
      <c r="D18" s="47">
        <v>0.83199999999999996</v>
      </c>
      <c r="E18" s="47">
        <v>0</v>
      </c>
      <c r="F18" s="47">
        <v>0.98699999999999999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1.819</v>
      </c>
      <c r="Q18" s="68" t="s">
        <v>186</v>
      </c>
    </row>
    <row r="19" spans="1:17" ht="14.4" customHeight="1" x14ac:dyDescent="0.3">
      <c r="A19" s="15" t="s">
        <v>27</v>
      </c>
      <c r="B19" s="46">
        <v>311.87435755195202</v>
      </c>
      <c r="C19" s="47">
        <v>25.989529795995999</v>
      </c>
      <c r="D19" s="47">
        <v>9.4400899999999996</v>
      </c>
      <c r="E19" s="47">
        <v>69.000929999999997</v>
      </c>
      <c r="F19" s="47">
        <v>3.2923399999999998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81.733360000000005</v>
      </c>
      <c r="Q19" s="68">
        <v>1.0482857345700001</v>
      </c>
    </row>
    <row r="20" spans="1:17" ht="14.4" customHeight="1" x14ac:dyDescent="0.3">
      <c r="A20" s="15" t="s">
        <v>28</v>
      </c>
      <c r="B20" s="46">
        <v>3254.3385735004199</v>
      </c>
      <c r="C20" s="47">
        <v>271.19488112503501</v>
      </c>
      <c r="D20" s="47">
        <v>234.44158999999999</v>
      </c>
      <c r="E20" s="47">
        <v>247.72904</v>
      </c>
      <c r="F20" s="47">
        <v>284.64914000000101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766.81977000000097</v>
      </c>
      <c r="Q20" s="68">
        <v>0.94251996549299999</v>
      </c>
    </row>
    <row r="21" spans="1:17" ht="14.4" customHeight="1" x14ac:dyDescent="0.3">
      <c r="A21" s="16" t="s">
        <v>29</v>
      </c>
      <c r="B21" s="46">
        <v>76.268684716829</v>
      </c>
      <c r="C21" s="47">
        <v>6.3557237264020001</v>
      </c>
      <c r="D21" s="47">
        <v>5.8369999999999997</v>
      </c>
      <c r="E21" s="47">
        <v>5.8369999999999997</v>
      </c>
      <c r="F21" s="47">
        <v>5.8369999999999997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17.510999999999999</v>
      </c>
      <c r="Q21" s="68">
        <v>0.91838479003600004</v>
      </c>
    </row>
    <row r="22" spans="1:17" ht="14.4" customHeight="1" x14ac:dyDescent="0.3">
      <c r="A22" s="15" t="s">
        <v>30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68" t="s">
        <v>186</v>
      </c>
    </row>
    <row r="23" spans="1:17" ht="14.4" customHeight="1" x14ac:dyDescent="0.3">
      <c r="A23" s="16" t="s">
        <v>31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68" t="s">
        <v>186</v>
      </c>
    </row>
    <row r="24" spans="1:17" ht="14.4" customHeight="1" x14ac:dyDescent="0.3">
      <c r="A24" s="16" t="s">
        <v>32</v>
      </c>
      <c r="B24" s="46">
        <v>14.532203500214999</v>
      </c>
      <c r="C24" s="47">
        <v>1.211016958351</v>
      </c>
      <c r="D24" s="47">
        <v>0.22</v>
      </c>
      <c r="E24" s="47">
        <v>0.69999999999899998</v>
      </c>
      <c r="F24" s="47">
        <v>1.1000000000000001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2.02</v>
      </c>
      <c r="Q24" s="68"/>
    </row>
    <row r="25" spans="1:17" ht="14.4" customHeight="1" x14ac:dyDescent="0.3">
      <c r="A25" s="17" t="s">
        <v>33</v>
      </c>
      <c r="B25" s="49">
        <v>4023.08065064726</v>
      </c>
      <c r="C25" s="50">
        <v>335.25672088727202</v>
      </c>
      <c r="D25" s="50">
        <v>301.32402999999999</v>
      </c>
      <c r="E25" s="50">
        <v>338.66174000000001</v>
      </c>
      <c r="F25" s="50">
        <v>317.69994000000099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957.685710000001</v>
      </c>
      <c r="Q25" s="69">
        <v>0.95219141067500002</v>
      </c>
    </row>
    <row r="26" spans="1:17" ht="14.4" customHeight="1" x14ac:dyDescent="0.3">
      <c r="A26" s="15" t="s">
        <v>34</v>
      </c>
      <c r="B26" s="46">
        <v>0</v>
      </c>
      <c r="C26" s="47">
        <v>0</v>
      </c>
      <c r="D26" s="47">
        <v>40.744970000000002</v>
      </c>
      <c r="E26" s="47">
        <v>35.564360000000001</v>
      </c>
      <c r="F26" s="47">
        <v>44.892159999999997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121.20149000000001</v>
      </c>
      <c r="Q26" s="68" t="s">
        <v>186</v>
      </c>
    </row>
    <row r="27" spans="1:17" ht="14.4" customHeight="1" x14ac:dyDescent="0.3">
      <c r="A27" s="18" t="s">
        <v>35</v>
      </c>
      <c r="B27" s="49">
        <v>4023.08065064726</v>
      </c>
      <c r="C27" s="50">
        <v>335.25672088727202</v>
      </c>
      <c r="D27" s="50">
        <v>342.06900000000002</v>
      </c>
      <c r="E27" s="50">
        <v>374.22609999999997</v>
      </c>
      <c r="F27" s="50">
        <v>362.59210000000098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1078.8871999999999</v>
      </c>
      <c r="Q27" s="69">
        <v>1.072697560588</v>
      </c>
    </row>
    <row r="28" spans="1:17" ht="14.4" customHeight="1" x14ac:dyDescent="0.3">
      <c r="A28" s="16" t="s">
        <v>36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68">
        <v>0</v>
      </c>
    </row>
    <row r="29" spans="1:17" ht="14.4" customHeight="1" x14ac:dyDescent="0.3">
      <c r="A29" s="16" t="s">
        <v>37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68" t="s">
        <v>186</v>
      </c>
    </row>
    <row r="30" spans="1:17" ht="14.4" customHeight="1" x14ac:dyDescent="0.3">
      <c r="A30" s="16" t="s">
        <v>38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68">
        <v>0</v>
      </c>
    </row>
    <row r="31" spans="1:17" ht="14.4" customHeight="1" thickBot="1" x14ac:dyDescent="0.35">
      <c r="A31" s="19" t="s">
        <v>39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0" t="s">
        <v>186</v>
      </c>
    </row>
    <row r="32" spans="1:17" ht="14.4" customHeight="1" x14ac:dyDescent="0.3"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</row>
    <row r="33" spans="1:17" ht="14.4" customHeight="1" x14ac:dyDescent="0.3">
      <c r="A33" s="79" t="s">
        <v>84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</row>
    <row r="34" spans="1:17" ht="14.4" customHeight="1" x14ac:dyDescent="0.3">
      <c r="A34" s="101" t="s">
        <v>184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</row>
    <row r="35" spans="1:17" ht="14.4" customHeight="1" x14ac:dyDescent="0.3">
      <c r="A35" s="102" t="s">
        <v>40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L123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95" customWidth="1"/>
    <col min="2" max="11" width="10" style="95" customWidth="1"/>
    <col min="12" max="16384" width="8.88671875" style="95"/>
  </cols>
  <sheetData>
    <row r="1" spans="1:12" s="55" customFormat="1" ht="18.600000000000001" customHeight="1" thickBot="1" x14ac:dyDescent="0.4">
      <c r="A1" s="267" t="s">
        <v>41</v>
      </c>
      <c r="B1" s="267"/>
      <c r="C1" s="267"/>
      <c r="D1" s="267"/>
      <c r="E1" s="267"/>
      <c r="F1" s="267"/>
      <c r="G1" s="267"/>
      <c r="H1" s="272"/>
      <c r="I1" s="272"/>
      <c r="J1" s="272"/>
      <c r="K1" s="272"/>
    </row>
    <row r="2" spans="1:12" s="55" customFormat="1" ht="14.4" customHeight="1" thickBot="1" x14ac:dyDescent="0.35">
      <c r="A2" s="170" t="s">
        <v>185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2" ht="14.4" customHeight="1" x14ac:dyDescent="0.3">
      <c r="A3" s="58"/>
      <c r="B3" s="268" t="s">
        <v>42</v>
      </c>
      <c r="C3" s="269"/>
      <c r="D3" s="269"/>
      <c r="E3" s="269"/>
      <c r="F3" s="275" t="s">
        <v>43</v>
      </c>
      <c r="G3" s="269"/>
      <c r="H3" s="269"/>
      <c r="I3" s="269"/>
      <c r="J3" s="269"/>
      <c r="K3" s="276"/>
    </row>
    <row r="4" spans="1:12" ht="14.4" customHeight="1" x14ac:dyDescent="0.3">
      <c r="A4" s="59"/>
      <c r="B4" s="273"/>
      <c r="C4" s="274"/>
      <c r="D4" s="274"/>
      <c r="E4" s="274"/>
      <c r="F4" s="277" t="s">
        <v>180</v>
      </c>
      <c r="G4" s="279" t="s">
        <v>44</v>
      </c>
      <c r="H4" s="106" t="s">
        <v>74</v>
      </c>
      <c r="I4" s="277" t="s">
        <v>45</v>
      </c>
      <c r="J4" s="279" t="s">
        <v>182</v>
      </c>
      <c r="K4" s="280" t="s">
        <v>183</v>
      </c>
    </row>
    <row r="5" spans="1:12" ht="42" thickBot="1" x14ac:dyDescent="0.35">
      <c r="A5" s="60"/>
      <c r="B5" s="24" t="s">
        <v>176</v>
      </c>
      <c r="C5" s="25" t="s">
        <v>177</v>
      </c>
      <c r="D5" s="26" t="s">
        <v>178</v>
      </c>
      <c r="E5" s="26" t="s">
        <v>179</v>
      </c>
      <c r="F5" s="278"/>
      <c r="G5" s="278"/>
      <c r="H5" s="25" t="s">
        <v>181</v>
      </c>
      <c r="I5" s="278"/>
      <c r="J5" s="278"/>
      <c r="K5" s="281"/>
    </row>
    <row r="6" spans="1:12" ht="14.4" customHeight="1" thickBot="1" x14ac:dyDescent="0.35">
      <c r="A6" s="355" t="s">
        <v>188</v>
      </c>
      <c r="B6" s="337">
        <v>3486.3086026082101</v>
      </c>
      <c r="C6" s="337">
        <v>3960.2467999999999</v>
      </c>
      <c r="D6" s="338">
        <v>473.93819739179003</v>
      </c>
      <c r="E6" s="339">
        <v>1.1359426979689999</v>
      </c>
      <c r="F6" s="337">
        <v>4023.08065064726</v>
      </c>
      <c r="G6" s="338">
        <v>1005.77016266182</v>
      </c>
      <c r="H6" s="340">
        <v>317.69994000000099</v>
      </c>
      <c r="I6" s="337">
        <v>957.685710000001</v>
      </c>
      <c r="J6" s="338">
        <v>-48.084452661815</v>
      </c>
      <c r="K6" s="341">
        <v>0.23804785266799999</v>
      </c>
      <c r="L6" s="113"/>
    </row>
    <row r="7" spans="1:12" ht="14.4" customHeight="1" thickBot="1" x14ac:dyDescent="0.35">
      <c r="A7" s="356" t="s">
        <v>189</v>
      </c>
      <c r="B7" s="337">
        <v>332.23187640116601</v>
      </c>
      <c r="C7" s="337">
        <v>316.08566000000002</v>
      </c>
      <c r="D7" s="338">
        <v>-16.146216401166001</v>
      </c>
      <c r="E7" s="339">
        <v>0.95140076089000003</v>
      </c>
      <c r="F7" s="337">
        <v>328.52294049628603</v>
      </c>
      <c r="G7" s="338">
        <v>82.130735124070995</v>
      </c>
      <c r="H7" s="340">
        <v>21.83446</v>
      </c>
      <c r="I7" s="337">
        <v>87.782579999999996</v>
      </c>
      <c r="J7" s="338">
        <v>5.651844875928</v>
      </c>
      <c r="K7" s="341">
        <v>0.26720380581999997</v>
      </c>
      <c r="L7" s="113"/>
    </row>
    <row r="8" spans="1:12" ht="14.4" customHeight="1" thickBot="1" x14ac:dyDescent="0.35">
      <c r="A8" s="357" t="s">
        <v>190</v>
      </c>
      <c r="B8" s="337">
        <v>265.36321684650801</v>
      </c>
      <c r="C8" s="337">
        <v>269.14566000000002</v>
      </c>
      <c r="D8" s="338">
        <v>3.7824431534920002</v>
      </c>
      <c r="E8" s="339">
        <v>1.0142538336639999</v>
      </c>
      <c r="F8" s="337">
        <v>281.58182285952103</v>
      </c>
      <c r="G8" s="338">
        <v>70.395455714880001</v>
      </c>
      <c r="H8" s="340">
        <v>18.05546</v>
      </c>
      <c r="I8" s="337">
        <v>76.185580000000002</v>
      </c>
      <c r="J8" s="338">
        <v>5.790124285119</v>
      </c>
      <c r="K8" s="341">
        <v>0.27056284821999999</v>
      </c>
      <c r="L8" s="113"/>
    </row>
    <row r="9" spans="1:12" ht="14.4" customHeight="1" thickBot="1" x14ac:dyDescent="0.35">
      <c r="A9" s="358" t="s">
        <v>191</v>
      </c>
      <c r="B9" s="342">
        <v>5</v>
      </c>
      <c r="C9" s="342">
        <v>0.73538999999999999</v>
      </c>
      <c r="D9" s="343">
        <v>-4.2646100000000002</v>
      </c>
      <c r="E9" s="344">
        <v>0.14707799999999999</v>
      </c>
      <c r="F9" s="342">
        <v>5</v>
      </c>
      <c r="G9" s="343">
        <v>1.25</v>
      </c>
      <c r="H9" s="345">
        <v>0</v>
      </c>
      <c r="I9" s="342">
        <v>0</v>
      </c>
      <c r="J9" s="343">
        <v>-1.25</v>
      </c>
      <c r="K9" s="346">
        <v>0</v>
      </c>
      <c r="L9" s="113"/>
    </row>
    <row r="10" spans="1:12" ht="14.4" customHeight="1" thickBot="1" x14ac:dyDescent="0.35">
      <c r="A10" s="359" t="s">
        <v>192</v>
      </c>
      <c r="B10" s="337">
        <v>5</v>
      </c>
      <c r="C10" s="337">
        <v>0.73538999999999999</v>
      </c>
      <c r="D10" s="338">
        <v>-4.2646100000000002</v>
      </c>
      <c r="E10" s="339">
        <v>0.14707799999999999</v>
      </c>
      <c r="F10" s="337">
        <v>5</v>
      </c>
      <c r="G10" s="338">
        <v>1.25</v>
      </c>
      <c r="H10" s="340">
        <v>0</v>
      </c>
      <c r="I10" s="337">
        <v>0</v>
      </c>
      <c r="J10" s="338">
        <v>-1.25</v>
      </c>
      <c r="K10" s="341">
        <v>0</v>
      </c>
      <c r="L10" s="113"/>
    </row>
    <row r="11" spans="1:12" ht="14.4" customHeight="1" thickBot="1" x14ac:dyDescent="0.35">
      <c r="A11" s="358" t="s">
        <v>193</v>
      </c>
      <c r="B11" s="342">
        <v>64</v>
      </c>
      <c r="C11" s="342">
        <v>60.14237</v>
      </c>
      <c r="D11" s="343">
        <v>-3.8576299999989998</v>
      </c>
      <c r="E11" s="344">
        <v>0.93972453124999999</v>
      </c>
      <c r="F11" s="342">
        <v>66.281160671595998</v>
      </c>
      <c r="G11" s="343">
        <v>16.570290167899</v>
      </c>
      <c r="H11" s="345">
        <v>5.7169999999999996</v>
      </c>
      <c r="I11" s="342">
        <v>12.459</v>
      </c>
      <c r="J11" s="343">
        <v>-4.1112901678989999</v>
      </c>
      <c r="K11" s="346">
        <v>0.187971964789</v>
      </c>
      <c r="L11" s="113"/>
    </row>
    <row r="12" spans="1:12" ht="14.4" customHeight="1" thickBot="1" x14ac:dyDescent="0.35">
      <c r="A12" s="359" t="s">
        <v>194</v>
      </c>
      <c r="B12" s="337">
        <v>60</v>
      </c>
      <c r="C12" s="337">
        <v>57.446370000000002</v>
      </c>
      <c r="D12" s="338">
        <v>-2.5536300000000001</v>
      </c>
      <c r="E12" s="339">
        <v>0.9574395</v>
      </c>
      <c r="F12" s="337">
        <v>63</v>
      </c>
      <c r="G12" s="338">
        <v>15.75</v>
      </c>
      <c r="H12" s="340">
        <v>5.7169999999999996</v>
      </c>
      <c r="I12" s="337">
        <v>12.459</v>
      </c>
      <c r="J12" s="338">
        <v>-3.2909999999989998</v>
      </c>
      <c r="K12" s="341">
        <v>0.197761904761</v>
      </c>
      <c r="L12" s="113"/>
    </row>
    <row r="13" spans="1:12" ht="14.4" customHeight="1" thickBot="1" x14ac:dyDescent="0.35">
      <c r="A13" s="359" t="s">
        <v>195</v>
      </c>
      <c r="B13" s="337">
        <v>4</v>
      </c>
      <c r="C13" s="337">
        <v>2.42</v>
      </c>
      <c r="D13" s="338">
        <v>-1.58</v>
      </c>
      <c r="E13" s="339">
        <v>0.60499999999999998</v>
      </c>
      <c r="F13" s="337">
        <v>3</v>
      </c>
      <c r="G13" s="338">
        <v>0.75</v>
      </c>
      <c r="H13" s="340">
        <v>0</v>
      </c>
      <c r="I13" s="337">
        <v>0</v>
      </c>
      <c r="J13" s="338">
        <v>-0.75</v>
      </c>
      <c r="K13" s="341">
        <v>0</v>
      </c>
      <c r="L13" s="113"/>
    </row>
    <row r="14" spans="1:12" ht="14.4" customHeight="1" thickBot="1" x14ac:dyDescent="0.35">
      <c r="A14" s="359" t="s">
        <v>196</v>
      </c>
      <c r="B14" s="337">
        <v>0</v>
      </c>
      <c r="C14" s="337">
        <v>0.27600000000000002</v>
      </c>
      <c r="D14" s="338">
        <v>0.27600000000000002</v>
      </c>
      <c r="E14" s="347" t="s">
        <v>197</v>
      </c>
      <c r="F14" s="337">
        <v>0.281160671596</v>
      </c>
      <c r="G14" s="338">
        <v>7.0290167899E-2</v>
      </c>
      <c r="H14" s="340">
        <v>0</v>
      </c>
      <c r="I14" s="337">
        <v>0</v>
      </c>
      <c r="J14" s="338">
        <v>-7.0290167899E-2</v>
      </c>
      <c r="K14" s="341">
        <v>0</v>
      </c>
      <c r="L14" s="113"/>
    </row>
    <row r="15" spans="1:12" ht="14.4" customHeight="1" thickBot="1" x14ac:dyDescent="0.35">
      <c r="A15" s="358" t="s">
        <v>198</v>
      </c>
      <c r="B15" s="342">
        <v>196.08063025581299</v>
      </c>
      <c r="C15" s="342">
        <v>206.45649</v>
      </c>
      <c r="D15" s="343">
        <v>10.375859744186</v>
      </c>
      <c r="E15" s="344">
        <v>1.0529162912750001</v>
      </c>
      <c r="F15" s="342">
        <v>210.14785353612501</v>
      </c>
      <c r="G15" s="343">
        <v>52.536963384030997</v>
      </c>
      <c r="H15" s="345">
        <v>11.796379999999999</v>
      </c>
      <c r="I15" s="342">
        <v>60.96893</v>
      </c>
      <c r="J15" s="343">
        <v>8.4319666159679993</v>
      </c>
      <c r="K15" s="346">
        <v>0.29012397211800001</v>
      </c>
      <c r="L15" s="113"/>
    </row>
    <row r="16" spans="1:12" ht="14.4" customHeight="1" thickBot="1" x14ac:dyDescent="0.35">
      <c r="A16" s="359" t="s">
        <v>199</v>
      </c>
      <c r="B16" s="337">
        <v>0</v>
      </c>
      <c r="C16" s="337">
        <v>3.0249999999999999</v>
      </c>
      <c r="D16" s="338">
        <v>3.0249999999999999</v>
      </c>
      <c r="E16" s="347" t="s">
        <v>197</v>
      </c>
      <c r="F16" s="337">
        <v>0</v>
      </c>
      <c r="G16" s="338">
        <v>0</v>
      </c>
      <c r="H16" s="340">
        <v>0</v>
      </c>
      <c r="I16" s="337">
        <v>0</v>
      </c>
      <c r="J16" s="338">
        <v>0</v>
      </c>
      <c r="K16" s="348" t="s">
        <v>186</v>
      </c>
      <c r="L16" s="113"/>
    </row>
    <row r="17" spans="1:12" ht="14.4" customHeight="1" thickBot="1" x14ac:dyDescent="0.35">
      <c r="A17" s="359" t="s">
        <v>200</v>
      </c>
      <c r="B17" s="337">
        <v>0</v>
      </c>
      <c r="C17" s="337">
        <v>3.9638599999999999</v>
      </c>
      <c r="D17" s="338">
        <v>3.9638599999999999</v>
      </c>
      <c r="E17" s="347" t="s">
        <v>186</v>
      </c>
      <c r="F17" s="337">
        <v>5</v>
      </c>
      <c r="G17" s="338">
        <v>1.25</v>
      </c>
      <c r="H17" s="340">
        <v>0</v>
      </c>
      <c r="I17" s="337">
        <v>1.5129999999999999E-2</v>
      </c>
      <c r="J17" s="338">
        <v>-1.2348699999999999</v>
      </c>
      <c r="K17" s="341">
        <v>3.026E-3</v>
      </c>
      <c r="L17" s="113"/>
    </row>
    <row r="18" spans="1:12" ht="14.4" customHeight="1" thickBot="1" x14ac:dyDescent="0.35">
      <c r="A18" s="359" t="s">
        <v>201</v>
      </c>
      <c r="B18" s="337">
        <v>6.0605417942940001</v>
      </c>
      <c r="C18" s="337">
        <v>5.9874099999999997</v>
      </c>
      <c r="D18" s="338">
        <v>-7.3131794294000005E-2</v>
      </c>
      <c r="E18" s="339">
        <v>0.98793312598500005</v>
      </c>
      <c r="F18" s="337">
        <v>5.7579705791620004</v>
      </c>
      <c r="G18" s="338">
        <v>1.4394926447900001</v>
      </c>
      <c r="H18" s="340">
        <v>0</v>
      </c>
      <c r="I18" s="337">
        <v>0</v>
      </c>
      <c r="J18" s="338">
        <v>-1.4394926447900001</v>
      </c>
      <c r="K18" s="341">
        <v>0</v>
      </c>
      <c r="L18" s="113"/>
    </row>
    <row r="19" spans="1:12" ht="14.4" customHeight="1" thickBot="1" x14ac:dyDescent="0.35">
      <c r="A19" s="359" t="s">
        <v>202</v>
      </c>
      <c r="B19" s="337">
        <v>5</v>
      </c>
      <c r="C19" s="337">
        <v>6.8692599999999997</v>
      </c>
      <c r="D19" s="338">
        <v>1.8692599999999999</v>
      </c>
      <c r="E19" s="339">
        <v>1.3738520000000001</v>
      </c>
      <c r="F19" s="337">
        <v>7</v>
      </c>
      <c r="G19" s="338">
        <v>1.75</v>
      </c>
      <c r="H19" s="340">
        <v>0.1779</v>
      </c>
      <c r="I19" s="337">
        <v>0.31831999999999999</v>
      </c>
      <c r="J19" s="338">
        <v>-1.4316800000000001</v>
      </c>
      <c r="K19" s="341">
        <v>4.5474285714000001E-2</v>
      </c>
      <c r="L19" s="113"/>
    </row>
    <row r="20" spans="1:12" ht="14.4" customHeight="1" thickBot="1" x14ac:dyDescent="0.35">
      <c r="A20" s="359" t="s">
        <v>203</v>
      </c>
      <c r="B20" s="337">
        <v>0</v>
      </c>
      <c r="C20" s="337">
        <v>6.4100000000000004E-2</v>
      </c>
      <c r="D20" s="338">
        <v>6.4100000000000004E-2</v>
      </c>
      <c r="E20" s="347" t="s">
        <v>197</v>
      </c>
      <c r="F20" s="337">
        <v>5.7947593859000002E-2</v>
      </c>
      <c r="G20" s="338">
        <v>1.4486898464E-2</v>
      </c>
      <c r="H20" s="340">
        <v>0</v>
      </c>
      <c r="I20" s="337">
        <v>0</v>
      </c>
      <c r="J20" s="338">
        <v>-1.4486898464E-2</v>
      </c>
      <c r="K20" s="341">
        <v>0</v>
      </c>
      <c r="L20" s="113"/>
    </row>
    <row r="21" spans="1:12" ht="14.4" customHeight="1" thickBot="1" x14ac:dyDescent="0.35">
      <c r="A21" s="359" t="s">
        <v>204</v>
      </c>
      <c r="B21" s="337">
        <v>176.485181920347</v>
      </c>
      <c r="C21" s="337">
        <v>165.82302999999999</v>
      </c>
      <c r="D21" s="338">
        <v>-10.662151920347</v>
      </c>
      <c r="E21" s="339">
        <v>0.93958613519599998</v>
      </c>
      <c r="F21" s="337">
        <v>170</v>
      </c>
      <c r="G21" s="338">
        <v>42.5</v>
      </c>
      <c r="H21" s="340">
        <v>9.18642</v>
      </c>
      <c r="I21" s="337">
        <v>56.785420000000002</v>
      </c>
      <c r="J21" s="338">
        <v>14.28542</v>
      </c>
      <c r="K21" s="341">
        <v>0.33403188235199999</v>
      </c>
      <c r="L21" s="113"/>
    </row>
    <row r="22" spans="1:12" ht="14.4" customHeight="1" thickBot="1" x14ac:dyDescent="0.35">
      <c r="A22" s="359" t="s">
        <v>205</v>
      </c>
      <c r="B22" s="337">
        <v>6.5349065411709999</v>
      </c>
      <c r="C22" s="337">
        <v>13.84089</v>
      </c>
      <c r="D22" s="338">
        <v>7.3059834588279999</v>
      </c>
      <c r="E22" s="339">
        <v>2.1179935646820001</v>
      </c>
      <c r="F22" s="337">
        <v>17.795162520131999</v>
      </c>
      <c r="G22" s="338">
        <v>4.4487906300329998</v>
      </c>
      <c r="H22" s="340">
        <v>2.4320599999999999</v>
      </c>
      <c r="I22" s="337">
        <v>2.4320599999999999</v>
      </c>
      <c r="J22" s="338">
        <v>-2.0167306300329999</v>
      </c>
      <c r="K22" s="341">
        <v>0.1366697268</v>
      </c>
      <c r="L22" s="113"/>
    </row>
    <row r="23" spans="1:12" ht="14.4" customHeight="1" thickBot="1" x14ac:dyDescent="0.35">
      <c r="A23" s="359" t="s">
        <v>206</v>
      </c>
      <c r="B23" s="337">
        <v>0</v>
      </c>
      <c r="C23" s="337">
        <v>2.7578999999999998</v>
      </c>
      <c r="D23" s="338">
        <v>2.7578999999999998</v>
      </c>
      <c r="E23" s="347" t="s">
        <v>197</v>
      </c>
      <c r="F23" s="337">
        <v>0</v>
      </c>
      <c r="G23" s="338">
        <v>0</v>
      </c>
      <c r="H23" s="340">
        <v>0</v>
      </c>
      <c r="I23" s="337">
        <v>0</v>
      </c>
      <c r="J23" s="338">
        <v>0</v>
      </c>
      <c r="K23" s="348" t="s">
        <v>186</v>
      </c>
      <c r="L23" s="113"/>
    </row>
    <row r="24" spans="1:12" ht="14.4" customHeight="1" thickBot="1" x14ac:dyDescent="0.35">
      <c r="A24" s="359" t="s">
        <v>207</v>
      </c>
      <c r="B24" s="337">
        <v>2</v>
      </c>
      <c r="C24" s="337">
        <v>3.5926399999999998</v>
      </c>
      <c r="D24" s="338">
        <v>1.5926400000000001</v>
      </c>
      <c r="E24" s="339">
        <v>1.7963199999999999</v>
      </c>
      <c r="F24" s="337">
        <v>4</v>
      </c>
      <c r="G24" s="338">
        <v>1</v>
      </c>
      <c r="H24" s="340">
        <v>0</v>
      </c>
      <c r="I24" s="337">
        <v>1.4179999999999999</v>
      </c>
      <c r="J24" s="338">
        <v>0.41799999999999998</v>
      </c>
      <c r="K24" s="341">
        <v>0.35449999999999998</v>
      </c>
      <c r="L24" s="113"/>
    </row>
    <row r="25" spans="1:12" ht="14.4" customHeight="1" thickBot="1" x14ac:dyDescent="0.35">
      <c r="A25" s="359" t="s">
        <v>208</v>
      </c>
      <c r="B25" s="337">
        <v>0</v>
      </c>
      <c r="C25" s="337">
        <v>0.53239999999999998</v>
      </c>
      <c r="D25" s="338">
        <v>0.53239999999999998</v>
      </c>
      <c r="E25" s="347" t="s">
        <v>197</v>
      </c>
      <c r="F25" s="337">
        <v>0.53677284296899996</v>
      </c>
      <c r="G25" s="338">
        <v>0.134193210742</v>
      </c>
      <c r="H25" s="340">
        <v>0</v>
      </c>
      <c r="I25" s="337">
        <v>0</v>
      </c>
      <c r="J25" s="338">
        <v>-0.134193210742</v>
      </c>
      <c r="K25" s="341">
        <v>0</v>
      </c>
      <c r="L25" s="113"/>
    </row>
    <row r="26" spans="1:12" ht="14.4" customHeight="1" thickBot="1" x14ac:dyDescent="0.35">
      <c r="A26" s="358" t="s">
        <v>209</v>
      </c>
      <c r="B26" s="342">
        <v>0.28258659069399999</v>
      </c>
      <c r="C26" s="342">
        <v>0.1646</v>
      </c>
      <c r="D26" s="343">
        <v>-0.117986590694</v>
      </c>
      <c r="E26" s="344">
        <v>0.58247632909699998</v>
      </c>
      <c r="F26" s="342">
        <v>0.15280865179899999</v>
      </c>
      <c r="G26" s="343">
        <v>3.8202162949000001E-2</v>
      </c>
      <c r="H26" s="345">
        <v>0</v>
      </c>
      <c r="I26" s="342">
        <v>0</v>
      </c>
      <c r="J26" s="343">
        <v>-3.8202162949000001E-2</v>
      </c>
      <c r="K26" s="346">
        <v>0</v>
      </c>
      <c r="L26" s="113"/>
    </row>
    <row r="27" spans="1:12" ht="14.4" customHeight="1" thickBot="1" x14ac:dyDescent="0.35">
      <c r="A27" s="359" t="s">
        <v>210</v>
      </c>
      <c r="B27" s="337">
        <v>0.28258659069399999</v>
      </c>
      <c r="C27" s="337">
        <v>0.1646</v>
      </c>
      <c r="D27" s="338">
        <v>-0.117986590694</v>
      </c>
      <c r="E27" s="339">
        <v>0.58247632909699998</v>
      </c>
      <c r="F27" s="337">
        <v>0.15280865179899999</v>
      </c>
      <c r="G27" s="338">
        <v>3.8202162949000001E-2</v>
      </c>
      <c r="H27" s="340">
        <v>0</v>
      </c>
      <c r="I27" s="337">
        <v>0</v>
      </c>
      <c r="J27" s="338">
        <v>-3.8202162949000001E-2</v>
      </c>
      <c r="K27" s="341">
        <v>0</v>
      </c>
      <c r="L27" s="115"/>
    </row>
    <row r="28" spans="1:12" ht="14.4" customHeight="1" thickBot="1" x14ac:dyDescent="0.35">
      <c r="A28" s="358" t="s">
        <v>211</v>
      </c>
      <c r="B28" s="342">
        <v>0</v>
      </c>
      <c r="C28" s="342">
        <v>1.6468100000000001</v>
      </c>
      <c r="D28" s="343">
        <v>1.6468100000000001</v>
      </c>
      <c r="E28" s="349" t="s">
        <v>186</v>
      </c>
      <c r="F28" s="342">
        <v>0</v>
      </c>
      <c r="G28" s="343">
        <v>0</v>
      </c>
      <c r="H28" s="345">
        <v>0.54208000000000001</v>
      </c>
      <c r="I28" s="342">
        <v>2.7576499999999999</v>
      </c>
      <c r="J28" s="343">
        <v>2.7576499999999999</v>
      </c>
      <c r="K28" s="350" t="s">
        <v>186</v>
      </c>
      <c r="L28" s="113"/>
    </row>
    <row r="29" spans="1:12" ht="14.4" customHeight="1" thickBot="1" x14ac:dyDescent="0.35">
      <c r="A29" s="359" t="s">
        <v>212</v>
      </c>
      <c r="B29" s="337">
        <v>0</v>
      </c>
      <c r="C29" s="337">
        <v>1.6468100000000001</v>
      </c>
      <c r="D29" s="338">
        <v>1.6468100000000001</v>
      </c>
      <c r="E29" s="347" t="s">
        <v>186</v>
      </c>
      <c r="F29" s="337">
        <v>0</v>
      </c>
      <c r="G29" s="338">
        <v>0</v>
      </c>
      <c r="H29" s="340">
        <v>0.54208000000000001</v>
      </c>
      <c r="I29" s="337">
        <v>2.7576499999999999</v>
      </c>
      <c r="J29" s="338">
        <v>2.7576499999999999</v>
      </c>
      <c r="K29" s="348" t="s">
        <v>186</v>
      </c>
      <c r="L29" s="113"/>
    </row>
    <row r="30" spans="1:12" ht="14.4" customHeight="1" thickBot="1" x14ac:dyDescent="0.35">
      <c r="A30" s="357" t="s">
        <v>22</v>
      </c>
      <c r="B30" s="337">
        <v>66.868659554657995</v>
      </c>
      <c r="C30" s="337">
        <v>46.94</v>
      </c>
      <c r="D30" s="338">
        <v>-19.928659554658001</v>
      </c>
      <c r="E30" s="339">
        <v>0.70197309640399996</v>
      </c>
      <c r="F30" s="337">
        <v>46.941117636765</v>
      </c>
      <c r="G30" s="338">
        <v>11.735279409191</v>
      </c>
      <c r="H30" s="340">
        <v>3.7789999999999999</v>
      </c>
      <c r="I30" s="337">
        <v>11.597</v>
      </c>
      <c r="J30" s="338">
        <v>-0.13827940919100001</v>
      </c>
      <c r="K30" s="341">
        <v>0.24705419435699999</v>
      </c>
      <c r="L30" s="113"/>
    </row>
    <row r="31" spans="1:12" ht="14.4" customHeight="1" thickBot="1" x14ac:dyDescent="0.35">
      <c r="A31" s="358" t="s">
        <v>213</v>
      </c>
      <c r="B31" s="342">
        <v>66.868659554657995</v>
      </c>
      <c r="C31" s="342">
        <v>46.94</v>
      </c>
      <c r="D31" s="343">
        <v>-19.928659554658001</v>
      </c>
      <c r="E31" s="344">
        <v>0.70197309640399996</v>
      </c>
      <c r="F31" s="342">
        <v>46.941117636765</v>
      </c>
      <c r="G31" s="343">
        <v>11.735279409191</v>
      </c>
      <c r="H31" s="345">
        <v>3.7789999999999999</v>
      </c>
      <c r="I31" s="342">
        <v>11.597</v>
      </c>
      <c r="J31" s="343">
        <v>-0.13827940919100001</v>
      </c>
      <c r="K31" s="346">
        <v>0.24705419435699999</v>
      </c>
      <c r="L31" s="113"/>
    </row>
    <row r="32" spans="1:12" ht="14.4" customHeight="1" thickBot="1" x14ac:dyDescent="0.35">
      <c r="A32" s="359" t="s">
        <v>214</v>
      </c>
      <c r="B32" s="337">
        <v>38.999999999998998</v>
      </c>
      <c r="C32" s="337">
        <v>39.78</v>
      </c>
      <c r="D32" s="338">
        <v>0.78</v>
      </c>
      <c r="E32" s="339">
        <v>1.02</v>
      </c>
      <c r="F32" s="337">
        <v>39.326822122476003</v>
      </c>
      <c r="G32" s="338">
        <v>9.8317055306190007</v>
      </c>
      <c r="H32" s="340">
        <v>3.1619999999999999</v>
      </c>
      <c r="I32" s="337">
        <v>9.5890000000000004</v>
      </c>
      <c r="J32" s="338">
        <v>-0.24270553061899999</v>
      </c>
      <c r="K32" s="341">
        <v>0.243828498782</v>
      </c>
      <c r="L32" s="113"/>
    </row>
    <row r="33" spans="1:12" ht="14.4" customHeight="1" thickBot="1" x14ac:dyDescent="0.35">
      <c r="A33" s="359" t="s">
        <v>215</v>
      </c>
      <c r="B33" s="337">
        <v>7.8686595546579996</v>
      </c>
      <c r="C33" s="337">
        <v>7.16</v>
      </c>
      <c r="D33" s="338">
        <v>-0.70865955465800001</v>
      </c>
      <c r="E33" s="339">
        <v>0.90993897375499999</v>
      </c>
      <c r="F33" s="337">
        <v>7.614295514288</v>
      </c>
      <c r="G33" s="338">
        <v>1.903573878572</v>
      </c>
      <c r="H33" s="340">
        <v>0.61699999999999999</v>
      </c>
      <c r="I33" s="337">
        <v>2.008</v>
      </c>
      <c r="J33" s="338">
        <v>0.104426121427</v>
      </c>
      <c r="K33" s="341">
        <v>0.26371448234799999</v>
      </c>
      <c r="L33" s="113"/>
    </row>
    <row r="34" spans="1:12" ht="14.4" customHeight="1" thickBot="1" x14ac:dyDescent="0.35">
      <c r="A34" s="359" t="s">
        <v>216</v>
      </c>
      <c r="B34" s="337">
        <v>19.999999999999002</v>
      </c>
      <c r="C34" s="337">
        <v>0</v>
      </c>
      <c r="D34" s="338">
        <v>-19.999999999999002</v>
      </c>
      <c r="E34" s="339">
        <v>0</v>
      </c>
      <c r="F34" s="337">
        <v>0</v>
      </c>
      <c r="G34" s="338">
        <v>0</v>
      </c>
      <c r="H34" s="340">
        <v>0</v>
      </c>
      <c r="I34" s="337">
        <v>0</v>
      </c>
      <c r="J34" s="338">
        <v>0</v>
      </c>
      <c r="K34" s="341">
        <v>0</v>
      </c>
      <c r="L34" s="113"/>
    </row>
    <row r="35" spans="1:12" ht="14.4" customHeight="1" thickBot="1" x14ac:dyDescent="0.35">
      <c r="A35" s="360" t="s">
        <v>217</v>
      </c>
      <c r="B35" s="342">
        <v>125.076726207043</v>
      </c>
      <c r="C35" s="342">
        <v>212.09439</v>
      </c>
      <c r="D35" s="343">
        <v>87.017663792956</v>
      </c>
      <c r="E35" s="344">
        <v>1.6957142742039999</v>
      </c>
      <c r="F35" s="342">
        <v>349.41824843350997</v>
      </c>
      <c r="G35" s="343">
        <v>87.354562108376996</v>
      </c>
      <c r="H35" s="345">
        <v>4.2793400000000004</v>
      </c>
      <c r="I35" s="342">
        <v>83.552359999999993</v>
      </c>
      <c r="J35" s="343">
        <v>-3.8022021083770001</v>
      </c>
      <c r="K35" s="346">
        <v>0.23911847871299999</v>
      </c>
      <c r="L35" s="113"/>
    </row>
    <row r="36" spans="1:12" ht="14.4" customHeight="1" thickBot="1" x14ac:dyDescent="0.35">
      <c r="A36" s="357" t="s">
        <v>25</v>
      </c>
      <c r="B36" s="337">
        <v>2.517552208528</v>
      </c>
      <c r="C36" s="337">
        <v>44.20035</v>
      </c>
      <c r="D36" s="338">
        <v>41.682797791471003</v>
      </c>
      <c r="E36" s="339">
        <v>17.556875225969002</v>
      </c>
      <c r="F36" s="337">
        <v>37.543890881556997</v>
      </c>
      <c r="G36" s="338">
        <v>9.3859727203890007</v>
      </c>
      <c r="H36" s="340">
        <v>0</v>
      </c>
      <c r="I36" s="337">
        <v>0</v>
      </c>
      <c r="J36" s="338">
        <v>-9.3859727203890007</v>
      </c>
      <c r="K36" s="341">
        <v>0</v>
      </c>
      <c r="L36" s="113"/>
    </row>
    <row r="37" spans="1:12" ht="14.4" customHeight="1" thickBot="1" x14ac:dyDescent="0.35">
      <c r="A37" s="361" t="s">
        <v>218</v>
      </c>
      <c r="B37" s="337">
        <v>2.517552208528</v>
      </c>
      <c r="C37" s="337">
        <v>44.20035</v>
      </c>
      <c r="D37" s="338">
        <v>41.682797791471003</v>
      </c>
      <c r="E37" s="339">
        <v>17.556875225969002</v>
      </c>
      <c r="F37" s="337">
        <v>37.543890881556997</v>
      </c>
      <c r="G37" s="338">
        <v>9.3859727203890007</v>
      </c>
      <c r="H37" s="340">
        <v>0</v>
      </c>
      <c r="I37" s="337">
        <v>0</v>
      </c>
      <c r="J37" s="338">
        <v>-9.3859727203890007</v>
      </c>
      <c r="K37" s="341">
        <v>0</v>
      </c>
      <c r="L37" s="113"/>
    </row>
    <row r="38" spans="1:12" ht="14.4" customHeight="1" thickBot="1" x14ac:dyDescent="0.35">
      <c r="A38" s="359" t="s">
        <v>219</v>
      </c>
      <c r="B38" s="337">
        <v>0</v>
      </c>
      <c r="C38" s="337">
        <v>41.460650000000001</v>
      </c>
      <c r="D38" s="338">
        <v>41.460650000000001</v>
      </c>
      <c r="E38" s="347" t="s">
        <v>197</v>
      </c>
      <c r="F38" s="337">
        <v>34.327573539866997</v>
      </c>
      <c r="G38" s="338">
        <v>8.5818933849659995</v>
      </c>
      <c r="H38" s="340">
        <v>0</v>
      </c>
      <c r="I38" s="337">
        <v>0</v>
      </c>
      <c r="J38" s="338">
        <v>-8.5818933849659995</v>
      </c>
      <c r="K38" s="341">
        <v>0</v>
      </c>
      <c r="L38" s="113"/>
    </row>
    <row r="39" spans="1:12" ht="14.4" customHeight="1" thickBot="1" x14ac:dyDescent="0.35">
      <c r="A39" s="359" t="s">
        <v>220</v>
      </c>
      <c r="B39" s="337">
        <v>2.517552208528</v>
      </c>
      <c r="C39" s="337">
        <v>1.7508699999999999</v>
      </c>
      <c r="D39" s="338">
        <v>-0.76668220852799995</v>
      </c>
      <c r="E39" s="339">
        <v>0.69546521977499998</v>
      </c>
      <c r="F39" s="337">
        <v>2.0248294833360001</v>
      </c>
      <c r="G39" s="338">
        <v>0.50620737083400003</v>
      </c>
      <c r="H39" s="340">
        <v>0</v>
      </c>
      <c r="I39" s="337">
        <v>0</v>
      </c>
      <c r="J39" s="338">
        <v>-0.50620737083400003</v>
      </c>
      <c r="K39" s="341">
        <v>0</v>
      </c>
      <c r="L39" s="113"/>
    </row>
    <row r="40" spans="1:12" ht="14.4" customHeight="1" thickBot="1" x14ac:dyDescent="0.35">
      <c r="A40" s="359" t="s">
        <v>221</v>
      </c>
      <c r="B40" s="337">
        <v>0</v>
      </c>
      <c r="C40" s="337">
        <v>0.98882999999900001</v>
      </c>
      <c r="D40" s="338">
        <v>0.98882999999900001</v>
      </c>
      <c r="E40" s="347" t="s">
        <v>186</v>
      </c>
      <c r="F40" s="337">
        <v>1.191487858353</v>
      </c>
      <c r="G40" s="338">
        <v>0.29787196458800003</v>
      </c>
      <c r="H40" s="340">
        <v>0</v>
      </c>
      <c r="I40" s="337">
        <v>0</v>
      </c>
      <c r="J40" s="338">
        <v>-0.29787196458800003</v>
      </c>
      <c r="K40" s="341">
        <v>0</v>
      </c>
      <c r="L40" s="113"/>
    </row>
    <row r="41" spans="1:12" ht="14.4" customHeight="1" thickBot="1" x14ac:dyDescent="0.35">
      <c r="A41" s="362" t="s">
        <v>26</v>
      </c>
      <c r="B41" s="342">
        <v>0</v>
      </c>
      <c r="C41" s="342">
        <v>18.071999999999999</v>
      </c>
      <c r="D41" s="343">
        <v>18.071999999999999</v>
      </c>
      <c r="E41" s="349" t="s">
        <v>186</v>
      </c>
      <c r="F41" s="342">
        <v>0</v>
      </c>
      <c r="G41" s="343">
        <v>0</v>
      </c>
      <c r="H41" s="345">
        <v>0.98699999999999999</v>
      </c>
      <c r="I41" s="342">
        <v>1.819</v>
      </c>
      <c r="J41" s="343">
        <v>1.819</v>
      </c>
      <c r="K41" s="350" t="s">
        <v>186</v>
      </c>
      <c r="L41" s="113"/>
    </row>
    <row r="42" spans="1:12" ht="14.4" customHeight="1" thickBot="1" x14ac:dyDescent="0.35">
      <c r="A42" s="358" t="s">
        <v>222</v>
      </c>
      <c r="B42" s="342">
        <v>0</v>
      </c>
      <c r="C42" s="342">
        <v>18.071999999999999</v>
      </c>
      <c r="D42" s="343">
        <v>18.071999999999999</v>
      </c>
      <c r="E42" s="349" t="s">
        <v>186</v>
      </c>
      <c r="F42" s="342">
        <v>0</v>
      </c>
      <c r="G42" s="343">
        <v>0</v>
      </c>
      <c r="H42" s="345">
        <v>0.98699999999999999</v>
      </c>
      <c r="I42" s="342">
        <v>1.819</v>
      </c>
      <c r="J42" s="343">
        <v>1.819</v>
      </c>
      <c r="K42" s="350" t="s">
        <v>186</v>
      </c>
      <c r="L42" s="113"/>
    </row>
    <row r="43" spans="1:12" ht="14.4" customHeight="1" thickBot="1" x14ac:dyDescent="0.35">
      <c r="A43" s="359" t="s">
        <v>223</v>
      </c>
      <c r="B43" s="337">
        <v>0</v>
      </c>
      <c r="C43" s="337">
        <v>13.922000000000001</v>
      </c>
      <c r="D43" s="338">
        <v>13.922000000000001</v>
      </c>
      <c r="E43" s="347" t="s">
        <v>186</v>
      </c>
      <c r="F43" s="337">
        <v>0</v>
      </c>
      <c r="G43" s="338">
        <v>0</v>
      </c>
      <c r="H43" s="340">
        <v>0.98699999999999999</v>
      </c>
      <c r="I43" s="337">
        <v>1.819</v>
      </c>
      <c r="J43" s="338">
        <v>1.819</v>
      </c>
      <c r="K43" s="348" t="s">
        <v>186</v>
      </c>
      <c r="L43" s="113"/>
    </row>
    <row r="44" spans="1:12" ht="14.4" customHeight="1" thickBot="1" x14ac:dyDescent="0.35">
      <c r="A44" s="359" t="s">
        <v>224</v>
      </c>
      <c r="B44" s="337">
        <v>0</v>
      </c>
      <c r="C44" s="337">
        <v>4.1500000000000004</v>
      </c>
      <c r="D44" s="338">
        <v>4.1500000000000004</v>
      </c>
      <c r="E44" s="347" t="s">
        <v>186</v>
      </c>
      <c r="F44" s="337">
        <v>0</v>
      </c>
      <c r="G44" s="338">
        <v>0</v>
      </c>
      <c r="H44" s="340">
        <v>0</v>
      </c>
      <c r="I44" s="337">
        <v>0</v>
      </c>
      <c r="J44" s="338">
        <v>0</v>
      </c>
      <c r="K44" s="348" t="s">
        <v>186</v>
      </c>
      <c r="L44" s="113"/>
    </row>
    <row r="45" spans="1:12" ht="14.4" customHeight="1" thickBot="1" x14ac:dyDescent="0.35">
      <c r="A45" s="357" t="s">
        <v>27</v>
      </c>
      <c r="B45" s="337">
        <v>122.55917399851501</v>
      </c>
      <c r="C45" s="337">
        <v>149.82203999999999</v>
      </c>
      <c r="D45" s="338">
        <v>27.262866001485001</v>
      </c>
      <c r="E45" s="339">
        <v>1.2224465546879999</v>
      </c>
      <c r="F45" s="337">
        <v>311.87435755195202</v>
      </c>
      <c r="G45" s="338">
        <v>77.968589387988004</v>
      </c>
      <c r="H45" s="340">
        <v>3.2923399999999998</v>
      </c>
      <c r="I45" s="337">
        <v>81.733360000000005</v>
      </c>
      <c r="J45" s="338">
        <v>3.7647706120120001</v>
      </c>
      <c r="K45" s="341">
        <v>0.26207143364199997</v>
      </c>
      <c r="L45" s="113"/>
    </row>
    <row r="46" spans="1:12" ht="14.4" customHeight="1" thickBot="1" x14ac:dyDescent="0.35">
      <c r="A46" s="358" t="s">
        <v>225</v>
      </c>
      <c r="B46" s="342">
        <v>11.046915470491999</v>
      </c>
      <c r="C46" s="342">
        <v>7.41737</v>
      </c>
      <c r="D46" s="343">
        <v>-3.6295454704919998</v>
      </c>
      <c r="E46" s="344">
        <v>0.67144263209099997</v>
      </c>
      <c r="F46" s="342">
        <v>7.6001388284129998</v>
      </c>
      <c r="G46" s="343">
        <v>1.9000347071029999</v>
      </c>
      <c r="H46" s="345">
        <v>0.57935999999999999</v>
      </c>
      <c r="I46" s="342">
        <v>1.8595900000000001</v>
      </c>
      <c r="J46" s="343">
        <v>-4.0444707103000001E-2</v>
      </c>
      <c r="K46" s="346">
        <v>0.244678425221</v>
      </c>
      <c r="L46" s="113"/>
    </row>
    <row r="47" spans="1:12" ht="14.4" customHeight="1" thickBot="1" x14ac:dyDescent="0.35">
      <c r="A47" s="359" t="s">
        <v>226</v>
      </c>
      <c r="B47" s="337">
        <v>0.227604475232</v>
      </c>
      <c r="C47" s="337">
        <v>2.6599999999999999E-2</v>
      </c>
      <c r="D47" s="338">
        <v>-0.20100447523199999</v>
      </c>
      <c r="E47" s="339">
        <v>0.116869406776</v>
      </c>
      <c r="F47" s="337">
        <v>2.5266271319999999E-2</v>
      </c>
      <c r="G47" s="338">
        <v>6.3165678299999996E-3</v>
      </c>
      <c r="H47" s="340">
        <v>0</v>
      </c>
      <c r="I47" s="337">
        <v>0</v>
      </c>
      <c r="J47" s="338">
        <v>-6.3165678299999996E-3</v>
      </c>
      <c r="K47" s="341">
        <v>0</v>
      </c>
      <c r="L47" s="113"/>
    </row>
    <row r="48" spans="1:12" ht="14.4" customHeight="1" thickBot="1" x14ac:dyDescent="0.35">
      <c r="A48" s="359" t="s">
        <v>227</v>
      </c>
      <c r="B48" s="337">
        <v>10.81931099526</v>
      </c>
      <c r="C48" s="337">
        <v>7.3907699999999998</v>
      </c>
      <c r="D48" s="338">
        <v>-3.4285409952600001</v>
      </c>
      <c r="E48" s="339">
        <v>0.68310911880000003</v>
      </c>
      <c r="F48" s="337">
        <v>7.5748725570920001</v>
      </c>
      <c r="G48" s="338">
        <v>1.893718139273</v>
      </c>
      <c r="H48" s="340">
        <v>0.57935999999999999</v>
      </c>
      <c r="I48" s="337">
        <v>1.8595900000000001</v>
      </c>
      <c r="J48" s="338">
        <v>-3.4128139272999999E-2</v>
      </c>
      <c r="K48" s="341">
        <v>0.24549455927899999</v>
      </c>
      <c r="L48" s="113"/>
    </row>
    <row r="49" spans="1:12" ht="14.4" customHeight="1" thickBot="1" x14ac:dyDescent="0.35">
      <c r="A49" s="358" t="s">
        <v>228</v>
      </c>
      <c r="B49" s="342">
        <v>1</v>
      </c>
      <c r="C49" s="342">
        <v>0.54</v>
      </c>
      <c r="D49" s="343">
        <v>-0.46</v>
      </c>
      <c r="E49" s="344">
        <v>0.53999999999899995</v>
      </c>
      <c r="F49" s="342">
        <v>0.56788732394300001</v>
      </c>
      <c r="G49" s="343">
        <v>0.14197183098499999</v>
      </c>
      <c r="H49" s="345">
        <v>0</v>
      </c>
      <c r="I49" s="342">
        <v>0.13500000000000001</v>
      </c>
      <c r="J49" s="343">
        <v>-6.971830985E-3</v>
      </c>
      <c r="K49" s="346">
        <v>0.23772321428500001</v>
      </c>
      <c r="L49" s="113"/>
    </row>
    <row r="50" spans="1:12" ht="14.4" customHeight="1" thickBot="1" x14ac:dyDescent="0.35">
      <c r="A50" s="359" t="s">
        <v>229</v>
      </c>
      <c r="B50" s="337">
        <v>1</v>
      </c>
      <c r="C50" s="337">
        <v>0.54</v>
      </c>
      <c r="D50" s="338">
        <v>-0.46</v>
      </c>
      <c r="E50" s="339">
        <v>0.53999999999899995</v>
      </c>
      <c r="F50" s="337">
        <v>0.56788732394300001</v>
      </c>
      <c r="G50" s="338">
        <v>0.14197183098499999</v>
      </c>
      <c r="H50" s="340">
        <v>0</v>
      </c>
      <c r="I50" s="337">
        <v>0.13500000000000001</v>
      </c>
      <c r="J50" s="338">
        <v>-6.971830985E-3</v>
      </c>
      <c r="K50" s="341">
        <v>0.23772321428500001</v>
      </c>
      <c r="L50" s="113"/>
    </row>
    <row r="51" spans="1:12" ht="14.4" customHeight="1" thickBot="1" x14ac:dyDescent="0.35">
      <c r="A51" s="358" t="s">
        <v>230</v>
      </c>
      <c r="B51" s="342">
        <v>18.134994819422001</v>
      </c>
      <c r="C51" s="342">
        <v>31.235589999999998</v>
      </c>
      <c r="D51" s="343">
        <v>13.100595180577001</v>
      </c>
      <c r="E51" s="344">
        <v>1.7223931030040001</v>
      </c>
      <c r="F51" s="342">
        <v>33.598887443980999</v>
      </c>
      <c r="G51" s="343">
        <v>8.3997218609949993</v>
      </c>
      <c r="H51" s="345">
        <v>2.7129799999999999</v>
      </c>
      <c r="I51" s="342">
        <v>7.76241</v>
      </c>
      <c r="J51" s="343">
        <v>-0.63731186099500003</v>
      </c>
      <c r="K51" s="346">
        <v>0.23103175701699999</v>
      </c>
      <c r="L51" s="113"/>
    </row>
    <row r="52" spans="1:12" ht="14.4" customHeight="1" thickBot="1" x14ac:dyDescent="0.35">
      <c r="A52" s="359" t="s">
        <v>231</v>
      </c>
      <c r="B52" s="337">
        <v>0</v>
      </c>
      <c r="C52" s="337">
        <v>15.49076</v>
      </c>
      <c r="D52" s="338">
        <v>15.49076</v>
      </c>
      <c r="E52" s="347" t="s">
        <v>186</v>
      </c>
      <c r="F52" s="337">
        <v>17.625173828792999</v>
      </c>
      <c r="G52" s="338">
        <v>4.4062934571980001</v>
      </c>
      <c r="H52" s="340">
        <v>1.35999</v>
      </c>
      <c r="I52" s="337">
        <v>3.98109</v>
      </c>
      <c r="J52" s="338">
        <v>-0.42520345719800001</v>
      </c>
      <c r="K52" s="341">
        <v>0.225875219085</v>
      </c>
      <c r="L52" s="113"/>
    </row>
    <row r="53" spans="1:12" ht="14.4" customHeight="1" thickBot="1" x14ac:dyDescent="0.35">
      <c r="A53" s="359" t="s">
        <v>232</v>
      </c>
      <c r="B53" s="337">
        <v>18.134994819422001</v>
      </c>
      <c r="C53" s="337">
        <v>15.74483</v>
      </c>
      <c r="D53" s="338">
        <v>-2.390164819422</v>
      </c>
      <c r="E53" s="339">
        <v>0.86820151628200004</v>
      </c>
      <c r="F53" s="337">
        <v>15.973713615187</v>
      </c>
      <c r="G53" s="338">
        <v>3.9934284037959999</v>
      </c>
      <c r="H53" s="340">
        <v>1.3529899999999999</v>
      </c>
      <c r="I53" s="337">
        <v>3.78132</v>
      </c>
      <c r="J53" s="338">
        <v>-0.21210840379599999</v>
      </c>
      <c r="K53" s="341">
        <v>0.23672140937799999</v>
      </c>
      <c r="L53" s="113"/>
    </row>
    <row r="54" spans="1:12" ht="14.4" customHeight="1" thickBot="1" x14ac:dyDescent="0.35">
      <c r="A54" s="358" t="s">
        <v>233</v>
      </c>
      <c r="B54" s="342">
        <v>91.502317430000005</v>
      </c>
      <c r="C54" s="342">
        <v>48.542580000000001</v>
      </c>
      <c r="D54" s="343">
        <v>-42.959737429999997</v>
      </c>
      <c r="E54" s="344">
        <v>0.53050656380500005</v>
      </c>
      <c r="F54" s="342">
        <v>45.779863323813998</v>
      </c>
      <c r="G54" s="343">
        <v>11.444965830953</v>
      </c>
      <c r="H54" s="345">
        <v>0</v>
      </c>
      <c r="I54" s="342">
        <v>70.176360000000003</v>
      </c>
      <c r="J54" s="343">
        <v>58.731394169045998</v>
      </c>
      <c r="K54" s="346">
        <v>1.5329089015320001</v>
      </c>
      <c r="L54" s="113"/>
    </row>
    <row r="55" spans="1:12" ht="14.4" customHeight="1" thickBot="1" x14ac:dyDescent="0.35">
      <c r="A55" s="359" t="s">
        <v>234</v>
      </c>
      <c r="B55" s="337">
        <v>0</v>
      </c>
      <c r="C55" s="337">
        <v>1.5336700000000001</v>
      </c>
      <c r="D55" s="338">
        <v>1.5336700000000001</v>
      </c>
      <c r="E55" s="347" t="s">
        <v>197</v>
      </c>
      <c r="F55" s="337">
        <v>1.970088798958</v>
      </c>
      <c r="G55" s="338">
        <v>0.49252219973900002</v>
      </c>
      <c r="H55" s="340">
        <v>0</v>
      </c>
      <c r="I55" s="337">
        <v>0</v>
      </c>
      <c r="J55" s="338">
        <v>-0.49252219973900002</v>
      </c>
      <c r="K55" s="341">
        <v>0</v>
      </c>
      <c r="L55" s="113"/>
    </row>
    <row r="56" spans="1:12" ht="14.4" customHeight="1" thickBot="1" x14ac:dyDescent="0.35">
      <c r="A56" s="359" t="s">
        <v>235</v>
      </c>
      <c r="B56" s="337">
        <v>15.387200494781</v>
      </c>
      <c r="C56" s="337">
        <v>6.5430000000000001</v>
      </c>
      <c r="D56" s="338">
        <v>-8.8442004947809991</v>
      </c>
      <c r="E56" s="339">
        <v>0.425223548768</v>
      </c>
      <c r="F56" s="337">
        <v>6.2969855706429998</v>
      </c>
      <c r="G56" s="338">
        <v>1.5742463926600001</v>
      </c>
      <c r="H56" s="340">
        <v>0</v>
      </c>
      <c r="I56" s="337">
        <v>13.5038</v>
      </c>
      <c r="J56" s="338">
        <v>11.929553607339001</v>
      </c>
      <c r="K56" s="341">
        <v>2.1444864131419998</v>
      </c>
      <c r="L56" s="113"/>
    </row>
    <row r="57" spans="1:12" ht="14.4" customHeight="1" thickBot="1" x14ac:dyDescent="0.35">
      <c r="A57" s="359" t="s">
        <v>236</v>
      </c>
      <c r="B57" s="337">
        <v>76.115116935217998</v>
      </c>
      <c r="C57" s="337">
        <v>40.465910000000001</v>
      </c>
      <c r="D57" s="338">
        <v>-35.649206935217997</v>
      </c>
      <c r="E57" s="339">
        <v>0.53164090957700005</v>
      </c>
      <c r="F57" s="337">
        <v>37.512788954211999</v>
      </c>
      <c r="G57" s="338">
        <v>9.3781972385529997</v>
      </c>
      <c r="H57" s="340">
        <v>0</v>
      </c>
      <c r="I57" s="337">
        <v>56.672559999999997</v>
      </c>
      <c r="J57" s="338">
        <v>47.294362761446003</v>
      </c>
      <c r="K57" s="341">
        <v>1.510753041294</v>
      </c>
      <c r="L57" s="113"/>
    </row>
    <row r="58" spans="1:12" ht="14.4" customHeight="1" thickBot="1" x14ac:dyDescent="0.35">
      <c r="A58" s="358" t="s">
        <v>237</v>
      </c>
      <c r="B58" s="342">
        <v>0.87494627859899998</v>
      </c>
      <c r="C58" s="342">
        <v>62.086499999998999</v>
      </c>
      <c r="D58" s="343">
        <v>61.211553721400001</v>
      </c>
      <c r="E58" s="344">
        <v>70.960356674002</v>
      </c>
      <c r="F58" s="342">
        <v>224.32758063179901</v>
      </c>
      <c r="G58" s="343">
        <v>56.081895157948999</v>
      </c>
      <c r="H58" s="345">
        <v>0</v>
      </c>
      <c r="I58" s="342">
        <v>1.8</v>
      </c>
      <c r="J58" s="343">
        <v>-54.281895157949002</v>
      </c>
      <c r="K58" s="346">
        <v>8.0239799080000004E-3</v>
      </c>
      <c r="L58" s="113"/>
    </row>
    <row r="59" spans="1:12" ht="14.4" customHeight="1" thickBot="1" x14ac:dyDescent="0.35">
      <c r="A59" s="359" t="s">
        <v>238</v>
      </c>
      <c r="B59" s="337">
        <v>0.87494627859899998</v>
      </c>
      <c r="C59" s="337">
        <v>1.0389999999999999</v>
      </c>
      <c r="D59" s="338">
        <v>0.16405372139999999</v>
      </c>
      <c r="E59" s="339">
        <v>1.1875014791339999</v>
      </c>
      <c r="F59" s="337">
        <v>0.70038959454600003</v>
      </c>
      <c r="G59" s="338">
        <v>0.17509739863599999</v>
      </c>
      <c r="H59" s="340">
        <v>0</v>
      </c>
      <c r="I59" s="337">
        <v>0</v>
      </c>
      <c r="J59" s="338">
        <v>-0.17509739863599999</v>
      </c>
      <c r="K59" s="341">
        <v>0</v>
      </c>
      <c r="L59" s="113"/>
    </row>
    <row r="60" spans="1:12" ht="14.4" customHeight="1" thickBot="1" x14ac:dyDescent="0.35">
      <c r="A60" s="359" t="s">
        <v>239</v>
      </c>
      <c r="B60" s="337">
        <v>0</v>
      </c>
      <c r="C60" s="337">
        <v>24.493500000000001</v>
      </c>
      <c r="D60" s="338">
        <v>24.493500000000001</v>
      </c>
      <c r="E60" s="347" t="s">
        <v>186</v>
      </c>
      <c r="F60" s="337">
        <v>53.757445285899003</v>
      </c>
      <c r="G60" s="338">
        <v>13.439361321473999</v>
      </c>
      <c r="H60" s="340">
        <v>0</v>
      </c>
      <c r="I60" s="337">
        <v>1.8</v>
      </c>
      <c r="J60" s="338">
        <v>-11.639361321474</v>
      </c>
      <c r="K60" s="341">
        <v>3.3483734027999999E-2</v>
      </c>
      <c r="L60" s="113"/>
    </row>
    <row r="61" spans="1:12" ht="14.4" customHeight="1" thickBot="1" x14ac:dyDescent="0.35">
      <c r="A61" s="359" t="s">
        <v>240</v>
      </c>
      <c r="B61" s="337">
        <v>0</v>
      </c>
      <c r="C61" s="337">
        <v>32.458999999999001</v>
      </c>
      <c r="D61" s="338">
        <v>32.458999999999001</v>
      </c>
      <c r="E61" s="347" t="s">
        <v>186</v>
      </c>
      <c r="F61" s="337">
        <v>162.103516464302</v>
      </c>
      <c r="G61" s="338">
        <v>40.525879116074996</v>
      </c>
      <c r="H61" s="340">
        <v>0</v>
      </c>
      <c r="I61" s="337">
        <v>0</v>
      </c>
      <c r="J61" s="338">
        <v>-40.525879116074996</v>
      </c>
      <c r="K61" s="341">
        <v>0</v>
      </c>
      <c r="L61" s="113"/>
    </row>
    <row r="62" spans="1:12" ht="14.4" customHeight="1" thickBot="1" x14ac:dyDescent="0.35">
      <c r="A62" s="359" t="s">
        <v>241</v>
      </c>
      <c r="B62" s="337">
        <v>0</v>
      </c>
      <c r="C62" s="337">
        <v>4.0949999999989997</v>
      </c>
      <c r="D62" s="338">
        <v>4.0949999999989997</v>
      </c>
      <c r="E62" s="347" t="s">
        <v>186</v>
      </c>
      <c r="F62" s="337">
        <v>7.7662292870509999</v>
      </c>
      <c r="G62" s="338">
        <v>1.9415573217619999</v>
      </c>
      <c r="H62" s="340">
        <v>0</v>
      </c>
      <c r="I62" s="337">
        <v>0</v>
      </c>
      <c r="J62" s="338">
        <v>-1.9415573217619999</v>
      </c>
      <c r="K62" s="341">
        <v>0</v>
      </c>
      <c r="L62" s="113"/>
    </row>
    <row r="63" spans="1:12" ht="14.4" customHeight="1" thickBot="1" x14ac:dyDescent="0.35">
      <c r="A63" s="356" t="s">
        <v>28</v>
      </c>
      <c r="B63" s="337">
        <v>2957</v>
      </c>
      <c r="C63" s="337">
        <v>3341.2017500000002</v>
      </c>
      <c r="D63" s="338">
        <v>384.20174999999898</v>
      </c>
      <c r="E63" s="339">
        <v>1.1299295738920001</v>
      </c>
      <c r="F63" s="337">
        <v>3254.3385735004199</v>
      </c>
      <c r="G63" s="338">
        <v>813.584643375106</v>
      </c>
      <c r="H63" s="340">
        <v>284.64914000000101</v>
      </c>
      <c r="I63" s="337">
        <v>766.81977000000097</v>
      </c>
      <c r="J63" s="338">
        <v>-46.764873375104997</v>
      </c>
      <c r="K63" s="341">
        <v>0.235629991373</v>
      </c>
      <c r="L63" s="113"/>
    </row>
    <row r="64" spans="1:12" ht="14.4" customHeight="1" thickBot="1" x14ac:dyDescent="0.35">
      <c r="A64" s="362" t="s">
        <v>242</v>
      </c>
      <c r="B64" s="342">
        <v>2192</v>
      </c>
      <c r="C64" s="342">
        <v>2461.2930000000001</v>
      </c>
      <c r="D64" s="343">
        <v>269.29299999999898</v>
      </c>
      <c r="E64" s="344">
        <v>1.1228526459849999</v>
      </c>
      <c r="F64" s="342">
        <v>2412.6585735004201</v>
      </c>
      <c r="G64" s="343">
        <v>603.16464337510604</v>
      </c>
      <c r="H64" s="345">
        <v>209.38400000000101</v>
      </c>
      <c r="I64" s="342">
        <v>564.10100000000102</v>
      </c>
      <c r="J64" s="343">
        <v>-39.063643375105002</v>
      </c>
      <c r="K64" s="346">
        <v>0.233808880459</v>
      </c>
      <c r="L64" s="113"/>
    </row>
    <row r="65" spans="1:12" ht="14.4" customHeight="1" thickBot="1" x14ac:dyDescent="0.35">
      <c r="A65" s="358" t="s">
        <v>243</v>
      </c>
      <c r="B65" s="342">
        <v>2126</v>
      </c>
      <c r="C65" s="342">
        <v>2381.7669999999998</v>
      </c>
      <c r="D65" s="343">
        <v>255.766999999999</v>
      </c>
      <c r="E65" s="344">
        <v>1.120304327375</v>
      </c>
      <c r="F65" s="342">
        <v>2337.99999999999</v>
      </c>
      <c r="G65" s="343">
        <v>584.49999999999795</v>
      </c>
      <c r="H65" s="345">
        <v>203.63400000000101</v>
      </c>
      <c r="I65" s="342">
        <v>546.10100000000102</v>
      </c>
      <c r="J65" s="343">
        <v>-38.398999999997002</v>
      </c>
      <c r="K65" s="346">
        <v>0.23357613344700001</v>
      </c>
      <c r="L65" s="113"/>
    </row>
    <row r="66" spans="1:12" ht="14.4" customHeight="1" thickBot="1" x14ac:dyDescent="0.35">
      <c r="A66" s="359" t="s">
        <v>244</v>
      </c>
      <c r="B66" s="337">
        <v>2126</v>
      </c>
      <c r="C66" s="337">
        <v>2381.7669999999998</v>
      </c>
      <c r="D66" s="338">
        <v>255.766999999999</v>
      </c>
      <c r="E66" s="339">
        <v>1.120304327375</v>
      </c>
      <c r="F66" s="337">
        <v>2337.99999999999</v>
      </c>
      <c r="G66" s="338">
        <v>584.49999999999795</v>
      </c>
      <c r="H66" s="340">
        <v>203.63400000000101</v>
      </c>
      <c r="I66" s="337">
        <v>546.10100000000102</v>
      </c>
      <c r="J66" s="338">
        <v>-38.398999999997002</v>
      </c>
      <c r="K66" s="341">
        <v>0.23357613344700001</v>
      </c>
      <c r="L66" s="113"/>
    </row>
    <row r="67" spans="1:12" ht="14.4" customHeight="1" thickBot="1" x14ac:dyDescent="0.35">
      <c r="A67" s="358" t="s">
        <v>245</v>
      </c>
      <c r="B67" s="342">
        <v>60</v>
      </c>
      <c r="C67" s="342">
        <v>60</v>
      </c>
      <c r="D67" s="343">
        <v>5.6843418860808002E-14</v>
      </c>
      <c r="E67" s="344">
        <v>1</v>
      </c>
      <c r="F67" s="342">
        <v>69.086573500430006</v>
      </c>
      <c r="G67" s="343">
        <v>17.271643375107001</v>
      </c>
      <c r="H67" s="345">
        <v>5</v>
      </c>
      <c r="I67" s="342">
        <v>15</v>
      </c>
      <c r="J67" s="343">
        <v>-2.2716433751070002</v>
      </c>
      <c r="K67" s="346">
        <v>0.21711888779499999</v>
      </c>
      <c r="L67" s="113"/>
    </row>
    <row r="68" spans="1:12" ht="14.4" customHeight="1" thickBot="1" x14ac:dyDescent="0.35">
      <c r="A68" s="359" t="s">
        <v>246</v>
      </c>
      <c r="B68" s="337">
        <v>60</v>
      </c>
      <c r="C68" s="337">
        <v>60</v>
      </c>
      <c r="D68" s="338">
        <v>5.6843418860808002E-14</v>
      </c>
      <c r="E68" s="339">
        <v>1</v>
      </c>
      <c r="F68" s="337">
        <v>69.086573500430006</v>
      </c>
      <c r="G68" s="338">
        <v>17.271643375107001</v>
      </c>
      <c r="H68" s="340">
        <v>5</v>
      </c>
      <c r="I68" s="337">
        <v>15</v>
      </c>
      <c r="J68" s="338">
        <v>-2.2716433751070002</v>
      </c>
      <c r="K68" s="341">
        <v>0.21711888779499999</v>
      </c>
      <c r="L68" s="113"/>
    </row>
    <row r="69" spans="1:12" ht="14.4" customHeight="1" thickBot="1" x14ac:dyDescent="0.35">
      <c r="A69" s="358" t="s">
        <v>247</v>
      </c>
      <c r="B69" s="342">
        <v>6</v>
      </c>
      <c r="C69" s="342">
        <v>14.276</v>
      </c>
      <c r="D69" s="343">
        <v>8.2759999999989997</v>
      </c>
      <c r="E69" s="344">
        <v>2.3793333333329998</v>
      </c>
      <c r="F69" s="342">
        <v>5.5720000000000001</v>
      </c>
      <c r="G69" s="343">
        <v>1.393</v>
      </c>
      <c r="H69" s="345">
        <v>0</v>
      </c>
      <c r="I69" s="342">
        <v>0</v>
      </c>
      <c r="J69" s="343">
        <v>-1.393</v>
      </c>
      <c r="K69" s="346">
        <v>0</v>
      </c>
      <c r="L69" s="113"/>
    </row>
    <row r="70" spans="1:12" ht="14.4" customHeight="1" thickBot="1" x14ac:dyDescent="0.35">
      <c r="A70" s="359" t="s">
        <v>248</v>
      </c>
      <c r="B70" s="337">
        <v>6</v>
      </c>
      <c r="C70" s="337">
        <v>14.276</v>
      </c>
      <c r="D70" s="338">
        <v>8.2759999999989997</v>
      </c>
      <c r="E70" s="339">
        <v>2.3793333333329998</v>
      </c>
      <c r="F70" s="337">
        <v>5.5720000000000001</v>
      </c>
      <c r="G70" s="338">
        <v>1.393</v>
      </c>
      <c r="H70" s="340">
        <v>0</v>
      </c>
      <c r="I70" s="337">
        <v>0</v>
      </c>
      <c r="J70" s="338">
        <v>-1.393</v>
      </c>
      <c r="K70" s="341">
        <v>0</v>
      </c>
      <c r="L70" s="113"/>
    </row>
    <row r="71" spans="1:12" ht="14.4" customHeight="1" thickBot="1" x14ac:dyDescent="0.35">
      <c r="A71" s="361" t="s">
        <v>249</v>
      </c>
      <c r="B71" s="337">
        <v>0</v>
      </c>
      <c r="C71" s="337">
        <v>5.25</v>
      </c>
      <c r="D71" s="338">
        <v>5.25</v>
      </c>
      <c r="E71" s="347" t="s">
        <v>197</v>
      </c>
      <c r="F71" s="337">
        <v>0</v>
      </c>
      <c r="G71" s="338">
        <v>0</v>
      </c>
      <c r="H71" s="340">
        <v>0.75</v>
      </c>
      <c r="I71" s="337">
        <v>3</v>
      </c>
      <c r="J71" s="338">
        <v>3</v>
      </c>
      <c r="K71" s="348" t="s">
        <v>186</v>
      </c>
      <c r="L71" s="113"/>
    </row>
    <row r="72" spans="1:12" ht="14.4" customHeight="1" thickBot="1" x14ac:dyDescent="0.35">
      <c r="A72" s="359" t="s">
        <v>250</v>
      </c>
      <c r="B72" s="337">
        <v>0</v>
      </c>
      <c r="C72" s="337">
        <v>5.25</v>
      </c>
      <c r="D72" s="338">
        <v>5.25</v>
      </c>
      <c r="E72" s="347" t="s">
        <v>197</v>
      </c>
      <c r="F72" s="337">
        <v>0</v>
      </c>
      <c r="G72" s="338">
        <v>0</v>
      </c>
      <c r="H72" s="340">
        <v>0.75</v>
      </c>
      <c r="I72" s="337">
        <v>3</v>
      </c>
      <c r="J72" s="338">
        <v>3</v>
      </c>
      <c r="K72" s="348" t="s">
        <v>186</v>
      </c>
      <c r="L72" s="113"/>
    </row>
    <row r="73" spans="1:12" ht="14.4" customHeight="1" thickBot="1" x14ac:dyDescent="0.35">
      <c r="A73" s="357" t="s">
        <v>251</v>
      </c>
      <c r="B73" s="337">
        <v>721.99999999999898</v>
      </c>
      <c r="C73" s="337">
        <v>831.98404000000005</v>
      </c>
      <c r="D73" s="338">
        <v>109.984040000001</v>
      </c>
      <c r="E73" s="339">
        <v>1.152332465373</v>
      </c>
      <c r="F73" s="337">
        <v>794.92</v>
      </c>
      <c r="G73" s="338">
        <v>198.73</v>
      </c>
      <c r="H73" s="340">
        <v>71.190799999999996</v>
      </c>
      <c r="I73" s="337">
        <v>191.79262</v>
      </c>
      <c r="J73" s="338">
        <v>-6.937379999999</v>
      </c>
      <c r="K73" s="341">
        <v>0.24127285764600001</v>
      </c>
      <c r="L73" s="113"/>
    </row>
    <row r="74" spans="1:12" ht="14.4" customHeight="1" thickBot="1" x14ac:dyDescent="0.35">
      <c r="A74" s="358" t="s">
        <v>252</v>
      </c>
      <c r="B74" s="342">
        <v>190.99999999999901</v>
      </c>
      <c r="C74" s="342">
        <v>220.22975</v>
      </c>
      <c r="D74" s="343">
        <v>29.229749999999999</v>
      </c>
      <c r="E74" s="344">
        <v>1.1530353403139999</v>
      </c>
      <c r="F74" s="342">
        <v>210.42</v>
      </c>
      <c r="G74" s="343">
        <v>52.604999999999997</v>
      </c>
      <c r="H74" s="345">
        <v>18.84479</v>
      </c>
      <c r="I74" s="342">
        <v>50.76735</v>
      </c>
      <c r="J74" s="343">
        <v>-1.83765</v>
      </c>
      <c r="K74" s="346">
        <v>0.24126675220900001</v>
      </c>
      <c r="L74" s="113"/>
    </row>
    <row r="75" spans="1:12" ht="14.4" customHeight="1" thickBot="1" x14ac:dyDescent="0.35">
      <c r="A75" s="359" t="s">
        <v>253</v>
      </c>
      <c r="B75" s="337">
        <v>190.99999999999901</v>
      </c>
      <c r="C75" s="337">
        <v>220.22975</v>
      </c>
      <c r="D75" s="338">
        <v>29.229749999999999</v>
      </c>
      <c r="E75" s="339">
        <v>1.1530353403139999</v>
      </c>
      <c r="F75" s="337">
        <v>210.42</v>
      </c>
      <c r="G75" s="338">
        <v>52.604999999999997</v>
      </c>
      <c r="H75" s="340">
        <v>18.84479</v>
      </c>
      <c r="I75" s="337">
        <v>50.76735</v>
      </c>
      <c r="J75" s="338">
        <v>-1.83765</v>
      </c>
      <c r="K75" s="341">
        <v>0.24126675220900001</v>
      </c>
      <c r="L75" s="113"/>
    </row>
    <row r="76" spans="1:12" ht="14.4" customHeight="1" thickBot="1" x14ac:dyDescent="0.35">
      <c r="A76" s="358" t="s">
        <v>254</v>
      </c>
      <c r="B76" s="342">
        <v>531</v>
      </c>
      <c r="C76" s="342">
        <v>611.75428999999997</v>
      </c>
      <c r="D76" s="343">
        <v>80.754289999999997</v>
      </c>
      <c r="E76" s="344">
        <v>1.1520796421840001</v>
      </c>
      <c r="F76" s="342">
        <v>584.49999999999898</v>
      </c>
      <c r="G76" s="343">
        <v>146.125</v>
      </c>
      <c r="H76" s="345">
        <v>52.34601</v>
      </c>
      <c r="I76" s="342">
        <v>141.02527000000001</v>
      </c>
      <c r="J76" s="343">
        <v>-5.099729999999</v>
      </c>
      <c r="K76" s="346">
        <v>0.241275055603</v>
      </c>
      <c r="L76" s="113"/>
    </row>
    <row r="77" spans="1:12" ht="14.4" customHeight="1" thickBot="1" x14ac:dyDescent="0.35">
      <c r="A77" s="359" t="s">
        <v>255</v>
      </c>
      <c r="B77" s="337">
        <v>531</v>
      </c>
      <c r="C77" s="337">
        <v>611.75428999999997</v>
      </c>
      <c r="D77" s="338">
        <v>80.754289999999997</v>
      </c>
      <c r="E77" s="339">
        <v>1.1520796421840001</v>
      </c>
      <c r="F77" s="337">
        <v>584.49999999999898</v>
      </c>
      <c r="G77" s="338">
        <v>146.125</v>
      </c>
      <c r="H77" s="340">
        <v>52.34601</v>
      </c>
      <c r="I77" s="337">
        <v>141.02527000000001</v>
      </c>
      <c r="J77" s="338">
        <v>-5.099729999999</v>
      </c>
      <c r="K77" s="341">
        <v>0.241275055603</v>
      </c>
      <c r="L77" s="113"/>
    </row>
    <row r="78" spans="1:12" ht="14.4" customHeight="1" thickBot="1" x14ac:dyDescent="0.35">
      <c r="A78" s="357" t="s">
        <v>256</v>
      </c>
      <c r="B78" s="337">
        <v>43</v>
      </c>
      <c r="C78" s="337">
        <v>47.924709999999997</v>
      </c>
      <c r="D78" s="338">
        <v>4.9247099999990001</v>
      </c>
      <c r="E78" s="339">
        <v>1.1145281395340001</v>
      </c>
      <c r="F78" s="337">
        <v>46.76</v>
      </c>
      <c r="G78" s="338">
        <v>11.69</v>
      </c>
      <c r="H78" s="340">
        <v>4.0743400000000003</v>
      </c>
      <c r="I78" s="337">
        <v>10.92615</v>
      </c>
      <c r="J78" s="338">
        <v>-0.76385000000000003</v>
      </c>
      <c r="K78" s="341">
        <v>0.2336644568</v>
      </c>
      <c r="L78" s="113"/>
    </row>
    <row r="79" spans="1:12" ht="14.4" customHeight="1" thickBot="1" x14ac:dyDescent="0.35">
      <c r="A79" s="358" t="s">
        <v>257</v>
      </c>
      <c r="B79" s="342">
        <v>43</v>
      </c>
      <c r="C79" s="342">
        <v>47.924709999999997</v>
      </c>
      <c r="D79" s="343">
        <v>4.9247099999990001</v>
      </c>
      <c r="E79" s="344">
        <v>1.1145281395340001</v>
      </c>
      <c r="F79" s="342">
        <v>46.76</v>
      </c>
      <c r="G79" s="343">
        <v>11.69</v>
      </c>
      <c r="H79" s="345">
        <v>4.0743400000000003</v>
      </c>
      <c r="I79" s="342">
        <v>10.92615</v>
      </c>
      <c r="J79" s="343">
        <v>-0.76385000000000003</v>
      </c>
      <c r="K79" s="346">
        <v>0.2336644568</v>
      </c>
      <c r="L79" s="113"/>
    </row>
    <row r="80" spans="1:12" ht="14.4" customHeight="1" thickBot="1" x14ac:dyDescent="0.35">
      <c r="A80" s="359" t="s">
        <v>258</v>
      </c>
      <c r="B80" s="337">
        <v>43</v>
      </c>
      <c r="C80" s="337">
        <v>47.924709999999997</v>
      </c>
      <c r="D80" s="338">
        <v>4.9247099999990001</v>
      </c>
      <c r="E80" s="339">
        <v>1.1145281395340001</v>
      </c>
      <c r="F80" s="337">
        <v>46.76</v>
      </c>
      <c r="G80" s="338">
        <v>11.69</v>
      </c>
      <c r="H80" s="340">
        <v>4.0743400000000003</v>
      </c>
      <c r="I80" s="337">
        <v>10.92615</v>
      </c>
      <c r="J80" s="338">
        <v>-0.76385000000000003</v>
      </c>
      <c r="K80" s="341">
        <v>0.2336644568</v>
      </c>
      <c r="L80" s="113"/>
    </row>
    <row r="81" spans="1:12" ht="14.4" customHeight="1" thickBot="1" x14ac:dyDescent="0.35">
      <c r="A81" s="356" t="s">
        <v>259</v>
      </c>
      <c r="B81" s="337">
        <v>0</v>
      </c>
      <c r="C81" s="337">
        <v>1</v>
      </c>
      <c r="D81" s="338">
        <v>1</v>
      </c>
      <c r="E81" s="347" t="s">
        <v>197</v>
      </c>
      <c r="F81" s="337">
        <v>0</v>
      </c>
      <c r="G81" s="338">
        <v>0</v>
      </c>
      <c r="H81" s="340">
        <v>0</v>
      </c>
      <c r="I81" s="337">
        <v>0</v>
      </c>
      <c r="J81" s="338">
        <v>0</v>
      </c>
      <c r="K81" s="348" t="s">
        <v>186</v>
      </c>
      <c r="L81" s="113"/>
    </row>
    <row r="82" spans="1:12" ht="14.4" customHeight="1" thickBot="1" x14ac:dyDescent="0.35">
      <c r="A82" s="357" t="s">
        <v>260</v>
      </c>
      <c r="B82" s="337">
        <v>0</v>
      </c>
      <c r="C82" s="337">
        <v>1</v>
      </c>
      <c r="D82" s="338">
        <v>1</v>
      </c>
      <c r="E82" s="347" t="s">
        <v>197</v>
      </c>
      <c r="F82" s="337">
        <v>0</v>
      </c>
      <c r="G82" s="338">
        <v>0</v>
      </c>
      <c r="H82" s="340">
        <v>0</v>
      </c>
      <c r="I82" s="337">
        <v>0</v>
      </c>
      <c r="J82" s="338">
        <v>0</v>
      </c>
      <c r="K82" s="348" t="s">
        <v>186</v>
      </c>
      <c r="L82" s="113"/>
    </row>
    <row r="83" spans="1:12" ht="14.4" customHeight="1" thickBot="1" x14ac:dyDescent="0.35">
      <c r="A83" s="358" t="s">
        <v>261</v>
      </c>
      <c r="B83" s="342">
        <v>0</v>
      </c>
      <c r="C83" s="342">
        <v>1</v>
      </c>
      <c r="D83" s="343">
        <v>1</v>
      </c>
      <c r="E83" s="349" t="s">
        <v>197</v>
      </c>
      <c r="F83" s="342">
        <v>0</v>
      </c>
      <c r="G83" s="343">
        <v>0</v>
      </c>
      <c r="H83" s="345">
        <v>0</v>
      </c>
      <c r="I83" s="342">
        <v>0</v>
      </c>
      <c r="J83" s="343">
        <v>0</v>
      </c>
      <c r="K83" s="350" t="s">
        <v>186</v>
      </c>
      <c r="L83" s="113"/>
    </row>
    <row r="84" spans="1:12" ht="14.4" customHeight="1" thickBot="1" x14ac:dyDescent="0.35">
      <c r="A84" s="359" t="s">
        <v>262</v>
      </c>
      <c r="B84" s="337">
        <v>0</v>
      </c>
      <c r="C84" s="337">
        <v>1</v>
      </c>
      <c r="D84" s="338">
        <v>1</v>
      </c>
      <c r="E84" s="347" t="s">
        <v>197</v>
      </c>
      <c r="F84" s="337">
        <v>0</v>
      </c>
      <c r="G84" s="338">
        <v>0</v>
      </c>
      <c r="H84" s="340">
        <v>0</v>
      </c>
      <c r="I84" s="337">
        <v>0</v>
      </c>
      <c r="J84" s="338">
        <v>0</v>
      </c>
      <c r="K84" s="348" t="s">
        <v>186</v>
      </c>
      <c r="L84" s="113"/>
    </row>
    <row r="85" spans="1:12" ht="14.4" customHeight="1" thickBot="1" x14ac:dyDescent="0.35">
      <c r="A85" s="356" t="s">
        <v>263</v>
      </c>
      <c r="B85" s="337">
        <v>0</v>
      </c>
      <c r="C85" s="337">
        <v>18.100000000000001</v>
      </c>
      <c r="D85" s="338">
        <v>18.100000000000001</v>
      </c>
      <c r="E85" s="347" t="s">
        <v>186</v>
      </c>
      <c r="F85" s="337">
        <v>14.532203500214999</v>
      </c>
      <c r="G85" s="338">
        <v>3.6330508750530002</v>
      </c>
      <c r="H85" s="340">
        <v>1.1000000000000001</v>
      </c>
      <c r="I85" s="337">
        <v>2.02</v>
      </c>
      <c r="J85" s="338">
        <v>-1.6130508750529999</v>
      </c>
      <c r="K85" s="341">
        <v>0.13900163178700001</v>
      </c>
      <c r="L85" s="113"/>
    </row>
    <row r="86" spans="1:12" ht="14.4" customHeight="1" thickBot="1" x14ac:dyDescent="0.35">
      <c r="A86" s="357" t="s">
        <v>264</v>
      </c>
      <c r="B86" s="337">
        <v>0</v>
      </c>
      <c r="C86" s="337">
        <v>4</v>
      </c>
      <c r="D86" s="338">
        <v>4</v>
      </c>
      <c r="E86" s="347" t="s">
        <v>197</v>
      </c>
      <c r="F86" s="337">
        <v>0</v>
      </c>
      <c r="G86" s="338">
        <v>0</v>
      </c>
      <c r="H86" s="340">
        <v>0</v>
      </c>
      <c r="I86" s="337">
        <v>0</v>
      </c>
      <c r="J86" s="338">
        <v>0</v>
      </c>
      <c r="K86" s="348" t="s">
        <v>186</v>
      </c>
      <c r="L86" s="113"/>
    </row>
    <row r="87" spans="1:12" ht="14.4" customHeight="1" thickBot="1" x14ac:dyDescent="0.35">
      <c r="A87" s="358" t="s">
        <v>265</v>
      </c>
      <c r="B87" s="342">
        <v>0</v>
      </c>
      <c r="C87" s="342">
        <v>4</v>
      </c>
      <c r="D87" s="343">
        <v>4</v>
      </c>
      <c r="E87" s="349" t="s">
        <v>197</v>
      </c>
      <c r="F87" s="342">
        <v>0</v>
      </c>
      <c r="G87" s="343">
        <v>0</v>
      </c>
      <c r="H87" s="345">
        <v>0</v>
      </c>
      <c r="I87" s="342">
        <v>0</v>
      </c>
      <c r="J87" s="343">
        <v>0</v>
      </c>
      <c r="K87" s="350" t="s">
        <v>186</v>
      </c>
      <c r="L87" s="113"/>
    </row>
    <row r="88" spans="1:12" ht="14.4" customHeight="1" thickBot="1" x14ac:dyDescent="0.35">
      <c r="A88" s="359" t="s">
        <v>266</v>
      </c>
      <c r="B88" s="337">
        <v>0</v>
      </c>
      <c r="C88" s="337">
        <v>4</v>
      </c>
      <c r="D88" s="338">
        <v>4</v>
      </c>
      <c r="E88" s="347" t="s">
        <v>197</v>
      </c>
      <c r="F88" s="337">
        <v>0</v>
      </c>
      <c r="G88" s="338">
        <v>0</v>
      </c>
      <c r="H88" s="340">
        <v>0</v>
      </c>
      <c r="I88" s="337">
        <v>0</v>
      </c>
      <c r="J88" s="338">
        <v>0</v>
      </c>
      <c r="K88" s="348" t="s">
        <v>186</v>
      </c>
      <c r="L88" s="113"/>
    </row>
    <row r="89" spans="1:12" ht="14.4" customHeight="1" thickBot="1" x14ac:dyDescent="0.35">
      <c r="A89" s="357" t="s">
        <v>267</v>
      </c>
      <c r="B89" s="337">
        <v>0</v>
      </c>
      <c r="C89" s="337">
        <v>14.1</v>
      </c>
      <c r="D89" s="338">
        <v>14.1</v>
      </c>
      <c r="E89" s="347" t="s">
        <v>186</v>
      </c>
      <c r="F89" s="337">
        <v>14.532203500214999</v>
      </c>
      <c r="G89" s="338">
        <v>3.6330508750530002</v>
      </c>
      <c r="H89" s="340">
        <v>1.1000000000000001</v>
      </c>
      <c r="I89" s="337">
        <v>2.02</v>
      </c>
      <c r="J89" s="338">
        <v>-1.6130508750529999</v>
      </c>
      <c r="K89" s="341">
        <v>0.13900163178700001</v>
      </c>
      <c r="L89" s="113"/>
    </row>
    <row r="90" spans="1:12" ht="14.4" customHeight="1" thickBot="1" x14ac:dyDescent="0.35">
      <c r="A90" s="358" t="s">
        <v>268</v>
      </c>
      <c r="B90" s="342">
        <v>0</v>
      </c>
      <c r="C90" s="342">
        <v>14.1</v>
      </c>
      <c r="D90" s="343">
        <v>14.1</v>
      </c>
      <c r="E90" s="349" t="s">
        <v>186</v>
      </c>
      <c r="F90" s="342">
        <v>14.532203500214999</v>
      </c>
      <c r="G90" s="343">
        <v>3.6330508750530002</v>
      </c>
      <c r="H90" s="345">
        <v>1.1000000000000001</v>
      </c>
      <c r="I90" s="342">
        <v>2.02</v>
      </c>
      <c r="J90" s="343">
        <v>-1.6130508750529999</v>
      </c>
      <c r="K90" s="346">
        <v>0.13900163178700001</v>
      </c>
      <c r="L90" s="113"/>
    </row>
    <row r="91" spans="1:12" ht="14.4" customHeight="1" thickBot="1" x14ac:dyDescent="0.35">
      <c r="A91" s="359" t="s">
        <v>269</v>
      </c>
      <c r="B91" s="337">
        <v>0</v>
      </c>
      <c r="C91" s="337">
        <v>0.7</v>
      </c>
      <c r="D91" s="338">
        <v>0.7</v>
      </c>
      <c r="E91" s="347" t="s">
        <v>197</v>
      </c>
      <c r="F91" s="337">
        <v>1.1478615868790001</v>
      </c>
      <c r="G91" s="338">
        <v>0.28696539671900001</v>
      </c>
      <c r="H91" s="340">
        <v>0</v>
      </c>
      <c r="I91" s="337">
        <v>0</v>
      </c>
      <c r="J91" s="338">
        <v>-0.28696539671900001</v>
      </c>
      <c r="K91" s="341">
        <v>0</v>
      </c>
      <c r="L91" s="113"/>
    </row>
    <row r="92" spans="1:12" ht="14.4" customHeight="1" thickBot="1" x14ac:dyDescent="0.35">
      <c r="A92" s="359" t="s">
        <v>270</v>
      </c>
      <c r="B92" s="337">
        <v>0</v>
      </c>
      <c r="C92" s="337">
        <v>13.4</v>
      </c>
      <c r="D92" s="338">
        <v>13.4</v>
      </c>
      <c r="E92" s="347" t="s">
        <v>186</v>
      </c>
      <c r="F92" s="337">
        <v>13.384341913335</v>
      </c>
      <c r="G92" s="338">
        <v>3.3460854783329999</v>
      </c>
      <c r="H92" s="340">
        <v>1.1000000000000001</v>
      </c>
      <c r="I92" s="337">
        <v>1.8</v>
      </c>
      <c r="J92" s="338">
        <v>-1.546085478333</v>
      </c>
      <c r="K92" s="341">
        <v>0.13448550639599999</v>
      </c>
      <c r="L92" s="113"/>
    </row>
    <row r="93" spans="1:12" ht="14.4" customHeight="1" thickBot="1" x14ac:dyDescent="0.35">
      <c r="A93" s="359" t="s">
        <v>271</v>
      </c>
      <c r="B93" s="337">
        <v>0</v>
      </c>
      <c r="C93" s="337">
        <v>0</v>
      </c>
      <c r="D93" s="338">
        <v>0</v>
      </c>
      <c r="E93" s="347" t="s">
        <v>186</v>
      </c>
      <c r="F93" s="337">
        <v>0</v>
      </c>
      <c r="G93" s="338">
        <v>0</v>
      </c>
      <c r="H93" s="340">
        <v>0</v>
      </c>
      <c r="I93" s="337">
        <v>0.22</v>
      </c>
      <c r="J93" s="338">
        <v>0.22</v>
      </c>
      <c r="K93" s="348" t="s">
        <v>197</v>
      </c>
      <c r="L93" s="113"/>
    </row>
    <row r="94" spans="1:12" ht="14.4" customHeight="1" thickBot="1" x14ac:dyDescent="0.35">
      <c r="A94" s="356" t="s">
        <v>272</v>
      </c>
      <c r="B94" s="337">
        <v>72</v>
      </c>
      <c r="C94" s="337">
        <v>71.765000000000001</v>
      </c>
      <c r="D94" s="338">
        <v>-0.23499999999999999</v>
      </c>
      <c r="E94" s="339">
        <v>0.99673611111100002</v>
      </c>
      <c r="F94" s="337">
        <v>76.268684716829</v>
      </c>
      <c r="G94" s="338">
        <v>19.067171179207001</v>
      </c>
      <c r="H94" s="340">
        <v>5.8369999999999997</v>
      </c>
      <c r="I94" s="337">
        <v>17.510999999999999</v>
      </c>
      <c r="J94" s="338">
        <v>-1.5561711792070001</v>
      </c>
      <c r="K94" s="341">
        <v>0.22959619750900001</v>
      </c>
      <c r="L94" s="113"/>
    </row>
    <row r="95" spans="1:12" ht="14.4" customHeight="1" thickBot="1" x14ac:dyDescent="0.35">
      <c r="A95" s="357" t="s">
        <v>273</v>
      </c>
      <c r="B95" s="337">
        <v>72</v>
      </c>
      <c r="C95" s="337">
        <v>71.765000000000001</v>
      </c>
      <c r="D95" s="338">
        <v>-0.23499999999999999</v>
      </c>
      <c r="E95" s="339">
        <v>0.99673611111100002</v>
      </c>
      <c r="F95" s="337">
        <v>76.268684716829</v>
      </c>
      <c r="G95" s="338">
        <v>19.067171179207001</v>
      </c>
      <c r="H95" s="340">
        <v>5.8369999999999997</v>
      </c>
      <c r="I95" s="337">
        <v>17.510999999999999</v>
      </c>
      <c r="J95" s="338">
        <v>-1.5561711792070001</v>
      </c>
      <c r="K95" s="341">
        <v>0.22959619750900001</v>
      </c>
      <c r="L95" s="113"/>
    </row>
    <row r="96" spans="1:12" ht="14.4" customHeight="1" thickBot="1" x14ac:dyDescent="0.35">
      <c r="A96" s="358" t="s">
        <v>274</v>
      </c>
      <c r="B96" s="342">
        <v>72</v>
      </c>
      <c r="C96" s="342">
        <v>71.765000000000001</v>
      </c>
      <c r="D96" s="343">
        <v>-0.23499999999999999</v>
      </c>
      <c r="E96" s="344">
        <v>0.99673611111100002</v>
      </c>
      <c r="F96" s="342">
        <v>76.268684716829</v>
      </c>
      <c r="G96" s="343">
        <v>19.067171179207001</v>
      </c>
      <c r="H96" s="345">
        <v>5.8369999999999997</v>
      </c>
      <c r="I96" s="342">
        <v>17.510999999999999</v>
      </c>
      <c r="J96" s="343">
        <v>-1.5561711792070001</v>
      </c>
      <c r="K96" s="346">
        <v>0.22959619750900001</v>
      </c>
      <c r="L96" s="113"/>
    </row>
    <row r="97" spans="1:12" ht="14.4" customHeight="1" thickBot="1" x14ac:dyDescent="0.35">
      <c r="A97" s="359" t="s">
        <v>275</v>
      </c>
      <c r="B97" s="337">
        <v>15</v>
      </c>
      <c r="C97" s="337">
        <v>15.096</v>
      </c>
      <c r="D97" s="338">
        <v>9.5999999998999996E-2</v>
      </c>
      <c r="E97" s="339">
        <v>1.0064</v>
      </c>
      <c r="F97" s="337">
        <v>16.043364655266998</v>
      </c>
      <c r="G97" s="338">
        <v>4.010841163816</v>
      </c>
      <c r="H97" s="340">
        <v>1.115</v>
      </c>
      <c r="I97" s="337">
        <v>3.3450000000000002</v>
      </c>
      <c r="J97" s="338">
        <v>-0.665841163816</v>
      </c>
      <c r="K97" s="341">
        <v>0.20849741135200001</v>
      </c>
      <c r="L97" s="113"/>
    </row>
    <row r="98" spans="1:12" ht="14.4" customHeight="1" thickBot="1" x14ac:dyDescent="0.35">
      <c r="A98" s="359" t="s">
        <v>276</v>
      </c>
      <c r="B98" s="337">
        <v>57</v>
      </c>
      <c r="C98" s="337">
        <v>56.668999999999997</v>
      </c>
      <c r="D98" s="338">
        <v>-0.33100000000000002</v>
      </c>
      <c r="E98" s="339">
        <v>0.99419298245599996</v>
      </c>
      <c r="F98" s="337">
        <v>60.225320061562002</v>
      </c>
      <c r="G98" s="338">
        <v>15.056330015389999</v>
      </c>
      <c r="H98" s="340">
        <v>4.7220000000000004</v>
      </c>
      <c r="I98" s="337">
        <v>14.166</v>
      </c>
      <c r="J98" s="338">
        <v>-0.89033001539000001</v>
      </c>
      <c r="K98" s="341">
        <v>0.23521668270900001</v>
      </c>
      <c r="L98" s="113"/>
    </row>
    <row r="99" spans="1:12" ht="14.4" customHeight="1" thickBot="1" x14ac:dyDescent="0.35">
      <c r="A99" s="355" t="s">
        <v>277</v>
      </c>
      <c r="B99" s="337">
        <v>5.2240593417429997</v>
      </c>
      <c r="C99" s="337">
        <v>5.9249999999999998</v>
      </c>
      <c r="D99" s="338">
        <v>0.70094065825600005</v>
      </c>
      <c r="E99" s="339">
        <v>1.1341754778040001</v>
      </c>
      <c r="F99" s="337">
        <v>1.1074923076100001</v>
      </c>
      <c r="G99" s="338">
        <v>0.27687307690200003</v>
      </c>
      <c r="H99" s="340">
        <v>12.65016</v>
      </c>
      <c r="I99" s="337">
        <v>14.975160000000001</v>
      </c>
      <c r="J99" s="338">
        <v>14.698286923096999</v>
      </c>
      <c r="K99" s="341">
        <v>0</v>
      </c>
      <c r="L99" s="113"/>
    </row>
    <row r="100" spans="1:12" ht="14.4" customHeight="1" thickBot="1" x14ac:dyDescent="0.35">
      <c r="A100" s="356" t="s">
        <v>278</v>
      </c>
      <c r="B100" s="337">
        <v>5.2240593417429997</v>
      </c>
      <c r="C100" s="337">
        <v>5.9249999999999998</v>
      </c>
      <c r="D100" s="338">
        <v>0.70094065825600005</v>
      </c>
      <c r="E100" s="339">
        <v>1.1341754778040001</v>
      </c>
      <c r="F100" s="337">
        <v>1.1074923076100001</v>
      </c>
      <c r="G100" s="338">
        <v>0.27687307690200003</v>
      </c>
      <c r="H100" s="340">
        <v>12.65016</v>
      </c>
      <c r="I100" s="337">
        <v>14.975160000000001</v>
      </c>
      <c r="J100" s="338">
        <v>14.698286923096999</v>
      </c>
      <c r="K100" s="341">
        <v>0</v>
      </c>
      <c r="L100" s="113"/>
    </row>
    <row r="101" spans="1:12" ht="14.4" customHeight="1" thickBot="1" x14ac:dyDescent="0.35">
      <c r="A101" s="357" t="s">
        <v>279</v>
      </c>
      <c r="B101" s="337">
        <v>0</v>
      </c>
      <c r="C101" s="337">
        <v>5.25</v>
      </c>
      <c r="D101" s="338">
        <v>5.25</v>
      </c>
      <c r="E101" s="347" t="s">
        <v>197</v>
      </c>
      <c r="F101" s="337">
        <v>0</v>
      </c>
      <c r="G101" s="338">
        <v>0</v>
      </c>
      <c r="H101" s="340">
        <v>0.75</v>
      </c>
      <c r="I101" s="337">
        <v>3</v>
      </c>
      <c r="J101" s="338">
        <v>3</v>
      </c>
      <c r="K101" s="348" t="s">
        <v>186</v>
      </c>
      <c r="L101" s="113"/>
    </row>
    <row r="102" spans="1:12" ht="14.4" customHeight="1" thickBot="1" x14ac:dyDescent="0.35">
      <c r="A102" s="358" t="s">
        <v>280</v>
      </c>
      <c r="B102" s="342">
        <v>0</v>
      </c>
      <c r="C102" s="342">
        <v>5.25</v>
      </c>
      <c r="D102" s="343">
        <v>5.25</v>
      </c>
      <c r="E102" s="349" t="s">
        <v>197</v>
      </c>
      <c r="F102" s="342">
        <v>0</v>
      </c>
      <c r="G102" s="343">
        <v>0</v>
      </c>
      <c r="H102" s="345">
        <v>0.75</v>
      </c>
      <c r="I102" s="342">
        <v>3</v>
      </c>
      <c r="J102" s="343">
        <v>3</v>
      </c>
      <c r="K102" s="350" t="s">
        <v>186</v>
      </c>
      <c r="L102" s="113"/>
    </row>
    <row r="103" spans="1:12" ht="14.4" customHeight="1" thickBot="1" x14ac:dyDescent="0.35">
      <c r="A103" s="359" t="s">
        <v>281</v>
      </c>
      <c r="B103" s="337">
        <v>0</v>
      </c>
      <c r="C103" s="337">
        <v>5.25</v>
      </c>
      <c r="D103" s="338">
        <v>5.25</v>
      </c>
      <c r="E103" s="347" t="s">
        <v>197</v>
      </c>
      <c r="F103" s="337">
        <v>0</v>
      </c>
      <c r="G103" s="338">
        <v>0</v>
      </c>
      <c r="H103" s="340">
        <v>0.75</v>
      </c>
      <c r="I103" s="337">
        <v>3</v>
      </c>
      <c r="J103" s="338">
        <v>3</v>
      </c>
      <c r="K103" s="348" t="s">
        <v>186</v>
      </c>
      <c r="L103" s="113"/>
    </row>
    <row r="104" spans="1:12" ht="14.4" customHeight="1" thickBot="1" x14ac:dyDescent="0.35">
      <c r="A104" s="362" t="s">
        <v>282</v>
      </c>
      <c r="B104" s="342">
        <v>5.2240593417429997</v>
      </c>
      <c r="C104" s="342">
        <v>0.67500000000000004</v>
      </c>
      <c r="D104" s="343">
        <v>-4.5490593417429999</v>
      </c>
      <c r="E104" s="344">
        <v>0.12920986455899999</v>
      </c>
      <c r="F104" s="342">
        <v>1.1074923076100001</v>
      </c>
      <c r="G104" s="343">
        <v>0.27687307690200003</v>
      </c>
      <c r="H104" s="345">
        <v>11.90016</v>
      </c>
      <c r="I104" s="342">
        <v>11.975160000000001</v>
      </c>
      <c r="J104" s="343">
        <v>11.698286923096999</v>
      </c>
      <c r="K104" s="346">
        <v>0</v>
      </c>
      <c r="L104" s="113"/>
    </row>
    <row r="105" spans="1:12" ht="14.4" customHeight="1" thickBot="1" x14ac:dyDescent="0.35">
      <c r="A105" s="358" t="s">
        <v>283</v>
      </c>
      <c r="B105" s="342">
        <v>5.2240593417429997</v>
      </c>
      <c r="C105" s="342">
        <v>0.67500000000000004</v>
      </c>
      <c r="D105" s="343">
        <v>-4.5490593417429999</v>
      </c>
      <c r="E105" s="344">
        <v>0.12920986455899999</v>
      </c>
      <c r="F105" s="342">
        <v>1.1074923076100001</v>
      </c>
      <c r="G105" s="343">
        <v>0.27687307690200003</v>
      </c>
      <c r="H105" s="345">
        <v>11.90016</v>
      </c>
      <c r="I105" s="342">
        <v>11.975160000000001</v>
      </c>
      <c r="J105" s="343">
        <v>11.698286923096999</v>
      </c>
      <c r="K105" s="346">
        <v>0</v>
      </c>
      <c r="L105" s="113"/>
    </row>
    <row r="106" spans="1:12" ht="14.4" customHeight="1" thickBot="1" x14ac:dyDescent="0.35">
      <c r="A106" s="359" t="s">
        <v>284</v>
      </c>
      <c r="B106" s="337">
        <v>0</v>
      </c>
      <c r="C106" s="337">
        <v>0.67500000000000004</v>
      </c>
      <c r="D106" s="338">
        <v>0.67500000000000004</v>
      </c>
      <c r="E106" s="347" t="s">
        <v>186</v>
      </c>
      <c r="F106" s="337">
        <v>1.1074923076100001</v>
      </c>
      <c r="G106" s="338">
        <v>0.27687307690200003</v>
      </c>
      <c r="H106" s="340">
        <v>0</v>
      </c>
      <c r="I106" s="337">
        <v>7.4999999999999997E-2</v>
      </c>
      <c r="J106" s="338">
        <v>-0.20187307690199999</v>
      </c>
      <c r="K106" s="341">
        <v>6.7720560661000004E-2</v>
      </c>
      <c r="L106" s="113"/>
    </row>
    <row r="107" spans="1:12" ht="14.4" customHeight="1" thickBot="1" x14ac:dyDescent="0.35">
      <c r="A107" s="359" t="s">
        <v>285</v>
      </c>
      <c r="B107" s="337">
        <v>5.2240593417429997</v>
      </c>
      <c r="C107" s="337">
        <v>0</v>
      </c>
      <c r="D107" s="338">
        <v>-5.2240593417429997</v>
      </c>
      <c r="E107" s="339">
        <v>0</v>
      </c>
      <c r="F107" s="337">
        <v>0</v>
      </c>
      <c r="G107" s="338">
        <v>0</v>
      </c>
      <c r="H107" s="340">
        <v>11.90016</v>
      </c>
      <c r="I107" s="337">
        <v>11.90016</v>
      </c>
      <c r="J107" s="338">
        <v>11.90016</v>
      </c>
      <c r="K107" s="348" t="s">
        <v>197</v>
      </c>
      <c r="L107" s="113"/>
    </row>
    <row r="108" spans="1:12" ht="14.4" customHeight="1" thickBot="1" x14ac:dyDescent="0.35">
      <c r="A108" s="355" t="s">
        <v>286</v>
      </c>
      <c r="B108" s="337">
        <v>442.79417767830699</v>
      </c>
      <c r="C108" s="337">
        <v>493.62288000000001</v>
      </c>
      <c r="D108" s="338">
        <v>50.828702321693001</v>
      </c>
      <c r="E108" s="339">
        <v>1.114790810006</v>
      </c>
      <c r="F108" s="337">
        <v>0</v>
      </c>
      <c r="G108" s="338">
        <v>0</v>
      </c>
      <c r="H108" s="340">
        <v>44.892159999999997</v>
      </c>
      <c r="I108" s="337">
        <v>121.20149000000001</v>
      </c>
      <c r="J108" s="338">
        <v>121.20149000000001</v>
      </c>
      <c r="K108" s="348" t="s">
        <v>197</v>
      </c>
      <c r="L108" s="113"/>
    </row>
    <row r="109" spans="1:12" ht="14.4" customHeight="1" thickBot="1" x14ac:dyDescent="0.35">
      <c r="A109" s="360" t="s">
        <v>287</v>
      </c>
      <c r="B109" s="342">
        <v>442.79417767830699</v>
      </c>
      <c r="C109" s="342">
        <v>493.62288000000001</v>
      </c>
      <c r="D109" s="343">
        <v>50.828702321693001</v>
      </c>
      <c r="E109" s="344">
        <v>1.114790810006</v>
      </c>
      <c r="F109" s="342">
        <v>0</v>
      </c>
      <c r="G109" s="343">
        <v>0</v>
      </c>
      <c r="H109" s="345">
        <v>44.892159999999997</v>
      </c>
      <c r="I109" s="342">
        <v>121.20149000000001</v>
      </c>
      <c r="J109" s="343">
        <v>121.20149000000001</v>
      </c>
      <c r="K109" s="350" t="s">
        <v>197</v>
      </c>
      <c r="L109" s="113"/>
    </row>
    <row r="110" spans="1:12" ht="14.4" customHeight="1" thickBot="1" x14ac:dyDescent="0.35">
      <c r="A110" s="362" t="s">
        <v>34</v>
      </c>
      <c r="B110" s="342">
        <v>442.79417767830699</v>
      </c>
      <c r="C110" s="342">
        <v>493.62288000000001</v>
      </c>
      <c r="D110" s="343">
        <v>50.828702321693001</v>
      </c>
      <c r="E110" s="344">
        <v>1.114790810006</v>
      </c>
      <c r="F110" s="342">
        <v>0</v>
      </c>
      <c r="G110" s="343">
        <v>0</v>
      </c>
      <c r="H110" s="345">
        <v>44.892159999999997</v>
      </c>
      <c r="I110" s="342">
        <v>121.20149000000001</v>
      </c>
      <c r="J110" s="343">
        <v>121.20149000000001</v>
      </c>
      <c r="K110" s="350" t="s">
        <v>197</v>
      </c>
      <c r="L110" s="113"/>
    </row>
    <row r="111" spans="1:12" ht="14.4" customHeight="1" thickBot="1" x14ac:dyDescent="0.35">
      <c r="A111" s="358" t="s">
        <v>288</v>
      </c>
      <c r="B111" s="342">
        <v>28.454718974555</v>
      </c>
      <c r="C111" s="342">
        <v>12.816039999999999</v>
      </c>
      <c r="D111" s="343">
        <v>-15.638678974555001</v>
      </c>
      <c r="E111" s="344">
        <v>0.45040121504800001</v>
      </c>
      <c r="F111" s="342">
        <v>0</v>
      </c>
      <c r="G111" s="343">
        <v>0</v>
      </c>
      <c r="H111" s="345">
        <v>2.5935000000000001</v>
      </c>
      <c r="I111" s="342">
        <v>9.9099000000000004</v>
      </c>
      <c r="J111" s="343">
        <v>9.9099000000000004</v>
      </c>
      <c r="K111" s="350" t="s">
        <v>197</v>
      </c>
      <c r="L111" s="113"/>
    </row>
    <row r="112" spans="1:12" ht="14.4" customHeight="1" thickBot="1" x14ac:dyDescent="0.35">
      <c r="A112" s="359" t="s">
        <v>289</v>
      </c>
      <c r="B112" s="337">
        <v>27.903881028560999</v>
      </c>
      <c r="C112" s="337">
        <v>12.1075</v>
      </c>
      <c r="D112" s="338">
        <v>-15.796381028560999</v>
      </c>
      <c r="E112" s="339">
        <v>0.43390021580100002</v>
      </c>
      <c r="F112" s="337">
        <v>0</v>
      </c>
      <c r="G112" s="338">
        <v>0</v>
      </c>
      <c r="H112" s="340">
        <v>2.5935000000000001</v>
      </c>
      <c r="I112" s="337">
        <v>9.9099000000000004</v>
      </c>
      <c r="J112" s="338">
        <v>9.9099000000000004</v>
      </c>
      <c r="K112" s="348" t="s">
        <v>197</v>
      </c>
      <c r="L112" s="113"/>
    </row>
    <row r="113" spans="1:12" ht="14.4" customHeight="1" thickBot="1" x14ac:dyDescent="0.35">
      <c r="A113" s="359" t="s">
        <v>290</v>
      </c>
      <c r="B113" s="337">
        <v>0.55083794599299996</v>
      </c>
      <c r="C113" s="337">
        <v>0.70853999999999995</v>
      </c>
      <c r="D113" s="338">
        <v>0.15770205400599999</v>
      </c>
      <c r="E113" s="339">
        <v>1.2862948261889999</v>
      </c>
      <c r="F113" s="337">
        <v>0</v>
      </c>
      <c r="G113" s="338">
        <v>0</v>
      </c>
      <c r="H113" s="340">
        <v>0</v>
      </c>
      <c r="I113" s="337">
        <v>0</v>
      </c>
      <c r="J113" s="338">
        <v>0</v>
      </c>
      <c r="K113" s="341">
        <v>0</v>
      </c>
      <c r="L113" s="113"/>
    </row>
    <row r="114" spans="1:12" ht="14.4" customHeight="1" thickBot="1" x14ac:dyDescent="0.35">
      <c r="A114" s="358" t="s">
        <v>291</v>
      </c>
      <c r="B114" s="342">
        <v>5.3653403454199999</v>
      </c>
      <c r="C114" s="342">
        <v>6.1527000000000003</v>
      </c>
      <c r="D114" s="343">
        <v>0.78735965457900003</v>
      </c>
      <c r="E114" s="344">
        <v>1.1467492468110001</v>
      </c>
      <c r="F114" s="342">
        <v>0</v>
      </c>
      <c r="G114" s="343">
        <v>0</v>
      </c>
      <c r="H114" s="345">
        <v>0.44479999999999997</v>
      </c>
      <c r="I114" s="342">
        <v>1.7563</v>
      </c>
      <c r="J114" s="343">
        <v>1.7563</v>
      </c>
      <c r="K114" s="350" t="s">
        <v>197</v>
      </c>
      <c r="L114" s="113"/>
    </row>
    <row r="115" spans="1:12" ht="14.4" customHeight="1" thickBot="1" x14ac:dyDescent="0.35">
      <c r="A115" s="359" t="s">
        <v>292</v>
      </c>
      <c r="B115" s="337">
        <v>5.3653403454199999</v>
      </c>
      <c r="C115" s="337">
        <v>6.1527000000000003</v>
      </c>
      <c r="D115" s="338">
        <v>0.78735965457900003</v>
      </c>
      <c r="E115" s="339">
        <v>1.1467492468110001</v>
      </c>
      <c r="F115" s="337">
        <v>0</v>
      </c>
      <c r="G115" s="338">
        <v>0</v>
      </c>
      <c r="H115" s="340">
        <v>0.44479999999999997</v>
      </c>
      <c r="I115" s="337">
        <v>1.7563</v>
      </c>
      <c r="J115" s="338">
        <v>1.7563</v>
      </c>
      <c r="K115" s="348" t="s">
        <v>197</v>
      </c>
      <c r="L115" s="113"/>
    </row>
    <row r="116" spans="1:12" ht="14.4" customHeight="1" thickBot="1" x14ac:dyDescent="0.35">
      <c r="A116" s="358" t="s">
        <v>293</v>
      </c>
      <c r="B116" s="342">
        <v>119.44878591118599</v>
      </c>
      <c r="C116" s="342">
        <v>122.49681</v>
      </c>
      <c r="D116" s="343">
        <v>3.0480240888129999</v>
      </c>
      <c r="E116" s="344">
        <v>1.0255174137230001</v>
      </c>
      <c r="F116" s="342">
        <v>0</v>
      </c>
      <c r="G116" s="343">
        <v>0</v>
      </c>
      <c r="H116" s="345">
        <v>8.3627500000000001</v>
      </c>
      <c r="I116" s="342">
        <v>25.93721</v>
      </c>
      <c r="J116" s="343">
        <v>25.93721</v>
      </c>
      <c r="K116" s="350" t="s">
        <v>197</v>
      </c>
      <c r="L116" s="113"/>
    </row>
    <row r="117" spans="1:12" ht="14.4" customHeight="1" thickBot="1" x14ac:dyDescent="0.35">
      <c r="A117" s="359" t="s">
        <v>294</v>
      </c>
      <c r="B117" s="337">
        <v>119.44878591118599</v>
      </c>
      <c r="C117" s="337">
        <v>122.49681</v>
      </c>
      <c r="D117" s="338">
        <v>3.0480240888129999</v>
      </c>
      <c r="E117" s="339">
        <v>1.0255174137230001</v>
      </c>
      <c r="F117" s="337">
        <v>0</v>
      </c>
      <c r="G117" s="338">
        <v>0</v>
      </c>
      <c r="H117" s="340">
        <v>8.3627500000000001</v>
      </c>
      <c r="I117" s="337">
        <v>25.93721</v>
      </c>
      <c r="J117" s="338">
        <v>25.93721</v>
      </c>
      <c r="K117" s="348" t="s">
        <v>197</v>
      </c>
      <c r="L117" s="113"/>
    </row>
    <row r="118" spans="1:12" ht="14.4" customHeight="1" thickBot="1" x14ac:dyDescent="0.35">
      <c r="A118" s="358" t="s">
        <v>295</v>
      </c>
      <c r="B118" s="342">
        <v>0</v>
      </c>
      <c r="C118" s="342">
        <v>7.8529999999999998</v>
      </c>
      <c r="D118" s="343">
        <v>7.8529999999999998</v>
      </c>
      <c r="E118" s="349" t="s">
        <v>197</v>
      </c>
      <c r="F118" s="342">
        <v>0</v>
      </c>
      <c r="G118" s="343">
        <v>0</v>
      </c>
      <c r="H118" s="345">
        <v>4.1210000000000004</v>
      </c>
      <c r="I118" s="342">
        <v>4.1210000000000004</v>
      </c>
      <c r="J118" s="343">
        <v>4.1210000000000004</v>
      </c>
      <c r="K118" s="350" t="s">
        <v>197</v>
      </c>
      <c r="L118" s="113"/>
    </row>
    <row r="119" spans="1:12" ht="14.4" customHeight="1" thickBot="1" x14ac:dyDescent="0.35">
      <c r="A119" s="359" t="s">
        <v>296</v>
      </c>
      <c r="B119" s="337">
        <v>0</v>
      </c>
      <c r="C119" s="337">
        <v>7.8529999999999998</v>
      </c>
      <c r="D119" s="338">
        <v>7.8529999999999998</v>
      </c>
      <c r="E119" s="347" t="s">
        <v>197</v>
      </c>
      <c r="F119" s="337">
        <v>0</v>
      </c>
      <c r="G119" s="338">
        <v>0</v>
      </c>
      <c r="H119" s="340">
        <v>4.1210000000000004</v>
      </c>
      <c r="I119" s="337">
        <v>4.1210000000000004</v>
      </c>
      <c r="J119" s="338">
        <v>4.1210000000000004</v>
      </c>
      <c r="K119" s="348" t="s">
        <v>197</v>
      </c>
      <c r="L119" s="113"/>
    </row>
    <row r="120" spans="1:12" ht="14.4" customHeight="1" thickBot="1" x14ac:dyDescent="0.35">
      <c r="A120" s="358" t="s">
        <v>297</v>
      </c>
      <c r="B120" s="342">
        <v>289.52533244714499</v>
      </c>
      <c r="C120" s="342">
        <v>344.30432999999999</v>
      </c>
      <c r="D120" s="343">
        <v>54.778997552854001</v>
      </c>
      <c r="E120" s="344">
        <v>1.1892027792169999</v>
      </c>
      <c r="F120" s="342">
        <v>0</v>
      </c>
      <c r="G120" s="343">
        <v>0</v>
      </c>
      <c r="H120" s="345">
        <v>29.37011</v>
      </c>
      <c r="I120" s="342">
        <v>79.477080000000001</v>
      </c>
      <c r="J120" s="343">
        <v>79.477080000000001</v>
      </c>
      <c r="K120" s="350" t="s">
        <v>197</v>
      </c>
      <c r="L120" s="113"/>
    </row>
    <row r="121" spans="1:12" ht="14.4" customHeight="1" thickBot="1" x14ac:dyDescent="0.35">
      <c r="A121" s="359" t="s">
        <v>298</v>
      </c>
      <c r="B121" s="337">
        <v>289.52533244714499</v>
      </c>
      <c r="C121" s="337">
        <v>344.30432999999999</v>
      </c>
      <c r="D121" s="338">
        <v>54.778997552854001</v>
      </c>
      <c r="E121" s="339">
        <v>1.1892027792169999</v>
      </c>
      <c r="F121" s="337">
        <v>0</v>
      </c>
      <c r="G121" s="338">
        <v>0</v>
      </c>
      <c r="H121" s="340">
        <v>29.37011</v>
      </c>
      <c r="I121" s="337">
        <v>79.477080000000001</v>
      </c>
      <c r="J121" s="338">
        <v>79.477080000000001</v>
      </c>
      <c r="K121" s="348" t="s">
        <v>197</v>
      </c>
      <c r="L121" s="113"/>
    </row>
    <row r="122" spans="1:12" ht="14.4" customHeight="1" thickBot="1" x14ac:dyDescent="0.35">
      <c r="A122" s="363"/>
      <c r="B122" s="337">
        <v>-3923.8787209447701</v>
      </c>
      <c r="C122" s="337">
        <v>-4447.9446799999996</v>
      </c>
      <c r="D122" s="338">
        <v>-524.06595905522704</v>
      </c>
      <c r="E122" s="339">
        <v>1.13355814395</v>
      </c>
      <c r="F122" s="337">
        <v>-4021.9731583396501</v>
      </c>
      <c r="G122" s="338">
        <v>-1005.49328958491</v>
      </c>
      <c r="H122" s="340">
        <v>-349.94194000000101</v>
      </c>
      <c r="I122" s="337">
        <v>-1063.9120399999999</v>
      </c>
      <c r="J122" s="338">
        <v>-58.418750415086997</v>
      </c>
      <c r="K122" s="341">
        <v>0.26452489813199997</v>
      </c>
      <c r="L122" s="113"/>
    </row>
    <row r="123" spans="1:12" ht="14.4" customHeight="1" thickBot="1" x14ac:dyDescent="0.35">
      <c r="A123" s="364" t="s">
        <v>46</v>
      </c>
      <c r="B123" s="351">
        <v>-3923.8787209447701</v>
      </c>
      <c r="C123" s="351">
        <v>-4447.9446799999996</v>
      </c>
      <c r="D123" s="352">
        <v>-524.06595905522704</v>
      </c>
      <c r="E123" s="353">
        <v>-1.1165580301710001</v>
      </c>
      <c r="F123" s="351">
        <v>-4021.9731583396501</v>
      </c>
      <c r="G123" s="352">
        <v>-1005.49328958491</v>
      </c>
      <c r="H123" s="351">
        <v>-349.94194000000101</v>
      </c>
      <c r="I123" s="351">
        <v>-1063.9120399999999</v>
      </c>
      <c r="J123" s="352">
        <v>-58.418750415086997</v>
      </c>
      <c r="K123" s="354">
        <v>0.26452489813199997</v>
      </c>
      <c r="L123" s="113"/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62" customWidth="1"/>
    <col min="2" max="2" width="61.109375" style="162" customWidth="1"/>
    <col min="3" max="3" width="9.5546875" style="95" hidden="1" customWidth="1" outlineLevel="1"/>
    <col min="4" max="4" width="9.5546875" style="163" customWidth="1" collapsed="1"/>
    <col min="5" max="5" width="2.21875" style="163" customWidth="1"/>
    <col min="6" max="6" width="9.5546875" style="164" customWidth="1"/>
    <col min="7" max="7" width="9.5546875" style="161" customWidth="1"/>
    <col min="8" max="9" width="9.5546875" style="95" customWidth="1"/>
    <col min="10" max="10" width="0" style="95" hidden="1" customWidth="1"/>
    <col min="11" max="16384" width="8.88671875" style="95"/>
  </cols>
  <sheetData>
    <row r="1" spans="1:10" ht="18.600000000000001" customHeight="1" thickBot="1" x14ac:dyDescent="0.4">
      <c r="A1" s="285" t="s">
        <v>71</v>
      </c>
      <c r="B1" s="286"/>
      <c r="C1" s="286"/>
      <c r="D1" s="286"/>
      <c r="E1" s="286"/>
      <c r="F1" s="286"/>
      <c r="G1" s="256"/>
      <c r="H1" s="287"/>
      <c r="I1" s="287"/>
    </row>
    <row r="2" spans="1:10" ht="14.4" customHeight="1" thickBot="1" x14ac:dyDescent="0.35">
      <c r="A2" s="170" t="s">
        <v>185</v>
      </c>
      <c r="B2" s="160"/>
      <c r="C2" s="160"/>
      <c r="D2" s="160"/>
      <c r="E2" s="160"/>
      <c r="F2" s="160"/>
    </row>
    <row r="3" spans="1:10" ht="14.4" customHeight="1" thickBot="1" x14ac:dyDescent="0.35">
      <c r="A3" s="170"/>
      <c r="B3" s="201"/>
      <c r="C3" s="200">
        <v>2015</v>
      </c>
      <c r="D3" s="177">
        <v>2017</v>
      </c>
      <c r="E3" s="7"/>
      <c r="F3" s="264">
        <v>2018</v>
      </c>
      <c r="G3" s="282"/>
      <c r="H3" s="282"/>
      <c r="I3" s="265"/>
    </row>
    <row r="4" spans="1:10" ht="14.4" customHeight="1" thickBot="1" x14ac:dyDescent="0.35">
      <c r="A4" s="181" t="s">
        <v>0</v>
      </c>
      <c r="B4" s="182" t="s">
        <v>116</v>
      </c>
      <c r="C4" s="283" t="s">
        <v>50</v>
      </c>
      <c r="D4" s="284"/>
      <c r="E4" s="183"/>
      <c r="F4" s="178" t="s">
        <v>50</v>
      </c>
      <c r="G4" s="179" t="s">
        <v>51</v>
      </c>
      <c r="H4" s="179" t="s">
        <v>47</v>
      </c>
      <c r="I4" s="180" t="s">
        <v>52</v>
      </c>
    </row>
    <row r="5" spans="1:10" ht="14.4" customHeight="1" x14ac:dyDescent="0.3">
      <c r="A5" s="365" t="s">
        <v>299</v>
      </c>
      <c r="B5" s="366" t="s">
        <v>300</v>
      </c>
      <c r="C5" s="367" t="s">
        <v>301</v>
      </c>
      <c r="D5" s="367" t="s">
        <v>301</v>
      </c>
      <c r="E5" s="367"/>
      <c r="F5" s="367" t="s">
        <v>301</v>
      </c>
      <c r="G5" s="367" t="s">
        <v>301</v>
      </c>
      <c r="H5" s="367" t="s">
        <v>301</v>
      </c>
      <c r="I5" s="368" t="s">
        <v>301</v>
      </c>
      <c r="J5" s="369" t="s">
        <v>48</v>
      </c>
    </row>
    <row r="6" spans="1:10" ht="14.4" customHeight="1" x14ac:dyDescent="0.3">
      <c r="A6" s="365" t="s">
        <v>299</v>
      </c>
      <c r="B6" s="366" t="s">
        <v>302</v>
      </c>
      <c r="C6" s="367">
        <v>0.15182999999999999</v>
      </c>
      <c r="D6" s="367">
        <v>0.41959999999999997</v>
      </c>
      <c r="E6" s="367"/>
      <c r="F6" s="367">
        <v>0</v>
      </c>
      <c r="G6" s="367">
        <v>1.25</v>
      </c>
      <c r="H6" s="367">
        <v>-1.25</v>
      </c>
      <c r="I6" s="368">
        <v>0</v>
      </c>
      <c r="J6" s="369" t="s">
        <v>1</v>
      </c>
    </row>
    <row r="7" spans="1:10" ht="14.4" customHeight="1" x14ac:dyDescent="0.3">
      <c r="A7" s="365" t="s">
        <v>299</v>
      </c>
      <c r="B7" s="366" t="s">
        <v>303</v>
      </c>
      <c r="C7" s="367">
        <v>0.15182999999999999</v>
      </c>
      <c r="D7" s="367">
        <v>0.41959999999999997</v>
      </c>
      <c r="E7" s="367"/>
      <c r="F7" s="367">
        <v>0</v>
      </c>
      <c r="G7" s="367">
        <v>1.25</v>
      </c>
      <c r="H7" s="367">
        <v>-1.25</v>
      </c>
      <c r="I7" s="368">
        <v>0</v>
      </c>
      <c r="J7" s="369" t="s">
        <v>304</v>
      </c>
    </row>
    <row r="9" spans="1:10" ht="14.4" customHeight="1" x14ac:dyDescent="0.3">
      <c r="A9" s="365" t="s">
        <v>299</v>
      </c>
      <c r="B9" s="366" t="s">
        <v>300</v>
      </c>
      <c r="C9" s="367" t="s">
        <v>301</v>
      </c>
      <c r="D9" s="367" t="s">
        <v>301</v>
      </c>
      <c r="E9" s="367"/>
      <c r="F9" s="367" t="s">
        <v>301</v>
      </c>
      <c r="G9" s="367" t="s">
        <v>301</v>
      </c>
      <c r="H9" s="367" t="s">
        <v>301</v>
      </c>
      <c r="I9" s="368" t="s">
        <v>301</v>
      </c>
      <c r="J9" s="369" t="s">
        <v>48</v>
      </c>
    </row>
    <row r="10" spans="1:10" ht="14.4" customHeight="1" x14ac:dyDescent="0.3">
      <c r="A10" s="365" t="s">
        <v>305</v>
      </c>
      <c r="B10" s="366" t="s">
        <v>300</v>
      </c>
      <c r="C10" s="367" t="s">
        <v>301</v>
      </c>
      <c r="D10" s="367" t="s">
        <v>301</v>
      </c>
      <c r="E10" s="367"/>
      <c r="F10" s="367" t="s">
        <v>301</v>
      </c>
      <c r="G10" s="367" t="s">
        <v>301</v>
      </c>
      <c r="H10" s="367" t="s">
        <v>301</v>
      </c>
      <c r="I10" s="368" t="s">
        <v>301</v>
      </c>
      <c r="J10" s="369" t="s">
        <v>0</v>
      </c>
    </row>
    <row r="11" spans="1:10" ht="14.4" customHeight="1" x14ac:dyDescent="0.3">
      <c r="A11" s="365" t="s">
        <v>305</v>
      </c>
      <c r="B11" s="366" t="s">
        <v>302</v>
      </c>
      <c r="C11" s="367">
        <v>0.15182999999999999</v>
      </c>
      <c r="D11" s="367">
        <v>0.41959999999999997</v>
      </c>
      <c r="E11" s="367"/>
      <c r="F11" s="367">
        <v>0</v>
      </c>
      <c r="G11" s="367">
        <v>1</v>
      </c>
      <c r="H11" s="367">
        <v>-1</v>
      </c>
      <c r="I11" s="368">
        <v>0</v>
      </c>
      <c r="J11" s="369" t="s">
        <v>1</v>
      </c>
    </row>
    <row r="12" spans="1:10" ht="14.4" customHeight="1" x14ac:dyDescent="0.3">
      <c r="A12" s="365" t="s">
        <v>305</v>
      </c>
      <c r="B12" s="366" t="s">
        <v>303</v>
      </c>
      <c r="C12" s="367">
        <v>0.15182999999999999</v>
      </c>
      <c r="D12" s="367">
        <v>0.41959999999999997</v>
      </c>
      <c r="E12" s="367"/>
      <c r="F12" s="367">
        <v>0</v>
      </c>
      <c r="G12" s="367">
        <v>1</v>
      </c>
      <c r="H12" s="367">
        <v>-1</v>
      </c>
      <c r="I12" s="368">
        <v>0</v>
      </c>
      <c r="J12" s="369" t="s">
        <v>306</v>
      </c>
    </row>
    <row r="13" spans="1:10" ht="14.4" customHeight="1" x14ac:dyDescent="0.3">
      <c r="A13" s="365" t="s">
        <v>301</v>
      </c>
      <c r="B13" s="366" t="s">
        <v>301</v>
      </c>
      <c r="C13" s="367" t="s">
        <v>301</v>
      </c>
      <c r="D13" s="367" t="s">
        <v>301</v>
      </c>
      <c r="E13" s="367"/>
      <c r="F13" s="367" t="s">
        <v>301</v>
      </c>
      <c r="G13" s="367" t="s">
        <v>301</v>
      </c>
      <c r="H13" s="367" t="s">
        <v>301</v>
      </c>
      <c r="I13" s="368" t="s">
        <v>301</v>
      </c>
      <c r="J13" s="369" t="s">
        <v>307</v>
      </c>
    </row>
    <row r="14" spans="1:10" ht="14.4" customHeight="1" x14ac:dyDescent="0.3">
      <c r="A14" s="365" t="s">
        <v>299</v>
      </c>
      <c r="B14" s="366" t="s">
        <v>303</v>
      </c>
      <c r="C14" s="367">
        <v>0.15182999999999999</v>
      </c>
      <c r="D14" s="367">
        <v>0.41959999999999997</v>
      </c>
      <c r="E14" s="367"/>
      <c r="F14" s="367">
        <v>0</v>
      </c>
      <c r="G14" s="367">
        <v>1</v>
      </c>
      <c r="H14" s="367">
        <v>-1</v>
      </c>
      <c r="I14" s="368">
        <v>0</v>
      </c>
      <c r="J14" s="369" t="s">
        <v>304</v>
      </c>
    </row>
  </sheetData>
  <mergeCells count="3">
    <mergeCell ref="F3:I3"/>
    <mergeCell ref="C4:D4"/>
    <mergeCell ref="A1:I1"/>
  </mergeCells>
  <conditionalFormatting sqref="F8 F15:F65537">
    <cfRule type="cellIs" dxfId="36" priority="18" stopIfTrue="1" operator="greaterThan">
      <formula>1</formula>
    </cfRule>
  </conditionalFormatting>
  <conditionalFormatting sqref="H5:H7">
    <cfRule type="expression" dxfId="35" priority="14">
      <formula>$H5&gt;0</formula>
    </cfRule>
  </conditionalFormatting>
  <conditionalFormatting sqref="I5:I7">
    <cfRule type="expression" dxfId="34" priority="15">
      <formula>$I5&gt;1</formula>
    </cfRule>
  </conditionalFormatting>
  <conditionalFormatting sqref="B5:B7">
    <cfRule type="expression" dxfId="33" priority="11">
      <formula>OR($J5="NS",$J5="SumaNS",$J5="Účet")</formula>
    </cfRule>
  </conditionalFormatting>
  <conditionalFormatting sqref="B5:D7 F5:I7">
    <cfRule type="expression" dxfId="32" priority="17">
      <formula>AND($J5&lt;&gt;"",$J5&lt;&gt;"mezeraKL")</formula>
    </cfRule>
  </conditionalFormatting>
  <conditionalFormatting sqref="B5:D7 F5:I7">
    <cfRule type="expression" dxfId="31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0" priority="13">
      <formula>OR($J5="SumaNS",$J5="NS")</formula>
    </cfRule>
  </conditionalFormatting>
  <conditionalFormatting sqref="A5:A7">
    <cfRule type="expression" dxfId="29" priority="9">
      <formula>AND($J5&lt;&gt;"mezeraKL",$J5&lt;&gt;"")</formula>
    </cfRule>
  </conditionalFormatting>
  <conditionalFormatting sqref="A5:A7">
    <cfRule type="expression" dxfId="28" priority="10">
      <formula>AND($J5&lt;&gt;"",$J5&lt;&gt;"mezeraKL")</formula>
    </cfRule>
  </conditionalFormatting>
  <conditionalFormatting sqref="H9:H14">
    <cfRule type="expression" dxfId="27" priority="5">
      <formula>$H9&gt;0</formula>
    </cfRule>
  </conditionalFormatting>
  <conditionalFormatting sqref="A9:A14">
    <cfRule type="expression" dxfId="26" priority="2">
      <formula>AND($J9&lt;&gt;"mezeraKL",$J9&lt;&gt;"")</formula>
    </cfRule>
  </conditionalFormatting>
  <conditionalFormatting sqref="I9:I14">
    <cfRule type="expression" dxfId="25" priority="6">
      <formula>$I9&gt;1</formula>
    </cfRule>
  </conditionalFormatting>
  <conditionalFormatting sqref="B9:B14">
    <cfRule type="expression" dxfId="24" priority="1">
      <formula>OR($J9="NS",$J9="SumaNS",$J9="Účet")</formula>
    </cfRule>
  </conditionalFormatting>
  <conditionalFormatting sqref="A9:D14 F9:I14">
    <cfRule type="expression" dxfId="23" priority="8">
      <formula>AND($J9&lt;&gt;"",$J9&lt;&gt;"mezeraKL")</formula>
    </cfRule>
  </conditionalFormatting>
  <conditionalFormatting sqref="B9:D14 F9:I14">
    <cfRule type="expression" dxfId="22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21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196" customWidth="1"/>
    <col min="2" max="2" width="5.44140625" style="161" bestFit="1" customWidth="1"/>
    <col min="3" max="3" width="6.109375" style="161" bestFit="1" customWidth="1"/>
    <col min="4" max="4" width="7.44140625" style="161" bestFit="1" customWidth="1"/>
    <col min="5" max="5" width="6.21875" style="161" bestFit="1" customWidth="1"/>
    <col min="6" max="6" width="6.33203125" style="164" bestFit="1" customWidth="1"/>
    <col min="7" max="7" width="6.109375" style="164" bestFit="1" customWidth="1"/>
    <col min="8" max="8" width="7.44140625" style="164" bestFit="1" customWidth="1"/>
    <col min="9" max="9" width="6.21875" style="164" bestFit="1" customWidth="1"/>
    <col min="10" max="10" width="5.44140625" style="161" bestFit="1" customWidth="1"/>
    <col min="11" max="11" width="6.109375" style="161" bestFit="1" customWidth="1"/>
    <col min="12" max="12" width="7.44140625" style="161" bestFit="1" customWidth="1"/>
    <col min="13" max="13" width="6.21875" style="161" bestFit="1" customWidth="1"/>
    <col min="14" max="14" width="5.33203125" style="164" bestFit="1" customWidth="1"/>
    <col min="15" max="15" width="6.109375" style="164" bestFit="1" customWidth="1"/>
    <col min="16" max="16" width="7.44140625" style="164" bestFit="1" customWidth="1"/>
    <col min="17" max="17" width="6.21875" style="164" bestFit="1" customWidth="1"/>
    <col min="18" max="16384" width="8.88671875" style="95"/>
  </cols>
  <sheetData>
    <row r="1" spans="1:17" ht="18.600000000000001" customHeight="1" thickBot="1" x14ac:dyDescent="0.4">
      <c r="A1" s="291" t="s">
        <v>117</v>
      </c>
      <c r="B1" s="291"/>
      <c r="C1" s="291"/>
      <c r="D1" s="291"/>
      <c r="E1" s="291"/>
      <c r="F1" s="256"/>
      <c r="G1" s="256"/>
      <c r="H1" s="256"/>
      <c r="I1" s="256"/>
      <c r="J1" s="287"/>
      <c r="K1" s="287"/>
      <c r="L1" s="287"/>
      <c r="M1" s="287"/>
      <c r="N1" s="287"/>
      <c r="O1" s="287"/>
      <c r="P1" s="287"/>
      <c r="Q1" s="287"/>
    </row>
    <row r="2" spans="1:17" ht="14.4" customHeight="1" thickBot="1" x14ac:dyDescent="0.35">
      <c r="A2" s="170" t="s">
        <v>185</v>
      </c>
      <c r="B2" s="168"/>
      <c r="C2" s="168"/>
      <c r="D2" s="168"/>
      <c r="E2" s="168"/>
    </row>
    <row r="3" spans="1:17" ht="14.4" customHeight="1" thickBot="1" x14ac:dyDescent="0.35">
      <c r="A3" s="185" t="s">
        <v>2</v>
      </c>
      <c r="B3" s="189">
        <f>SUM(B6:B1048576)</f>
        <v>2</v>
      </c>
      <c r="C3" s="190">
        <f>SUM(C6:C1048576)</f>
        <v>0</v>
      </c>
      <c r="D3" s="190">
        <f>SUM(D6:D1048576)</f>
        <v>0</v>
      </c>
      <c r="E3" s="191">
        <f>SUM(E6:E1048576)</f>
        <v>0</v>
      </c>
      <c r="F3" s="188">
        <f>IF(SUM($B3:$E3)=0,"",B3/SUM($B3:$E3))</f>
        <v>1</v>
      </c>
      <c r="G3" s="186">
        <f t="shared" ref="G3:I3" si="0">IF(SUM($B3:$E3)=0,"",C3/SUM($B3:$E3))</f>
        <v>0</v>
      </c>
      <c r="H3" s="186">
        <f t="shared" si="0"/>
        <v>0</v>
      </c>
      <c r="I3" s="187">
        <f t="shared" si="0"/>
        <v>0</v>
      </c>
      <c r="J3" s="190">
        <f>SUM(J6:J1048576)</f>
        <v>1</v>
      </c>
      <c r="K3" s="190">
        <f>SUM(K6:K1048576)</f>
        <v>0</v>
      </c>
      <c r="L3" s="190">
        <f>SUM(L6:L1048576)</f>
        <v>0</v>
      </c>
      <c r="M3" s="191">
        <f>SUM(M6:M1048576)</f>
        <v>0</v>
      </c>
      <c r="N3" s="188">
        <f>IF(SUM($J3:$M3)=0,"",J3/SUM($J3:$M3))</f>
        <v>1</v>
      </c>
      <c r="O3" s="186">
        <f t="shared" ref="O3:Q3" si="1">IF(SUM($J3:$M3)=0,"",K3/SUM($J3:$M3))</f>
        <v>0</v>
      </c>
      <c r="P3" s="186">
        <f t="shared" si="1"/>
        <v>0</v>
      </c>
      <c r="Q3" s="187">
        <f t="shared" si="1"/>
        <v>0</v>
      </c>
    </row>
    <row r="4" spans="1:17" ht="14.4" customHeight="1" thickBot="1" x14ac:dyDescent="0.35">
      <c r="A4" s="184"/>
      <c r="B4" s="295" t="s">
        <v>119</v>
      </c>
      <c r="C4" s="296"/>
      <c r="D4" s="296"/>
      <c r="E4" s="297"/>
      <c r="F4" s="292" t="s">
        <v>124</v>
      </c>
      <c r="G4" s="293"/>
      <c r="H4" s="293"/>
      <c r="I4" s="294"/>
      <c r="J4" s="295" t="s">
        <v>125</v>
      </c>
      <c r="K4" s="296"/>
      <c r="L4" s="296"/>
      <c r="M4" s="297"/>
      <c r="N4" s="292" t="s">
        <v>126</v>
      </c>
      <c r="O4" s="293"/>
      <c r="P4" s="293"/>
      <c r="Q4" s="294"/>
    </row>
    <row r="5" spans="1:17" ht="14.4" customHeight="1" thickBot="1" x14ac:dyDescent="0.35">
      <c r="A5" s="370" t="s">
        <v>118</v>
      </c>
      <c r="B5" s="371" t="s">
        <v>120</v>
      </c>
      <c r="C5" s="371" t="s">
        <v>121</v>
      </c>
      <c r="D5" s="371" t="s">
        <v>122</v>
      </c>
      <c r="E5" s="372" t="s">
        <v>123</v>
      </c>
      <c r="F5" s="373" t="s">
        <v>120</v>
      </c>
      <c r="G5" s="374" t="s">
        <v>121</v>
      </c>
      <c r="H5" s="374" t="s">
        <v>122</v>
      </c>
      <c r="I5" s="375" t="s">
        <v>123</v>
      </c>
      <c r="J5" s="371" t="s">
        <v>120</v>
      </c>
      <c r="K5" s="371" t="s">
        <v>121</v>
      </c>
      <c r="L5" s="371" t="s">
        <v>122</v>
      </c>
      <c r="M5" s="372" t="s">
        <v>123</v>
      </c>
      <c r="N5" s="373" t="s">
        <v>120</v>
      </c>
      <c r="O5" s="374" t="s">
        <v>121</v>
      </c>
      <c r="P5" s="374" t="s">
        <v>122</v>
      </c>
      <c r="Q5" s="375" t="s">
        <v>123</v>
      </c>
    </row>
    <row r="6" spans="1:17" ht="14.4" customHeight="1" x14ac:dyDescent="0.3">
      <c r="A6" s="382" t="s">
        <v>308</v>
      </c>
      <c r="B6" s="386"/>
      <c r="C6" s="376"/>
      <c r="D6" s="376"/>
      <c r="E6" s="388"/>
      <c r="F6" s="384"/>
      <c r="G6" s="377"/>
      <c r="H6" s="377"/>
      <c r="I6" s="390"/>
      <c r="J6" s="386"/>
      <c r="K6" s="376"/>
      <c r="L6" s="376"/>
      <c r="M6" s="388"/>
      <c r="N6" s="384"/>
      <c r="O6" s="377"/>
      <c r="P6" s="377"/>
      <c r="Q6" s="378"/>
    </row>
    <row r="7" spans="1:17" ht="14.4" customHeight="1" thickBot="1" x14ac:dyDescent="0.35">
      <c r="A7" s="383" t="s">
        <v>309</v>
      </c>
      <c r="B7" s="387">
        <v>2</v>
      </c>
      <c r="C7" s="379"/>
      <c r="D7" s="379"/>
      <c r="E7" s="389"/>
      <c r="F7" s="385">
        <v>1</v>
      </c>
      <c r="G7" s="380">
        <v>0</v>
      </c>
      <c r="H7" s="380">
        <v>0</v>
      </c>
      <c r="I7" s="391">
        <v>0</v>
      </c>
      <c r="J7" s="387">
        <v>1</v>
      </c>
      <c r="K7" s="379"/>
      <c r="L7" s="379"/>
      <c r="M7" s="389"/>
      <c r="N7" s="385">
        <v>1</v>
      </c>
      <c r="O7" s="380">
        <v>0</v>
      </c>
      <c r="P7" s="380">
        <v>0</v>
      </c>
      <c r="Q7" s="381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0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62" customWidth="1"/>
    <col min="2" max="2" width="61.109375" style="162" customWidth="1"/>
    <col min="3" max="3" width="9.5546875" style="95" hidden="1" customWidth="1" outlineLevel="1"/>
    <col min="4" max="4" width="9.5546875" style="163" customWidth="1" collapsed="1"/>
    <col min="5" max="5" width="2.21875" style="163" customWidth="1"/>
    <col min="6" max="6" width="9.5546875" style="164" customWidth="1"/>
    <col min="7" max="7" width="9.5546875" style="161" customWidth="1"/>
    <col min="8" max="9" width="9.5546875" style="95" customWidth="1"/>
    <col min="10" max="10" width="0" style="95" hidden="1" customWidth="1"/>
    <col min="11" max="16384" width="8.88671875" style="95"/>
  </cols>
  <sheetData>
    <row r="1" spans="1:10" ht="18.600000000000001" customHeight="1" thickBot="1" x14ac:dyDescent="0.4">
      <c r="A1" s="285" t="s">
        <v>72</v>
      </c>
      <c r="B1" s="286"/>
      <c r="C1" s="286"/>
      <c r="D1" s="286"/>
      <c r="E1" s="286"/>
      <c r="F1" s="286"/>
      <c r="G1" s="256"/>
      <c r="H1" s="287"/>
      <c r="I1" s="287"/>
    </row>
    <row r="2" spans="1:10" ht="14.4" customHeight="1" thickBot="1" x14ac:dyDescent="0.35">
      <c r="A2" s="170" t="s">
        <v>185</v>
      </c>
      <c r="B2" s="160"/>
      <c r="C2" s="160"/>
      <c r="D2" s="160"/>
      <c r="E2" s="160"/>
      <c r="F2" s="160"/>
    </row>
    <row r="3" spans="1:10" ht="14.4" customHeight="1" thickBot="1" x14ac:dyDescent="0.35">
      <c r="A3" s="170"/>
      <c r="B3" s="201"/>
      <c r="C3" s="176">
        <v>2015</v>
      </c>
      <c r="D3" s="177">
        <v>2017</v>
      </c>
      <c r="E3" s="7"/>
      <c r="F3" s="264">
        <v>2018</v>
      </c>
      <c r="G3" s="282"/>
      <c r="H3" s="282"/>
      <c r="I3" s="265"/>
    </row>
    <row r="4" spans="1:10" ht="14.4" customHeight="1" thickBot="1" x14ac:dyDescent="0.35">
      <c r="A4" s="181" t="s">
        <v>0</v>
      </c>
      <c r="B4" s="182" t="s">
        <v>116</v>
      </c>
      <c r="C4" s="283" t="s">
        <v>50</v>
      </c>
      <c r="D4" s="284"/>
      <c r="E4" s="183"/>
      <c r="F4" s="178" t="s">
        <v>50</v>
      </c>
      <c r="G4" s="179" t="s">
        <v>51</v>
      </c>
      <c r="H4" s="179" t="s">
        <v>47</v>
      </c>
      <c r="I4" s="180" t="s">
        <v>52</v>
      </c>
    </row>
    <row r="5" spans="1:10" ht="14.4" customHeight="1" x14ac:dyDescent="0.3">
      <c r="A5" s="365" t="s">
        <v>299</v>
      </c>
      <c r="B5" s="366" t="s">
        <v>300</v>
      </c>
      <c r="C5" s="367" t="s">
        <v>301</v>
      </c>
      <c r="D5" s="367" t="s">
        <v>301</v>
      </c>
      <c r="E5" s="367"/>
      <c r="F5" s="367" t="s">
        <v>301</v>
      </c>
      <c r="G5" s="367" t="s">
        <v>301</v>
      </c>
      <c r="H5" s="367" t="s">
        <v>301</v>
      </c>
      <c r="I5" s="368" t="s">
        <v>301</v>
      </c>
      <c r="J5" s="369" t="s">
        <v>48</v>
      </c>
    </row>
    <row r="6" spans="1:10" ht="14.4" customHeight="1" x14ac:dyDescent="0.3">
      <c r="A6" s="365" t="s">
        <v>299</v>
      </c>
      <c r="B6" s="366" t="s">
        <v>310</v>
      </c>
      <c r="C6" s="367">
        <v>13.95096</v>
      </c>
      <c r="D6" s="367">
        <v>21.480979999999999</v>
      </c>
      <c r="E6" s="367"/>
      <c r="F6" s="367">
        <v>12.459</v>
      </c>
      <c r="G6" s="367">
        <v>15.75</v>
      </c>
      <c r="H6" s="367">
        <v>-3.2910000000000004</v>
      </c>
      <c r="I6" s="368">
        <v>0.791047619047619</v>
      </c>
      <c r="J6" s="369" t="s">
        <v>1</v>
      </c>
    </row>
    <row r="7" spans="1:10" ht="14.4" customHeight="1" x14ac:dyDescent="0.3">
      <c r="A7" s="365" t="s">
        <v>299</v>
      </c>
      <c r="B7" s="366" t="s">
        <v>311</v>
      </c>
      <c r="C7" s="367">
        <v>0</v>
      </c>
      <c r="D7" s="367">
        <v>2.42</v>
      </c>
      <c r="E7" s="367"/>
      <c r="F7" s="367">
        <v>0</v>
      </c>
      <c r="G7" s="367">
        <v>0.75</v>
      </c>
      <c r="H7" s="367">
        <v>-0.75</v>
      </c>
      <c r="I7" s="368">
        <v>0</v>
      </c>
      <c r="J7" s="369" t="s">
        <v>1</v>
      </c>
    </row>
    <row r="8" spans="1:10" ht="14.4" customHeight="1" x14ac:dyDescent="0.3">
      <c r="A8" s="365" t="s">
        <v>299</v>
      </c>
      <c r="B8" s="366" t="s">
        <v>312</v>
      </c>
      <c r="C8" s="367">
        <v>0</v>
      </c>
      <c r="D8" s="367">
        <v>0.27600000000000002</v>
      </c>
      <c r="E8" s="367"/>
      <c r="F8" s="367">
        <v>0</v>
      </c>
      <c r="G8" s="367">
        <v>7.0290168762207034E-2</v>
      </c>
      <c r="H8" s="367">
        <v>-7.0290168762207034E-2</v>
      </c>
      <c r="I8" s="368">
        <v>0</v>
      </c>
      <c r="J8" s="369" t="s">
        <v>1</v>
      </c>
    </row>
    <row r="9" spans="1:10" ht="14.4" customHeight="1" x14ac:dyDescent="0.3">
      <c r="A9" s="365" t="s">
        <v>299</v>
      </c>
      <c r="B9" s="366" t="s">
        <v>303</v>
      </c>
      <c r="C9" s="367">
        <v>13.95096</v>
      </c>
      <c r="D9" s="367">
        <v>24.176979999999997</v>
      </c>
      <c r="E9" s="367"/>
      <c r="F9" s="367">
        <v>12.459</v>
      </c>
      <c r="G9" s="367">
        <v>16.570290168762206</v>
      </c>
      <c r="H9" s="367">
        <v>-4.1112901687622063</v>
      </c>
      <c r="I9" s="368">
        <v>0.7518878591207363</v>
      </c>
      <c r="J9" s="369" t="s">
        <v>304</v>
      </c>
    </row>
    <row r="11" spans="1:10" ht="14.4" customHeight="1" x14ac:dyDescent="0.3">
      <c r="A11" s="365" t="s">
        <v>299</v>
      </c>
      <c r="B11" s="366" t="s">
        <v>300</v>
      </c>
      <c r="C11" s="367" t="s">
        <v>301</v>
      </c>
      <c r="D11" s="367" t="s">
        <v>301</v>
      </c>
      <c r="E11" s="367"/>
      <c r="F11" s="367" t="s">
        <v>301</v>
      </c>
      <c r="G11" s="367" t="s">
        <v>301</v>
      </c>
      <c r="H11" s="367" t="s">
        <v>301</v>
      </c>
      <c r="I11" s="368" t="s">
        <v>301</v>
      </c>
      <c r="J11" s="369" t="s">
        <v>48</v>
      </c>
    </row>
    <row r="12" spans="1:10" ht="14.4" customHeight="1" x14ac:dyDescent="0.3">
      <c r="A12" s="365" t="s">
        <v>305</v>
      </c>
      <c r="B12" s="366" t="s">
        <v>300</v>
      </c>
      <c r="C12" s="367" t="s">
        <v>301</v>
      </c>
      <c r="D12" s="367" t="s">
        <v>301</v>
      </c>
      <c r="E12" s="367"/>
      <c r="F12" s="367" t="s">
        <v>301</v>
      </c>
      <c r="G12" s="367" t="s">
        <v>301</v>
      </c>
      <c r="H12" s="367" t="s">
        <v>301</v>
      </c>
      <c r="I12" s="368" t="s">
        <v>301</v>
      </c>
      <c r="J12" s="369" t="s">
        <v>0</v>
      </c>
    </row>
    <row r="13" spans="1:10" ht="14.4" customHeight="1" x14ac:dyDescent="0.3">
      <c r="A13" s="365" t="s">
        <v>305</v>
      </c>
      <c r="B13" s="366" t="s">
        <v>310</v>
      </c>
      <c r="C13" s="367">
        <v>13.95096</v>
      </c>
      <c r="D13" s="367">
        <v>21.480979999999999</v>
      </c>
      <c r="E13" s="367"/>
      <c r="F13" s="367">
        <v>12.459</v>
      </c>
      <c r="G13" s="367">
        <v>16</v>
      </c>
      <c r="H13" s="367">
        <v>-3.5410000000000004</v>
      </c>
      <c r="I13" s="368">
        <v>0.77868749999999998</v>
      </c>
      <c r="J13" s="369" t="s">
        <v>1</v>
      </c>
    </row>
    <row r="14" spans="1:10" ht="14.4" customHeight="1" x14ac:dyDescent="0.3">
      <c r="A14" s="365" t="s">
        <v>305</v>
      </c>
      <c r="B14" s="366" t="s">
        <v>311</v>
      </c>
      <c r="C14" s="367">
        <v>0</v>
      </c>
      <c r="D14" s="367">
        <v>2.42</v>
      </c>
      <c r="E14" s="367"/>
      <c r="F14" s="367">
        <v>0</v>
      </c>
      <c r="G14" s="367">
        <v>1</v>
      </c>
      <c r="H14" s="367">
        <v>-1</v>
      </c>
      <c r="I14" s="368">
        <v>0</v>
      </c>
      <c r="J14" s="369" t="s">
        <v>1</v>
      </c>
    </row>
    <row r="15" spans="1:10" ht="14.4" customHeight="1" x14ac:dyDescent="0.3">
      <c r="A15" s="365" t="s">
        <v>305</v>
      </c>
      <c r="B15" s="366" t="s">
        <v>312</v>
      </c>
      <c r="C15" s="367">
        <v>0</v>
      </c>
      <c r="D15" s="367">
        <v>0.27600000000000002</v>
      </c>
      <c r="E15" s="367"/>
      <c r="F15" s="367">
        <v>0</v>
      </c>
      <c r="G15" s="367">
        <v>0</v>
      </c>
      <c r="H15" s="367">
        <v>0</v>
      </c>
      <c r="I15" s="368" t="s">
        <v>301</v>
      </c>
      <c r="J15" s="369" t="s">
        <v>1</v>
      </c>
    </row>
    <row r="16" spans="1:10" ht="14.4" customHeight="1" x14ac:dyDescent="0.3">
      <c r="A16" s="365" t="s">
        <v>305</v>
      </c>
      <c r="B16" s="366" t="s">
        <v>303</v>
      </c>
      <c r="C16" s="367">
        <v>13.95096</v>
      </c>
      <c r="D16" s="367">
        <v>24.176979999999997</v>
      </c>
      <c r="E16" s="367"/>
      <c r="F16" s="367">
        <v>12.459</v>
      </c>
      <c r="G16" s="367">
        <v>17</v>
      </c>
      <c r="H16" s="367">
        <v>-4.5410000000000004</v>
      </c>
      <c r="I16" s="368">
        <v>0.73288235294117643</v>
      </c>
      <c r="J16" s="369" t="s">
        <v>306</v>
      </c>
    </row>
    <row r="17" spans="1:10" ht="14.4" customHeight="1" x14ac:dyDescent="0.3">
      <c r="A17" s="365" t="s">
        <v>301</v>
      </c>
      <c r="B17" s="366" t="s">
        <v>301</v>
      </c>
      <c r="C17" s="367" t="s">
        <v>301</v>
      </c>
      <c r="D17" s="367" t="s">
        <v>301</v>
      </c>
      <c r="E17" s="367"/>
      <c r="F17" s="367" t="s">
        <v>301</v>
      </c>
      <c r="G17" s="367" t="s">
        <v>301</v>
      </c>
      <c r="H17" s="367" t="s">
        <v>301</v>
      </c>
      <c r="I17" s="368" t="s">
        <v>301</v>
      </c>
      <c r="J17" s="369" t="s">
        <v>307</v>
      </c>
    </row>
    <row r="18" spans="1:10" ht="14.4" customHeight="1" x14ac:dyDescent="0.3">
      <c r="A18" s="365" t="s">
        <v>299</v>
      </c>
      <c r="B18" s="366" t="s">
        <v>303</v>
      </c>
      <c r="C18" s="367">
        <v>13.95096</v>
      </c>
      <c r="D18" s="367">
        <v>24.176979999999997</v>
      </c>
      <c r="E18" s="367"/>
      <c r="F18" s="367">
        <v>12.459</v>
      </c>
      <c r="G18" s="367">
        <v>17</v>
      </c>
      <c r="H18" s="367">
        <v>-4.5410000000000004</v>
      </c>
      <c r="I18" s="368">
        <v>0.73288235294117643</v>
      </c>
      <c r="J18" s="369" t="s">
        <v>304</v>
      </c>
    </row>
  </sheetData>
  <mergeCells count="3">
    <mergeCell ref="A1:I1"/>
    <mergeCell ref="F3:I3"/>
    <mergeCell ref="C4:D4"/>
  </mergeCells>
  <conditionalFormatting sqref="F10 F19:F65537">
    <cfRule type="cellIs" dxfId="19" priority="18" stopIfTrue="1" operator="greaterThan">
      <formula>1</formula>
    </cfRule>
  </conditionalFormatting>
  <conditionalFormatting sqref="H5:H9">
    <cfRule type="expression" dxfId="18" priority="14">
      <formula>$H5&gt;0</formula>
    </cfRule>
  </conditionalFormatting>
  <conditionalFormatting sqref="I5:I9">
    <cfRule type="expression" dxfId="17" priority="15">
      <formula>$I5&gt;1</formula>
    </cfRule>
  </conditionalFormatting>
  <conditionalFormatting sqref="B5:B9">
    <cfRule type="expression" dxfId="16" priority="11">
      <formula>OR($J5="NS",$J5="SumaNS",$J5="Účet")</formula>
    </cfRule>
  </conditionalFormatting>
  <conditionalFormatting sqref="F5:I9 B5:D9">
    <cfRule type="expression" dxfId="15" priority="17">
      <formula>AND($J5&lt;&gt;"",$J5&lt;&gt;"mezeraKL")</formula>
    </cfRule>
  </conditionalFormatting>
  <conditionalFormatting sqref="B5:D9 F5:I9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9 F5:I9">
    <cfRule type="expression" dxfId="13" priority="13">
      <formula>OR($J5="SumaNS",$J5="NS")</formula>
    </cfRule>
  </conditionalFormatting>
  <conditionalFormatting sqref="A5:A9">
    <cfRule type="expression" dxfId="12" priority="9">
      <formula>AND($J5&lt;&gt;"mezeraKL",$J5&lt;&gt;"")</formula>
    </cfRule>
  </conditionalFormatting>
  <conditionalFormatting sqref="A5:A9">
    <cfRule type="expression" dxfId="11" priority="10">
      <formula>AND($J5&lt;&gt;"",$J5&lt;&gt;"mezeraKL")</formula>
    </cfRule>
  </conditionalFormatting>
  <conditionalFormatting sqref="H11:H18">
    <cfRule type="expression" dxfId="10" priority="6">
      <formula>$H11&gt;0</formula>
    </cfRule>
  </conditionalFormatting>
  <conditionalFormatting sqref="A11:A18">
    <cfRule type="expression" dxfId="9" priority="5">
      <formula>AND($J11&lt;&gt;"mezeraKL",$J11&lt;&gt;"")</formula>
    </cfRule>
  </conditionalFormatting>
  <conditionalFormatting sqref="I11:I18">
    <cfRule type="expression" dxfId="8" priority="7">
      <formula>$I11&gt;1</formula>
    </cfRule>
  </conditionalFormatting>
  <conditionalFormatting sqref="B11:B18">
    <cfRule type="expression" dxfId="7" priority="4">
      <formula>OR($J11="NS",$J11="SumaNS",$J11="Účet")</formula>
    </cfRule>
  </conditionalFormatting>
  <conditionalFormatting sqref="A11:D18 F11:I18">
    <cfRule type="expression" dxfId="6" priority="8">
      <formula>AND($J11&lt;&gt;"",$J11&lt;&gt;"mezeraKL")</formula>
    </cfRule>
  </conditionalFormatting>
  <conditionalFormatting sqref="B11:D18 F11:I18">
    <cfRule type="expression" dxfId="5" priority="1">
      <formula>OR($J11="KL",$J11="SumaKL")</formula>
    </cfRule>
    <cfRule type="expression" priority="3" stopIfTrue="1">
      <formula>OR($J11="mezeraNS",$J11="mezeraKL")</formula>
    </cfRule>
  </conditionalFormatting>
  <conditionalFormatting sqref="B11:D18 F11:I18">
    <cfRule type="expression" dxfId="4" priority="2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9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95" hidden="1" customWidth="1" outlineLevel="1"/>
    <col min="2" max="2" width="28.33203125" style="95" hidden="1" customWidth="1" outlineLevel="1"/>
    <col min="3" max="3" width="5.33203125" style="163" bestFit="1" customWidth="1" collapsed="1"/>
    <col min="4" max="4" width="18.77734375" style="167" customWidth="1"/>
    <col min="5" max="5" width="9" style="163" bestFit="1" customWidth="1"/>
    <col min="6" max="6" width="18.77734375" style="167" customWidth="1"/>
    <col min="7" max="7" width="12.44140625" style="163" hidden="1" customWidth="1" outlineLevel="1"/>
    <col min="8" max="8" width="25.77734375" style="163" customWidth="1" collapsed="1"/>
    <col min="9" max="9" width="7.77734375" style="161" customWidth="1"/>
    <col min="10" max="10" width="10" style="161" customWidth="1"/>
    <col min="11" max="11" width="11.109375" style="161" customWidth="1"/>
    <col min="12" max="16384" width="8.88671875" style="95"/>
  </cols>
  <sheetData>
    <row r="1" spans="1:11" ht="18.600000000000001" customHeight="1" thickBot="1" x14ac:dyDescent="0.4">
      <c r="A1" s="290" t="s">
        <v>325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</row>
    <row r="2" spans="1:11" ht="14.4" customHeight="1" thickBot="1" x14ac:dyDescent="0.35">
      <c r="A2" s="170" t="s">
        <v>185</v>
      </c>
      <c r="B2" s="57"/>
      <c r="C2" s="165"/>
      <c r="D2" s="165"/>
      <c r="E2" s="165"/>
      <c r="F2" s="165"/>
      <c r="G2" s="165"/>
      <c r="H2" s="165"/>
      <c r="I2" s="166"/>
      <c r="J2" s="166"/>
      <c r="K2" s="166"/>
    </row>
    <row r="3" spans="1:11" ht="14.4" customHeight="1" thickBot="1" x14ac:dyDescent="0.35">
      <c r="A3" s="57"/>
      <c r="B3" s="57"/>
      <c r="C3" s="288"/>
      <c r="D3" s="289"/>
      <c r="E3" s="289"/>
      <c r="F3" s="289"/>
      <c r="G3" s="289"/>
      <c r="H3" s="107" t="s">
        <v>69</v>
      </c>
      <c r="I3" s="71">
        <f>IF(J3&lt;&gt;0,K3/J3,0)</f>
        <v>15.381481406129437</v>
      </c>
      <c r="J3" s="71">
        <f>SUBTOTAL(9,J5:J1048576)</f>
        <v>810</v>
      </c>
      <c r="K3" s="72">
        <f>SUBTOTAL(9,K5:K1048576)</f>
        <v>12458.999938964844</v>
      </c>
    </row>
    <row r="4" spans="1:11" s="162" customFormat="1" ht="14.4" customHeight="1" thickBot="1" x14ac:dyDescent="0.35">
      <c r="A4" s="392" t="s">
        <v>3</v>
      </c>
      <c r="B4" s="393" t="s">
        <v>4</v>
      </c>
      <c r="C4" s="393" t="s">
        <v>0</v>
      </c>
      <c r="D4" s="393" t="s">
        <v>5</v>
      </c>
      <c r="E4" s="393" t="s">
        <v>6</v>
      </c>
      <c r="F4" s="393" t="s">
        <v>1</v>
      </c>
      <c r="G4" s="393" t="s">
        <v>49</v>
      </c>
      <c r="H4" s="394" t="s">
        <v>7</v>
      </c>
      <c r="I4" s="395" t="s">
        <v>75</v>
      </c>
      <c r="J4" s="395" t="s">
        <v>8</v>
      </c>
      <c r="K4" s="396" t="s">
        <v>83</v>
      </c>
    </row>
    <row r="5" spans="1:11" ht="14.4" customHeight="1" x14ac:dyDescent="0.3">
      <c r="A5" s="397" t="s">
        <v>299</v>
      </c>
      <c r="B5" s="398" t="s">
        <v>300</v>
      </c>
      <c r="C5" s="399" t="s">
        <v>305</v>
      </c>
      <c r="D5" s="400" t="s">
        <v>300</v>
      </c>
      <c r="E5" s="399" t="s">
        <v>313</v>
      </c>
      <c r="F5" s="400" t="s">
        <v>314</v>
      </c>
      <c r="G5" s="399" t="s">
        <v>315</v>
      </c>
      <c r="H5" s="399" t="s">
        <v>316</v>
      </c>
      <c r="I5" s="376">
        <v>12.305366516113281</v>
      </c>
      <c r="J5" s="376">
        <v>160</v>
      </c>
      <c r="K5" s="388">
        <v>1968.8499755859375</v>
      </c>
    </row>
    <row r="6" spans="1:11" ht="14.4" customHeight="1" x14ac:dyDescent="0.3">
      <c r="A6" s="401" t="s">
        <v>299</v>
      </c>
      <c r="B6" s="402" t="s">
        <v>300</v>
      </c>
      <c r="C6" s="403" t="s">
        <v>305</v>
      </c>
      <c r="D6" s="404" t="s">
        <v>300</v>
      </c>
      <c r="E6" s="403" t="s">
        <v>313</v>
      </c>
      <c r="F6" s="404" t="s">
        <v>314</v>
      </c>
      <c r="G6" s="403" t="s">
        <v>317</v>
      </c>
      <c r="H6" s="403" t="s">
        <v>318</v>
      </c>
      <c r="I6" s="405">
        <v>15.548400402069092</v>
      </c>
      <c r="J6" s="405">
        <v>80</v>
      </c>
      <c r="K6" s="406">
        <v>1243.8699951171875</v>
      </c>
    </row>
    <row r="7" spans="1:11" ht="14.4" customHeight="1" x14ac:dyDescent="0.3">
      <c r="A7" s="401" t="s">
        <v>299</v>
      </c>
      <c r="B7" s="402" t="s">
        <v>300</v>
      </c>
      <c r="C7" s="403" t="s">
        <v>305</v>
      </c>
      <c r="D7" s="404" t="s">
        <v>300</v>
      </c>
      <c r="E7" s="403" t="s">
        <v>313</v>
      </c>
      <c r="F7" s="404" t="s">
        <v>314</v>
      </c>
      <c r="G7" s="403" t="s">
        <v>319</v>
      </c>
      <c r="H7" s="403" t="s">
        <v>320</v>
      </c>
      <c r="I7" s="405">
        <v>15.814750194549561</v>
      </c>
      <c r="J7" s="405">
        <v>450</v>
      </c>
      <c r="K7" s="406">
        <v>7116.7099609375</v>
      </c>
    </row>
    <row r="8" spans="1:11" ht="14.4" customHeight="1" x14ac:dyDescent="0.3">
      <c r="A8" s="401" t="s">
        <v>299</v>
      </c>
      <c r="B8" s="402" t="s">
        <v>300</v>
      </c>
      <c r="C8" s="403" t="s">
        <v>305</v>
      </c>
      <c r="D8" s="404" t="s">
        <v>300</v>
      </c>
      <c r="E8" s="403" t="s">
        <v>313</v>
      </c>
      <c r="F8" s="404" t="s">
        <v>314</v>
      </c>
      <c r="G8" s="403" t="s">
        <v>321</v>
      </c>
      <c r="H8" s="403" t="s">
        <v>322</v>
      </c>
      <c r="I8" s="405">
        <v>18.149499893188477</v>
      </c>
      <c r="J8" s="405">
        <v>40</v>
      </c>
      <c r="K8" s="406">
        <v>725.97998046875</v>
      </c>
    </row>
    <row r="9" spans="1:11" ht="14.4" customHeight="1" thickBot="1" x14ac:dyDescent="0.35">
      <c r="A9" s="407" t="s">
        <v>299</v>
      </c>
      <c r="B9" s="408" t="s">
        <v>300</v>
      </c>
      <c r="C9" s="409" t="s">
        <v>305</v>
      </c>
      <c r="D9" s="410" t="s">
        <v>300</v>
      </c>
      <c r="E9" s="409" t="s">
        <v>313</v>
      </c>
      <c r="F9" s="410" t="s">
        <v>314</v>
      </c>
      <c r="G9" s="409" t="s">
        <v>323</v>
      </c>
      <c r="H9" s="409" t="s">
        <v>324</v>
      </c>
      <c r="I9" s="379">
        <v>17.54485034942627</v>
      </c>
      <c r="J9" s="379">
        <v>80</v>
      </c>
      <c r="K9" s="389">
        <v>1403.5900268554687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2</vt:i4>
      </vt:variant>
    </vt:vector>
  </HeadingPairs>
  <TitlesOfParts>
    <vt:vector size="13" baseType="lpstr">
      <vt:lpstr>Obsah</vt:lpstr>
      <vt:lpstr>Motivace</vt:lpstr>
      <vt:lpstr>HI</vt:lpstr>
      <vt:lpstr>Man Tab</vt:lpstr>
      <vt:lpstr>HV</vt:lpstr>
      <vt:lpstr>Léky Žádanky</vt:lpstr>
      <vt:lpstr>LŽ Statim</vt:lpstr>
      <vt:lpstr>Materiál Žádanky</vt:lpstr>
      <vt:lpstr>MŽ Detail</vt:lpstr>
      <vt:lpstr>Osobní náklady</vt:lpstr>
      <vt:lpstr>ON Data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2018-04-24T11:23:30Z</dcterms:modified>
</cp:coreProperties>
</file>