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19" r:id="rId11"/>
    <sheet name="ON Data" sheetId="418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</definedNames>
  <calcPr calcId="14562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B22" i="419" l="1"/>
  <c r="M22" i="419"/>
  <c r="Y22" i="419"/>
  <c r="C22" i="419"/>
  <c r="E22" i="419"/>
  <c r="H22" i="419"/>
  <c r="L22" i="419"/>
  <c r="P22" i="419"/>
  <c r="T22" i="419"/>
  <c r="X22" i="419"/>
  <c r="AB22" i="419"/>
  <c r="AF22" i="419"/>
  <c r="I22" i="419"/>
  <c r="U22" i="419"/>
  <c r="F22" i="419"/>
  <c r="J22" i="419"/>
  <c r="N22" i="419"/>
  <c r="R22" i="419"/>
  <c r="V22" i="419"/>
  <c r="Z22" i="419"/>
  <c r="AD22" i="419"/>
  <c r="AG22" i="419"/>
  <c r="Q22" i="419"/>
  <c r="AC22" i="419"/>
  <c r="D22" i="419"/>
  <c r="G22" i="419"/>
  <c r="K22" i="419"/>
  <c r="O22" i="419"/>
  <c r="S22" i="419"/>
  <c r="W22" i="419"/>
  <c r="AA22" i="419"/>
  <c r="AE22" i="419"/>
  <c r="A8" i="414" l="1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G26" i="419" l="1"/>
  <c r="AG25" i="419"/>
  <c r="A13" i="383" l="1"/>
  <c r="A10" i="383"/>
  <c r="C13" i="414"/>
  <c r="D13" i="414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B27" i="419" s="1"/>
  <c r="C28" i="419"/>
  <c r="F27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B25" i="419" l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E11" i="339" l="1"/>
  <c r="B11" i="339"/>
  <c r="F11" i="339" l="1"/>
  <c r="C11" i="339"/>
  <c r="H11" i="339" l="1"/>
  <c r="G11" i="339"/>
  <c r="A12" i="414"/>
  <c r="A7" i="414"/>
  <c r="A13" i="414"/>
  <c r="A4" i="414"/>
  <c r="A6" i="339" l="1"/>
  <c r="A5" i="339"/>
  <c r="D4" i="414"/>
  <c r="C16" i="414"/>
  <c r="D16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B12" i="339"/>
  <c r="F12" i="339" s="1"/>
  <c r="N3" i="220"/>
  <c r="L3" i="220" s="1"/>
  <c r="D17" i="414"/>
  <c r="C17" i="414"/>
  <c r="F13" i="339" l="1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B15" i="339" s="1"/>
  <c r="D15" i="414"/>
  <c r="C4" i="414"/>
  <c r="H13" i="339" l="1"/>
  <c r="F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<sst xmlns="http://schemas.openxmlformats.org/spreadsheetml/2006/main" count="808" uniqueCount="367">
  <si>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</si>
  <si>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</si>
  <si>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</si>
  <si>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</si>
  <si>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</si>
  <si>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</si>
  <si>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</si>
  <si>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</si>
  <si>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</si>
  <si>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</si>
  <si>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</si>
  <si>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</si>
  <si>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</si>
  <si>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</si>
  <si>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</si>
  <si>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</si>
  <si>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</si>
  <si>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</si>
  <si>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</si>
  <si>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</si>
  <si>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</si>
  <si>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</si>
  <si>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</si>
  <si>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</si>
  <si>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</si>
  <si>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</si>
  <si>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</si>
  <si>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</si>
  <si>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</si>
  <si>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</si>
  <si>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</si>
  <si>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</si>
  <si>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</si>
  <si>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</si>
  <si>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</si>
  <si>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</si>
  <si>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</si>
  <si>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</si>
  <si>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</si>
  <si>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</si>
  <si>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</si>
  <si>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</si>
  <si>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</si>
  <si>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</si>
  <si>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</si>
  <si>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</si>
  <si>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</si>
  <si>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</si>
  <si>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</si>
  <si>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</si>
  <si>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</si>
  <si>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</si>
  <si>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</si>
  <si>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</si>
  <si>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</si>
  <si>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</si>
  <si>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</si>
  <si>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</si>
  <si>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</si>
  <si>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</si>
  <si>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</si>
  <si>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</si>
  <si>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</si>
  <si>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</si>
  <si>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</si>
  <si>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</si>
  <si>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</si>
  <si>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</si>
  <si>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</si>
  <si>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</si>
  <si>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</si>
  <si>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</si>
  <si>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</si>
  <si>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</si>
  <si>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</si>
  <si>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</si>
  <si>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</si>
  <si>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</si>
  <si>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</si>
  <si>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</si>
  <si>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</si>
  <si>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</si>
  <si>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</si>
  <si>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</si>
  <si>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</si>
  <si>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</si>
  <si>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</si>
  <si>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</si>
  <si>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</si>
  <si>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</si>
  <si>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</si>
  <si>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</si>
  <si>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</si>
  <si>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</si>
  <si>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</si>
  <si>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</si>
  <si>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</si>
  <si>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</si>
  <si>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</si>
  <si>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</si>
  <si>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</si>
  <si>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</si>
  <si>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</si>
  <si>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</si>
  <si>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</si>
  <si>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</si>
  <si>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</si>
  <si>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</si>
  <si>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</si>
  <si>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</si>
  <si>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</si>
  <si>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</si>
  <si>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</si>
  <si>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</si>
  <si>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</si>
  <si>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</si>
  <si>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</si>
  <si>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</si>
  <si>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</si>
  <si>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</si>
  <si>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</si>
  <si>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</si>
  <si>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</si>
  <si>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</si>
  <si>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</si>
  <si>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</si>
  <si>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</si>
  <si>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</si>
  <si>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</si>
  <si>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</si>
  <si>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</si>
  <si>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</si>
  <si>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</si>
  <si>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</si>
  <si>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</si>
  <si>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</si>
  <si>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</si>
  <si>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</si>
  <si>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</si>
  <si>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</si>
  <si>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</si>
  <si>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</si>
  <si>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</si>
  <si>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</si>
  <si>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</si>
  <si>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</si>
  <si>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</si>
  <si>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</si>
  <si>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</si>
  <si>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</si>
  <si>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</si>
  <si>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</si>
  <si>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</si>
  <si>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</si>
  <si>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</si>
  <si>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</si>
  <si>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</si>
  <si>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</si>
  <si>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</si>
  <si>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</si>
  <si>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</si>
  <si>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</si>
  <si>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</si>
  <si>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</si>
  <si>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</si>
  <si>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</si>
  <si>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</si>
  <si>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</si>
  <si>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</si>
  <si>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</si>
  <si>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</si>
  <si>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</si>
  <si>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</si>
  <si>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</si>
  <si>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</si>
  <si>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</si>
  <si>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</si>
  <si>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</si>
  <si>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</si>
  <si>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</si>
  <si>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</si>
  <si>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</si>
  <si>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</si>
  <si>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</si>
  <si>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</si>
  <si>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</si>
  <si>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</si>
  <si>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</si>
  <si>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</si>
  <si>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</si>
  <si>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</si>
  <si>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</si>
  <si>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</si>
  <si>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</si>
  <si>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</si>
  <si>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</si>
  <si>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</si>
  <si>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</si>
  <si>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</si>
  <si>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</si>
  <si>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</si>
  <si>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</si>
  <si>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</si>
  <si>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</si>
  <si>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</si>
  <si>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Oddělení centrální sterilizace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</si>
  <si>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</si>
  <si>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</si>
  <si>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</si>
  <si>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</si>
  <si>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</si>
  <si>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</si>
  <si>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paušál+TISS (LEK)</t>
  </si>
  <si>
    <t>50115     Zdravotnické prostředky</t>
  </si>
  <si>
    <t>50115067     ostatní ZPr - rukavice (sk.Z_532)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</si>
  <si>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</si>
  <si>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</si>
  <si>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</si>
  <si>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</si>
  <si>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</si>
  <si>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</si>
  <si>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</si>
  <si>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</si>
  <si>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</si>
  <si>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</si>
  <si>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50117022     všeob.mat. - kuchyň tech. (V33) od 1tis do 2999,99</t>
  </si>
  <si>
    <t>--</t>
  </si>
  <si>
    <t>50117024     všeob.mat. - ostatní-vyjímky (V44) od 0,01 do 999,99</t>
  </si>
  <si>
    <t>50118     Náhradní díly</t>
  </si>
  <si>
    <t>50118003     ND - ostatní techn.(dispečink)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</si>
  <si>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</si>
  <si>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</si>
  <si>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</si>
  <si>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</si>
  <si>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</si>
  <si>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</si>
  <si>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</si>
  <si>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</si>
  <si>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</si>
  <si>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</si>
  <si>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</si>
  <si>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</si>
  <si>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</si>
  <si>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</si>
  <si>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</si>
  <si>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</si>
  <si>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</si>
  <si>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</si>
  <si>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51203     Cestovné zaměstnanců-zahraniční</t>
  </si>
  <si>
    <t>51203000     cestovné zahraniční - mzdy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</si>
  <si>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</si>
  <si>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</si>
  <si>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</si>
  <si>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</si>
  <si>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</si>
  <si>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</si>
  <si>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</si>
  <si>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</si>
  <si>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</si>
  <si>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</si>
  <si>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</si>
  <si>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</si>
  <si>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51808018     smluvní servis - OHM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</si>
  <si>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</si>
  <si>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</si>
  <si>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</si>
  <si>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</si>
  <si>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</si>
  <si>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</si>
  <si>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</si>
  <si>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</si>
  <si>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</si>
  <si>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</si>
  <si>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</si>
  <si>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</si>
  <si>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</si>
  <si>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</si>
  <si>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</si>
  <si>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</si>
  <si>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</si>
  <si>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</si>
  <si>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54970     Předpis - KDF za služby</t>
  </si>
  <si>
    <t>54970000     předpis KDF - služby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</si>
  <si>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</si>
  <si>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</si>
  <si>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</si>
  <si>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</si>
  <si>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</si>
  <si>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</si>
  <si>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</si>
  <si>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</si>
  <si>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</si>
  <si>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</si>
  <si>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</si>
  <si>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</si>
  <si>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</si>
  <si>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</si>
  <si>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6     Účtová třída 6 - Výnosy</t>
  </si>
  <si>
    <t>64     Jiné provozní výnosy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</si>
  <si>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</si>
  <si>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</si>
  <si>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</si>
  <si>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</si>
  <si>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</si>
  <si>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</si>
  <si>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</si>
  <si>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</si>
  <si>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</si>
  <si>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</si>
  <si>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</si>
  <si>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</si>
  <si>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</si>
  <si>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</si>
  <si>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</si>
  <si>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</si>
  <si>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</si>
  <si>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</si>
  <si>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</si>
  <si>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</si>
  <si>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</si>
  <si>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</si>
  <si>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</si>
  <si>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</si>
  <si>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56</t>
  </si>
  <si>
    <t>Oddělení centrální sterilizace</t>
  </si>
  <si>
    <t/>
  </si>
  <si>
    <t>Oddělení centrální sterilizace Celkem</t>
  </si>
  <si>
    <t>SumaKL</t>
  </si>
  <si>
    <t>5693</t>
  </si>
  <si>
    <t>oddělení centrální sterilizace</t>
  </si>
  <si>
    <t>oddělení centrální sterilizace Celkem</t>
  </si>
  <si>
    <t>SumaNS</t>
  </si>
  <si>
    <t>mezeraNS</t>
  </si>
  <si>
    <t>5695</t>
  </si>
  <si>
    <t>OCS - detašované pracoviště Ortopedie</t>
  </si>
  <si>
    <t>OCS - detašované pracoviště Ortopedie Celkem</t>
  </si>
  <si>
    <t>5696</t>
  </si>
  <si>
    <t>OCS - detašované pracoviště  DK</t>
  </si>
  <si>
    <t>OCS - detašované pracoviště  DK Celkem</t>
  </si>
  <si>
    <t>50113001</t>
  </si>
  <si>
    <t>O</t>
  </si>
  <si>
    <t>900503</t>
  </si>
  <si>
    <t>KL AQUA PURIF. 1000G</t>
  </si>
  <si>
    <t>921575</t>
  </si>
  <si>
    <t>KL BENZINUM 900 ml KUL.,FAG</t>
  </si>
  <si>
    <t>930224</t>
  </si>
  <si>
    <t>KL BENZINUM 900 ml</t>
  </si>
  <si>
    <t>UN 3295</t>
  </si>
  <si>
    <t>920294</t>
  </si>
  <si>
    <t>KL SOL.FORMALDEHYDI 3% 1 KG</t>
  </si>
  <si>
    <t>Oddělení centrální sterilizace, oddělení centrální</t>
  </si>
  <si>
    <t>Oddělení centrální sterilizace, OCS - detašované p</t>
  </si>
  <si>
    <t>Lékárna - léčiva</t>
  </si>
  <si>
    <t>56 - Oddělení centrální sterilizace</t>
  </si>
  <si>
    <t>5693 - oddělení centrální sterilizace</t>
  </si>
  <si>
    <t>5695 - OCS - detašované pracoviště Ortopedie</t>
  </si>
  <si>
    <t>50115060     ostatní ZPr - mimo níže uvedené (sk.Z_503)</t>
  </si>
  <si>
    <t>ZL948</t>
  </si>
  <si>
    <t>Rukavice nitril promedica bez p. M bílé 6N á 100 ks 9399W3</t>
  </si>
  <si>
    <t>ZM292</t>
  </si>
  <si>
    <t>Rukavice nitril sempercare bez p. M bal. á 200 ks 30 803</t>
  </si>
  <si>
    <t>Rukavice nitril sempercare bez p. M bal. á 200 ks 30803</t>
  </si>
  <si>
    <t>50115067</t>
  </si>
  <si>
    <t>532 SZM Rukavice (112 02 108)</t>
  </si>
  <si>
    <t>OCS - detašované pracoviště DK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</si>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</sst>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2" formatCode="0.000"/>
    <numFmt numFmtId="174" formatCode="#,##0;\-#,##0;"/>
    <numFmt numFmtId="175" formatCode="General;\-General;"/>
    <numFmt numFmtId="176" formatCode="0%;\-0%;"/>
    <numFmt numFmtId="177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8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2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2" fontId="28" fillId="3" borderId="27" xfId="81" applyNumberFormat="1" applyFont="1" applyFill="1" applyBorder="1"/>
    <xf numFmtId="172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49" xfId="0" applyFont="1" applyFill="1" applyBorder="1" applyAlignment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7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4" fillId="4" borderId="33" xfId="1" applyFont="1" applyFill="1" applyBorder="1"/>
    <xf numFmtId="0" fontId="44" fillId="4" borderId="17" xfId="1" applyFont="1" applyFill="1" applyBorder="1"/>
    <xf numFmtId="0" fontId="44" fillId="3" borderId="18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5" fontId="31" fillId="2" borderId="24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7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3" xfId="0" applyNumberFormat="1" applyFont="1" applyFill="1" applyBorder="1"/>
    <xf numFmtId="3" fontId="39" fillId="2" borderId="44" xfId="0" applyNumberFormat="1" applyFont="1" applyFill="1" applyBorder="1"/>
    <xf numFmtId="9" fontId="39" fillId="2" borderId="48" xfId="0" applyNumberFormat="1" applyFont="1" applyFill="1" applyBorder="1"/>
    <xf numFmtId="0" fontId="48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5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4" fillId="2" borderId="34" xfId="1" applyFont="1" applyFill="1" applyBorder="1" applyAlignment="1">
      <alignment horizontal="left" indent="4"/>
    </xf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4" fillId="2" borderId="34" xfId="1" applyFont="1" applyFill="1" applyBorder="1" applyAlignment="1">
      <alignment horizontal="left" indent="2"/>
    </xf>
    <xf numFmtId="0" fontId="48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8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8" fillId="4" borderId="45" xfId="1" applyFont="1" applyFill="1" applyBorder="1" applyAlignment="1">
      <alignment horizontal="left"/>
    </xf>
    <xf numFmtId="0" fontId="48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1" applyFont="1" applyFill="1"/>
    <xf numFmtId="0" fontId="49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3" fontId="0" fillId="7" borderId="52" xfId="0" applyNumberFormat="1" applyFont="1" applyFill="1" applyBorder="1"/>
    <xf numFmtId="3" fontId="51" fillId="8" borderId="53" xfId="0" applyNumberFormat="1" applyFont="1" applyFill="1" applyBorder="1"/>
    <xf numFmtId="3" fontId="51" fillId="8" borderId="52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6" xfId="0" applyNumberFormat="1" applyFont="1" applyFill="1" applyBorder="1" applyAlignment="1">
      <alignment horizontal="center" vertical="center"/>
    </xf>
    <xf numFmtId="0" fontId="39" fillId="2" borderId="57" xfId="0" applyFont="1" applyFill="1" applyBorder="1" applyAlignment="1">
      <alignment horizontal="center" vertical="center"/>
    </xf>
    <xf numFmtId="3" fontId="53" fillId="2" borderId="59" xfId="0" applyNumberFormat="1" applyFont="1" applyFill="1" applyBorder="1" applyAlignment="1">
      <alignment horizontal="center" vertical="center" wrapText="1"/>
    </xf>
    <xf numFmtId="0" fontId="53" fillId="2" borderId="60" xfId="0" applyFont="1" applyFill="1" applyBorder="1" applyAlignment="1">
      <alignment horizontal="center" vertical="center" wrapText="1"/>
    </xf>
    <xf numFmtId="0" fontId="39" fillId="2" borderId="62" xfId="0" applyFont="1" applyFill="1" applyBorder="1" applyAlignment="1"/>
    <xf numFmtId="0" fontId="39" fillId="2" borderId="64" xfId="0" applyFont="1" applyFill="1" applyBorder="1" applyAlignment="1">
      <alignment horizontal="left" indent="1"/>
    </xf>
    <xf numFmtId="0" fontId="39" fillId="2" borderId="70" xfId="0" applyFont="1" applyFill="1" applyBorder="1" applyAlignment="1">
      <alignment horizontal="left" indent="1"/>
    </xf>
    <xf numFmtId="0" fontId="39" fillId="4" borderId="62" xfId="0" applyFont="1" applyFill="1" applyBorder="1" applyAlignment="1"/>
    <xf numFmtId="0" fontId="39" fillId="4" borderId="64" xfId="0" applyFont="1" applyFill="1" applyBorder="1" applyAlignment="1">
      <alignment horizontal="left" indent="1"/>
    </xf>
    <xf numFmtId="0" fontId="39" fillId="4" borderId="75" xfId="0" applyFont="1" applyFill="1" applyBorder="1" applyAlignment="1">
      <alignment horizontal="left" indent="1"/>
    </xf>
    <xf numFmtId="0" fontId="32" fillId="2" borderId="64" xfId="0" quotePrefix="1" applyFont="1" applyFill="1" applyBorder="1" applyAlignment="1">
      <alignment horizontal="left" indent="2"/>
    </xf>
    <xf numFmtId="0" fontId="32" fillId="2" borderId="70" xfId="0" quotePrefix="1" applyFont="1" applyFill="1" applyBorder="1" applyAlignment="1">
      <alignment horizontal="left" indent="2"/>
    </xf>
    <xf numFmtId="0" fontId="39" fillId="2" borderId="62" xfId="0" applyFont="1" applyFill="1" applyBorder="1" applyAlignment="1">
      <alignment horizontal="left" indent="1"/>
    </xf>
    <xf numFmtId="0" fontId="39" fillId="2" borderId="75" xfId="0" applyFont="1" applyFill="1" applyBorder="1" applyAlignment="1">
      <alignment horizontal="left" indent="1"/>
    </xf>
    <xf numFmtId="0" fontId="39" fillId="4" borderId="70" xfId="0" applyFont="1" applyFill="1" applyBorder="1" applyAlignment="1">
      <alignment horizontal="left" indent="1"/>
    </xf>
    <xf numFmtId="0" fontId="32" fillId="0" borderId="80" xfId="0" applyFont="1" applyBorder="1"/>
    <xf numFmtId="3" fontId="32" fillId="0" borderId="80" xfId="0" applyNumberFormat="1" applyFont="1" applyBorder="1"/>
    <xf numFmtId="0" fontId="39" fillId="4" borderId="54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9" xfId="0" applyNumberFormat="1" applyFont="1" applyFill="1" applyBorder="1" applyAlignment="1">
      <alignment horizontal="center" vertical="center"/>
    </xf>
    <xf numFmtId="3" fontId="53" fillId="2" borderId="77" xfId="0" applyNumberFormat="1" applyFont="1" applyFill="1" applyBorder="1" applyAlignment="1">
      <alignment horizontal="center" vertical="center" wrapText="1"/>
    </xf>
    <xf numFmtId="174" fontId="39" fillId="4" borderId="63" xfId="0" applyNumberFormat="1" applyFont="1" applyFill="1" applyBorder="1" applyAlignment="1"/>
    <xf numFmtId="174" fontId="39" fillId="4" borderId="56" xfId="0" applyNumberFormat="1" applyFont="1" applyFill="1" applyBorder="1" applyAlignment="1"/>
    <xf numFmtId="174" fontId="39" fillId="4" borderId="57" xfId="0" applyNumberFormat="1" applyFont="1" applyFill="1" applyBorder="1" applyAlignment="1"/>
    <xf numFmtId="174" fontId="39" fillId="0" borderId="65" xfId="0" applyNumberFormat="1" applyFont="1" applyBorder="1"/>
    <xf numFmtId="174" fontId="32" fillId="0" borderId="69" xfId="0" applyNumberFormat="1" applyFont="1" applyBorder="1"/>
    <xf numFmtId="174" fontId="32" fillId="0" borderId="67" xfId="0" applyNumberFormat="1" applyFont="1" applyBorder="1"/>
    <xf numFmtId="174" fontId="39" fillId="0" borderId="76" xfId="0" applyNumberFormat="1" applyFont="1" applyBorder="1"/>
    <xf numFmtId="174" fontId="32" fillId="0" borderId="77" xfId="0" applyNumberFormat="1" applyFont="1" applyBorder="1"/>
    <xf numFmtId="174" fontId="32" fillId="0" borderId="60" xfId="0" applyNumberFormat="1" applyFont="1" applyBorder="1"/>
    <xf numFmtId="174" fontId="39" fillId="2" borderId="78" xfId="0" applyNumberFormat="1" applyFont="1" applyFill="1" applyBorder="1" applyAlignment="1"/>
    <xf numFmtId="174" fontId="39" fillId="2" borderId="56" xfId="0" applyNumberFormat="1" applyFont="1" applyFill="1" applyBorder="1" applyAlignment="1"/>
    <xf numFmtId="174" fontId="39" fillId="2" borderId="57" xfId="0" applyNumberFormat="1" applyFont="1" applyFill="1" applyBorder="1" applyAlignment="1"/>
    <xf numFmtId="174" fontId="39" fillId="0" borderId="71" xfId="0" applyNumberFormat="1" applyFont="1" applyBorder="1"/>
    <xf numFmtId="174" fontId="32" fillId="0" borderId="72" xfId="0" applyNumberFormat="1" applyFont="1" applyBorder="1"/>
    <xf numFmtId="174" fontId="32" fillId="0" borderId="73" xfId="0" applyNumberFormat="1" applyFont="1" applyBorder="1"/>
    <xf numFmtId="174" fontId="39" fillId="0" borderId="63" xfId="0" applyNumberFormat="1" applyFont="1" applyBorder="1"/>
    <xf numFmtId="174" fontId="32" fillId="0" borderId="79" xfId="0" applyNumberFormat="1" applyFont="1" applyBorder="1"/>
    <xf numFmtId="174" fontId="32" fillId="0" borderId="57" xfId="0" applyNumberFormat="1" applyFont="1" applyBorder="1"/>
    <xf numFmtId="175" fontId="39" fillId="2" borderId="63" xfId="0" applyNumberFormat="1" applyFont="1" applyFill="1" applyBorder="1" applyAlignment="1"/>
    <xf numFmtId="175" fontId="32" fillId="2" borderId="56" xfId="0" applyNumberFormat="1" applyFont="1" applyFill="1" applyBorder="1" applyAlignment="1"/>
    <xf numFmtId="175" fontId="32" fillId="2" borderId="57" xfId="0" applyNumberFormat="1" applyFont="1" applyFill="1" applyBorder="1" applyAlignment="1"/>
    <xf numFmtId="175" fontId="39" fillId="0" borderId="65" xfId="0" applyNumberFormat="1" applyFont="1" applyBorder="1"/>
    <xf numFmtId="175" fontId="32" fillId="0" borderId="66" xfId="0" applyNumberFormat="1" applyFont="1" applyBorder="1"/>
    <xf numFmtId="175" fontId="32" fillId="0" borderId="67" xfId="0" applyNumberFormat="1" applyFont="1" applyBorder="1"/>
    <xf numFmtId="175" fontId="32" fillId="0" borderId="69" xfId="0" applyNumberFormat="1" applyFont="1" applyBorder="1"/>
    <xf numFmtId="175" fontId="39" fillId="0" borderId="71" xfId="0" applyNumberFormat="1" applyFont="1" applyBorder="1"/>
    <xf numFmtId="175" fontId="32" fillId="0" borderId="72" xfId="0" applyNumberFormat="1" applyFont="1" applyBorder="1"/>
    <xf numFmtId="175" fontId="32" fillId="0" borderId="73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4" fontId="39" fillId="4" borderId="63" xfId="0" applyNumberFormat="1" applyFont="1" applyFill="1" applyBorder="1" applyAlignment="1">
      <alignment horizontal="center"/>
    </xf>
    <xf numFmtId="176" fontId="39" fillId="0" borderId="71" xfId="0" applyNumberFormat="1" applyFont="1" applyBorder="1"/>
    <xf numFmtId="0" fontId="31" fillId="2" borderId="87" xfId="74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59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68" xfId="0" applyFont="1" applyFill="1" applyBorder="1"/>
    <xf numFmtId="0" fontId="32" fillId="0" borderId="69" xfId="0" applyFont="1" applyBorder="1" applyAlignment="1"/>
    <xf numFmtId="9" fontId="32" fillId="0" borderId="6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9" fillId="0" borderId="65" xfId="0" applyNumberFormat="1" applyFont="1" applyBorder="1"/>
    <xf numFmtId="9" fontId="32" fillId="0" borderId="69" xfId="0" applyNumberFormat="1" applyFont="1" applyBorder="1"/>
    <xf numFmtId="9" fontId="32" fillId="0" borderId="67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1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7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31" fillId="2" borderId="24" xfId="53" applyNumberFormat="1" applyFont="1" applyFill="1" applyBorder="1" applyAlignment="1">
      <alignment horizontal="right"/>
    </xf>
    <xf numFmtId="165" fontId="29" fillId="2" borderId="29" xfId="79" applyNumberFormat="1" applyFont="1" applyFill="1" applyBorder="1" applyAlignment="1">
      <alignment horizontal="right"/>
    </xf>
    <xf numFmtId="165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8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7" fontId="39" fillId="2" borderId="5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91" xfId="0" applyNumberFormat="1" applyFont="1" applyFill="1" applyBorder="1" applyAlignment="1">
      <alignment horizontal="right" vertical="top"/>
    </xf>
    <xf numFmtId="3" fontId="33" fillId="9" borderId="92" xfId="0" applyNumberFormat="1" applyFont="1" applyFill="1" applyBorder="1" applyAlignment="1">
      <alignment horizontal="right" vertical="top"/>
    </xf>
    <xf numFmtId="177" fontId="33" fillId="9" borderId="93" xfId="0" applyNumberFormat="1" applyFont="1" applyFill="1" applyBorder="1" applyAlignment="1">
      <alignment horizontal="right" vertical="top"/>
    </xf>
    <xf numFmtId="3" fontId="33" fillId="0" borderId="91" xfId="0" applyNumberFormat="1" applyFont="1" applyBorder="1" applyAlignment="1">
      <alignment horizontal="right" vertical="top"/>
    </xf>
    <xf numFmtId="177" fontId="33" fillId="9" borderId="94" xfId="0" applyNumberFormat="1" applyFont="1" applyFill="1" applyBorder="1" applyAlignment="1">
      <alignment horizontal="right" vertical="top"/>
    </xf>
    <xf numFmtId="3" fontId="35" fillId="9" borderId="96" xfId="0" applyNumberFormat="1" applyFont="1" applyFill="1" applyBorder="1" applyAlignment="1">
      <alignment horizontal="right" vertical="top"/>
    </xf>
    <xf numFmtId="3" fontId="35" fillId="9" borderId="97" xfId="0" applyNumberFormat="1" applyFont="1" applyFill="1" applyBorder="1" applyAlignment="1">
      <alignment horizontal="right" vertical="top"/>
    </xf>
    <xf numFmtId="177" fontId="35" fillId="9" borderId="98" xfId="0" applyNumberFormat="1" applyFont="1" applyFill="1" applyBorder="1" applyAlignment="1">
      <alignment horizontal="right" vertical="top"/>
    </xf>
    <xf numFmtId="3" fontId="35" fillId="0" borderId="96" xfId="0" applyNumberFormat="1" applyFont="1" applyBorder="1" applyAlignment="1">
      <alignment horizontal="right" vertical="top"/>
    </xf>
    <xf numFmtId="177" fontId="35" fillId="9" borderId="99" xfId="0" applyNumberFormat="1" applyFont="1" applyFill="1" applyBorder="1" applyAlignment="1">
      <alignment horizontal="right" vertical="top"/>
    </xf>
    <xf numFmtId="0" fontId="33" fillId="9" borderId="93" xfId="0" applyFont="1" applyFill="1" applyBorder="1" applyAlignment="1">
      <alignment horizontal="right" vertical="top"/>
    </xf>
    <xf numFmtId="0" fontId="33" fillId="9" borderId="94" xfId="0" applyFont="1" applyFill="1" applyBorder="1" applyAlignment="1">
      <alignment horizontal="right" vertical="top"/>
    </xf>
    <xf numFmtId="0" fontId="35" fillId="9" borderId="98" xfId="0" applyFont="1" applyFill="1" applyBorder="1" applyAlignment="1">
      <alignment horizontal="right" vertical="top"/>
    </xf>
    <xf numFmtId="0" fontId="35" fillId="9" borderId="99" xfId="0" applyFont="1" applyFill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177" fontId="35" fillId="9" borderId="103" xfId="0" applyNumberFormat="1" applyFont="1" applyFill="1" applyBorder="1" applyAlignment="1">
      <alignment horizontal="right" vertical="top"/>
    </xf>
    <xf numFmtId="0" fontId="37" fillId="10" borderId="90" xfId="0" applyFont="1" applyFill="1" applyBorder="1" applyAlignment="1">
      <alignment vertical="top"/>
    </xf>
    <xf numFmtId="0" fontId="37" fillId="10" borderId="90" xfId="0" applyFont="1" applyFill="1" applyBorder="1" applyAlignment="1">
      <alignment vertical="top" indent="2"/>
    </xf>
    <xf numFmtId="0" fontId="37" fillId="10" borderId="90" xfId="0" applyFont="1" applyFill="1" applyBorder="1" applyAlignment="1">
      <alignment vertical="top" indent="4"/>
    </xf>
    <xf numFmtId="0" fontId="38" fillId="10" borderId="95" xfId="0" applyFont="1" applyFill="1" applyBorder="1" applyAlignment="1">
      <alignment vertical="top" indent="6"/>
    </xf>
    <xf numFmtId="0" fontId="37" fillId="10" borderId="90" xfId="0" applyFont="1" applyFill="1" applyBorder="1" applyAlignment="1">
      <alignment vertical="top" indent="8"/>
    </xf>
    <xf numFmtId="0" fontId="38" fillId="10" borderId="95" xfId="0" applyFont="1" applyFill="1" applyBorder="1" applyAlignment="1">
      <alignment vertical="top" indent="2"/>
    </xf>
    <xf numFmtId="0" fontId="37" fillId="10" borderId="90" xfId="0" applyFont="1" applyFill="1" applyBorder="1" applyAlignment="1">
      <alignment vertical="top" indent="6"/>
    </xf>
    <xf numFmtId="0" fontId="38" fillId="10" borderId="95" xfId="0" applyFont="1" applyFill="1" applyBorder="1" applyAlignment="1">
      <alignment vertical="top" indent="4"/>
    </xf>
    <xf numFmtId="0" fontId="32" fillId="10" borderId="9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5" fontId="31" fillId="2" borderId="104" xfId="53" applyNumberFormat="1" applyFont="1" applyFill="1" applyBorder="1" applyAlignment="1">
      <alignment horizontal="left"/>
    </xf>
    <xf numFmtId="165" fontId="31" fillId="2" borderId="105" xfId="53" applyNumberFormat="1" applyFont="1" applyFill="1" applyBorder="1" applyAlignment="1">
      <alignment horizontal="left"/>
    </xf>
    <xf numFmtId="165" fontId="31" fillId="2" borderId="46" xfId="53" applyNumberFormat="1" applyFont="1" applyFill="1" applyBorder="1" applyAlignment="1">
      <alignment horizontal="left"/>
    </xf>
    <xf numFmtId="3" fontId="31" fillId="2" borderId="46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0" fontId="32" fillId="0" borderId="56" xfId="0" applyFont="1" applyFill="1" applyBorder="1"/>
    <xf numFmtId="0" fontId="32" fillId="0" borderId="57" xfId="0" applyFont="1" applyFill="1" applyBorder="1"/>
    <xf numFmtId="165" fontId="32" fillId="0" borderId="57" xfId="0" applyNumberFormat="1" applyFont="1" applyFill="1" applyBorder="1"/>
    <xf numFmtId="165" fontId="32" fillId="0" borderId="57" xfId="0" applyNumberFormat="1" applyFont="1" applyFill="1" applyBorder="1" applyAlignment="1">
      <alignment horizontal="right"/>
    </xf>
    <xf numFmtId="3" fontId="32" fillId="0" borderId="57" xfId="0" applyNumberFormat="1" applyFont="1" applyFill="1" applyBorder="1"/>
    <xf numFmtId="3" fontId="32" fillId="0" borderId="58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5" fontId="32" fillId="0" borderId="67" xfId="0" applyNumberFormat="1" applyFont="1" applyFill="1" applyBorder="1"/>
    <xf numFmtId="165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59" xfId="0" applyFont="1" applyFill="1" applyBorder="1"/>
    <xf numFmtId="0" fontId="32" fillId="0" borderId="60" xfId="0" applyFont="1" applyFill="1" applyBorder="1"/>
    <xf numFmtId="165" fontId="32" fillId="0" borderId="60" xfId="0" applyNumberFormat="1" applyFont="1" applyFill="1" applyBorder="1"/>
    <xf numFmtId="165" fontId="32" fillId="0" borderId="60" xfId="0" applyNumberFormat="1" applyFont="1" applyFill="1" applyBorder="1" applyAlignment="1">
      <alignment horizontal="right"/>
    </xf>
    <xf numFmtId="3" fontId="32" fillId="0" borderId="60" xfId="0" applyNumberFormat="1" applyFont="1" applyFill="1" applyBorder="1"/>
    <xf numFmtId="3" fontId="32" fillId="0" borderId="61" xfId="0" applyNumberFormat="1" applyFont="1" applyFill="1" applyBorder="1"/>
    <xf numFmtId="0" fontId="3" fillId="2" borderId="104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72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57" xfId="0" applyNumberFormat="1" applyFont="1" applyFill="1" applyBorder="1"/>
    <xf numFmtId="9" fontId="32" fillId="0" borderId="58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9" fontId="32" fillId="0" borderId="60" xfId="0" applyNumberFormat="1" applyFont="1" applyFill="1" applyBorder="1"/>
    <xf numFmtId="9" fontId="32" fillId="0" borderId="61" xfId="0" applyNumberFormat="1" applyFont="1" applyFill="1" applyBorder="1"/>
    <xf numFmtId="0" fontId="39" fillId="0" borderId="87" xfId="0" applyFont="1" applyFill="1" applyBorder="1"/>
    <xf numFmtId="0" fontId="39" fillId="0" borderId="85" xfId="0" applyFont="1" applyFill="1" applyBorder="1" applyAlignment="1">
      <alignment horizontal="left" indent="1"/>
    </xf>
    <xf numFmtId="0" fontId="39" fillId="0" borderId="86" xfId="0" applyFont="1" applyFill="1" applyBorder="1" applyAlignment="1">
      <alignment horizontal="left" indent="1"/>
    </xf>
    <xf numFmtId="9" fontId="32" fillId="0" borderId="79" xfId="0" applyNumberFormat="1" applyFont="1" applyFill="1" applyBorder="1"/>
    <xf numFmtId="9" fontId="32" fillId="0" borderId="69" xfId="0" applyNumberFormat="1" applyFont="1" applyFill="1" applyBorder="1"/>
    <xf numFmtId="9" fontId="32" fillId="0" borderId="77" xfId="0" applyNumberFormat="1" applyFont="1" applyFill="1" applyBorder="1"/>
    <xf numFmtId="3" fontId="32" fillId="0" borderId="56" xfId="0" applyNumberFormat="1" applyFont="1" applyFill="1" applyBorder="1"/>
    <xf numFmtId="3" fontId="32" fillId="0" borderId="66" xfId="0" applyNumberFormat="1" applyFont="1" applyFill="1" applyBorder="1"/>
    <xf numFmtId="3" fontId="32" fillId="0" borderId="59" xfId="0" applyNumberFormat="1" applyFont="1" applyFill="1" applyBorder="1"/>
    <xf numFmtId="9" fontId="32" fillId="0" borderId="83" xfId="0" applyNumberFormat="1" applyFont="1" applyFill="1" applyBorder="1"/>
    <xf numFmtId="9" fontId="32" fillId="0" borderId="81" xfId="0" applyNumberFormat="1" applyFont="1" applyFill="1" applyBorder="1"/>
    <xf numFmtId="9" fontId="32" fillId="0" borderId="82" xfId="0" applyNumberFormat="1" applyFont="1" applyFill="1" applyBorder="1"/>
    <xf numFmtId="174" fontId="39" fillId="4" borderId="106" xfId="0" applyNumberFormat="1" applyFont="1" applyFill="1" applyBorder="1" applyAlignment="1">
      <alignment horizontal="center"/>
    </xf>
    <xf numFmtId="174" fontId="39" fillId="4" borderId="107" xfId="0" applyNumberFormat="1" applyFont="1" applyFill="1" applyBorder="1" applyAlignment="1">
      <alignment horizontal="center"/>
    </xf>
    <xf numFmtId="174" fontId="32" fillId="0" borderId="108" xfId="0" applyNumberFormat="1" applyFont="1" applyBorder="1" applyAlignment="1">
      <alignment horizontal="right"/>
    </xf>
    <xf numFmtId="174" fontId="32" fillId="0" borderId="109" xfId="0" applyNumberFormat="1" applyFont="1" applyBorder="1" applyAlignment="1">
      <alignment horizontal="right"/>
    </xf>
    <xf numFmtId="174" fontId="32" fillId="0" borderId="109" xfId="0" applyNumberFormat="1" applyFont="1" applyBorder="1" applyAlignment="1">
      <alignment horizontal="right" wrapText="1"/>
    </xf>
    <xf numFmtId="176" fontId="32" fillId="0" borderId="108" xfId="0" applyNumberFormat="1" applyFont="1" applyBorder="1" applyAlignment="1">
      <alignment horizontal="right"/>
    </xf>
    <xf numFmtId="176" fontId="32" fillId="0" borderId="109" xfId="0" applyNumberFormat="1" applyFont="1" applyBorder="1" applyAlignment="1">
      <alignment horizontal="right"/>
    </xf>
    <xf numFmtId="174" fontId="32" fillId="0" borderId="110" xfId="0" applyNumberFormat="1" applyFont="1" applyBorder="1" applyAlignment="1">
      <alignment horizontal="right"/>
    </xf>
    <xf numFmtId="174" fontId="32" fillId="0" borderId="111" xfId="0" applyNumberFormat="1" applyFont="1" applyBorder="1" applyAlignment="1">
      <alignment horizontal="right"/>
    </xf>
    <xf numFmtId="0" fontId="39" fillId="2" borderId="83" xfId="0" applyFont="1" applyFill="1" applyBorder="1" applyAlignment="1">
      <alignment horizontal="center" vertical="center"/>
    </xf>
    <xf numFmtId="0" fontId="53" fillId="2" borderId="82" xfId="0" applyFont="1" applyFill="1" applyBorder="1" applyAlignment="1">
      <alignment horizontal="center" vertical="center" wrapText="1"/>
    </xf>
    <xf numFmtId="175" fontId="32" fillId="2" borderId="83" xfId="0" applyNumberFormat="1" applyFont="1" applyFill="1" applyBorder="1" applyAlignment="1"/>
    <xf numFmtId="175" fontId="32" fillId="0" borderId="81" xfId="0" applyNumberFormat="1" applyFont="1" applyBorder="1"/>
    <xf numFmtId="175" fontId="32" fillId="0" borderId="112" xfId="0" applyNumberFormat="1" applyFont="1" applyBorder="1"/>
    <xf numFmtId="174" fontId="39" fillId="4" borderId="83" xfId="0" applyNumberFormat="1" applyFont="1" applyFill="1" applyBorder="1" applyAlignment="1"/>
    <xf numFmtId="174" fontId="32" fillId="0" borderId="81" xfId="0" applyNumberFormat="1" applyFont="1" applyBorder="1"/>
    <xf numFmtId="174" fontId="32" fillId="0" borderId="82" xfId="0" applyNumberFormat="1" applyFont="1" applyBorder="1"/>
    <xf numFmtId="174" fontId="39" fillId="2" borderId="83" xfId="0" applyNumberFormat="1" applyFont="1" applyFill="1" applyBorder="1" applyAlignment="1"/>
    <xf numFmtId="174" fontId="32" fillId="0" borderId="112" xfId="0" applyNumberFormat="1" applyFont="1" applyBorder="1"/>
    <xf numFmtId="174" fontId="32" fillId="0" borderId="83" xfId="0" applyNumberFormat="1" applyFont="1" applyBorder="1"/>
    <xf numFmtId="9" fontId="32" fillId="0" borderId="81" xfId="0" applyNumberFormat="1" applyFont="1" applyBorder="1"/>
    <xf numFmtId="174" fontId="39" fillId="4" borderId="113" xfId="0" applyNumberFormat="1" applyFont="1" applyFill="1" applyBorder="1" applyAlignment="1">
      <alignment horizontal="center"/>
    </xf>
    <xf numFmtId="174" fontId="32" fillId="0" borderId="114" xfId="0" applyNumberFormat="1" applyFont="1" applyBorder="1" applyAlignment="1">
      <alignment horizontal="right"/>
    </xf>
    <xf numFmtId="176" fontId="32" fillId="0" borderId="114" xfId="0" applyNumberFormat="1" applyFont="1" applyBorder="1" applyAlignment="1">
      <alignment horizontal="right"/>
    </xf>
    <xf numFmtId="174" fontId="32" fillId="0" borderId="115" xfId="0" applyNumberFormat="1" applyFont="1" applyBorder="1" applyAlignment="1">
      <alignment horizontal="right"/>
    </xf>
    <xf numFmtId="0" fontId="0" fillId="0" borderId="15" xfId="0" applyBorder="1"/>
    <xf numFmtId="174" fontId="39" fillId="4" borderId="62" xfId="0" applyNumberFormat="1" applyFont="1" applyFill="1" applyBorder="1" applyAlignment="1">
      <alignment horizontal="center"/>
    </xf>
    <xf numFmtId="174" fontId="32" fillId="0" borderId="64" xfId="0" applyNumberFormat="1" applyFont="1" applyBorder="1" applyAlignment="1">
      <alignment horizontal="right"/>
    </xf>
    <xf numFmtId="176" fontId="32" fillId="0" borderId="64" xfId="0" applyNumberFormat="1" applyFont="1" applyBorder="1" applyAlignment="1">
      <alignment horizontal="right"/>
    </xf>
    <xf numFmtId="174" fontId="32" fillId="0" borderId="75" xfId="0" applyNumberFormat="1" applyFont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0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61" t="s">
        <v>63</v>
      </c>
      <c r="B1" s="261"/>
    </row>
    <row r="2" spans="1:3" ht="14.4" customHeight="1" thickBot="1" x14ac:dyDescent="0.35">
      <c r="A2" s="175" t="s">
        <v>205</v>
      </c>
      <c r="B2" s="41"/>
    </row>
    <row r="3" spans="1:3" ht="14.4" customHeight="1" thickBot="1" x14ac:dyDescent="0.35">
      <c r="A3" s="257" t="s">
        <v>79</v>
      </c>
      <c r="B3" s="258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10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1" t="str">
        <f t="shared" si="0"/>
        <v>Man Tab</v>
      </c>
      <c r="B6" s="63" t="s">
        <v>207</v>
      </c>
      <c r="C6" s="42" t="s">
        <v>67</v>
      </c>
    </row>
    <row r="7" spans="1:3" ht="14.4" customHeight="1" thickBot="1" x14ac:dyDescent="0.35">
      <c r="A7" s="112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59" t="s">
        <v>64</v>
      </c>
      <c r="B9" s="258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1" t="str">
        <f t="shared" ref="A11:A15" si="2">HYPERLINK("#'"&amp;C11&amp;"'!A1",C11)</f>
        <v>LŽ Detail</v>
      </c>
      <c r="B11" s="63" t="s">
        <v>94</v>
      </c>
      <c r="C11" s="42" t="s">
        <v>69</v>
      </c>
    </row>
    <row r="12" spans="1:3" ht="14.4" customHeight="1" x14ac:dyDescent="0.3">
      <c r="A12" s="111" t="str">
        <f t="shared" si="2"/>
        <v>LŽ Statim</v>
      </c>
      <c r="B12" s="249" t="s">
        <v>193</v>
      </c>
      <c r="C12" s="42" t="s">
        <v>203</v>
      </c>
    </row>
    <row r="13" spans="1:3" ht="14.4" customHeight="1" x14ac:dyDescent="0.3">
      <c r="A13" s="113" t="str">
        <f t="shared" ref="A13" si="3">HYPERLINK("#'"&amp;C13&amp;"'!A1",C13)</f>
        <v>Materiál Žádanky</v>
      </c>
      <c r="B13" s="63" t="s">
        <v>78</v>
      </c>
      <c r="C13" s="42" t="s">
        <v>70</v>
      </c>
    </row>
    <row r="14" spans="1:3" ht="14.4" customHeight="1" x14ac:dyDescent="0.3">
      <c r="A14" s="111" t="str">
        <f t="shared" si="2"/>
        <v>MŽ Detail</v>
      </c>
      <c r="B14" s="63" t="s">
        <v>365</v>
      </c>
      <c r="C14" s="42" t="s">
        <v>71</v>
      </c>
    </row>
    <row r="15" spans="1:3" ht="14.4" customHeight="1" thickBot="1" x14ac:dyDescent="0.35">
      <c r="A15" s="113" t="str">
        <f t="shared" si="2"/>
        <v>Osobní náklady</v>
      </c>
      <c r="B15" s="63" t="s">
        <v>61</v>
      </c>
      <c r="C15" s="42" t="s">
        <v>72</v>
      </c>
    </row>
    <row r="16" spans="1:3" ht="14.4" customHeight="1" thickBot="1" x14ac:dyDescent="0.35">
      <c r="A16" s="66"/>
      <c r="B16" s="66"/>
    </row>
    <row r="17" spans="1:2" ht="14.4" customHeight="1" thickBot="1" x14ac:dyDescent="0.35">
      <c r="A17" s="260" t="s">
        <v>65</v>
      </c>
      <c r="B17" s="258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5" bestFit="1" customWidth="1" collapsed="1"/>
    <col min="4" max="4" width="18.77734375" style="169" customWidth="1"/>
    <col min="5" max="5" width="9" style="165" bestFit="1" customWidth="1"/>
    <col min="6" max="6" width="18.77734375" style="169" customWidth="1"/>
    <col min="7" max="7" width="12.44140625" style="165" hidden="1" customWidth="1" outlineLevel="1"/>
    <col min="8" max="8" width="25.77734375" style="165" customWidth="1" collapsed="1"/>
    <col min="9" max="9" width="7.77734375" style="163" customWidth="1"/>
    <col min="10" max="10" width="10" style="163" customWidth="1"/>
    <col min="11" max="11" width="11.109375" style="163" customWidth="1"/>
    <col min="12" max="16384" width="8.88671875" style="96"/>
  </cols>
  <sheetData>
    <row r="1" spans="1:11" ht="18.600000000000001" customHeight="1" thickBot="1" x14ac:dyDescent="0.4">
      <c r="A1" s="297" t="s">
        <v>365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1" ht="14.4" customHeight="1" thickBot="1" x14ac:dyDescent="0.35">
      <c r="A2" s="175" t="s">
        <v>205</v>
      </c>
      <c r="B2" s="57"/>
      <c r="C2" s="167"/>
      <c r="D2" s="167"/>
      <c r="E2" s="167"/>
      <c r="F2" s="167"/>
      <c r="G2" s="167"/>
      <c r="H2" s="167"/>
      <c r="I2" s="168"/>
      <c r="J2" s="168"/>
      <c r="K2" s="168"/>
    </row>
    <row r="3" spans="1:11" ht="14.4" customHeight="1" thickBot="1" x14ac:dyDescent="0.35">
      <c r="A3" s="57"/>
      <c r="B3" s="57"/>
      <c r="C3" s="293"/>
      <c r="D3" s="294"/>
      <c r="E3" s="294"/>
      <c r="F3" s="294"/>
      <c r="G3" s="294"/>
      <c r="H3" s="108" t="s">
        <v>75</v>
      </c>
      <c r="I3" s="71">
        <f>IF(J3&lt;&gt;0,K3/J3,0)</f>
        <v>0.73877551020408161</v>
      </c>
      <c r="J3" s="71">
        <f>SUBTOTAL(9,J5:J1048576)</f>
        <v>9800</v>
      </c>
      <c r="K3" s="72">
        <f>SUBTOTAL(9,K5:K1048576)</f>
        <v>7240</v>
      </c>
    </row>
    <row r="4" spans="1:11" s="164" customFormat="1" ht="14.4" customHeight="1" thickBot="1" x14ac:dyDescent="0.35">
      <c r="A4" s="341" t="s">
        <v>3</v>
      </c>
      <c r="B4" s="342" t="s">
        <v>4</v>
      </c>
      <c r="C4" s="342" t="s">
        <v>0</v>
      </c>
      <c r="D4" s="342" t="s">
        <v>5</v>
      </c>
      <c r="E4" s="342" t="s">
        <v>6</v>
      </c>
      <c r="F4" s="342" t="s">
        <v>1</v>
      </c>
      <c r="G4" s="342" t="s">
        <v>54</v>
      </c>
      <c r="H4" s="343" t="s">
        <v>10</v>
      </c>
      <c r="I4" s="344" t="s">
        <v>81</v>
      </c>
      <c r="J4" s="344" t="s">
        <v>12</v>
      </c>
      <c r="K4" s="345" t="s">
        <v>89</v>
      </c>
    </row>
    <row r="5" spans="1:11" ht="14.4" customHeight="1" x14ac:dyDescent="0.3">
      <c r="A5" s="346" t="s">
        <v>323</v>
      </c>
      <c r="B5" s="347" t="s">
        <v>324</v>
      </c>
      <c r="C5" s="348" t="s">
        <v>328</v>
      </c>
      <c r="D5" s="349" t="s">
        <v>350</v>
      </c>
      <c r="E5" s="348" t="s">
        <v>362</v>
      </c>
      <c r="F5" s="349" t="s">
        <v>363</v>
      </c>
      <c r="G5" s="348" t="s">
        <v>357</v>
      </c>
      <c r="H5" s="348" t="s">
        <v>358</v>
      </c>
      <c r="I5" s="350">
        <v>0.77200000000000002</v>
      </c>
      <c r="J5" s="350">
        <v>4600</v>
      </c>
      <c r="K5" s="351">
        <v>3548</v>
      </c>
    </row>
    <row r="6" spans="1:11" ht="14.4" customHeight="1" x14ac:dyDescent="0.3">
      <c r="A6" s="352" t="s">
        <v>323</v>
      </c>
      <c r="B6" s="353" t="s">
        <v>324</v>
      </c>
      <c r="C6" s="354" t="s">
        <v>328</v>
      </c>
      <c r="D6" s="355" t="s">
        <v>350</v>
      </c>
      <c r="E6" s="354" t="s">
        <v>362</v>
      </c>
      <c r="F6" s="355" t="s">
        <v>363</v>
      </c>
      <c r="G6" s="354" t="s">
        <v>359</v>
      </c>
      <c r="H6" s="354" t="s">
        <v>360</v>
      </c>
      <c r="I6" s="356">
        <v>0.71</v>
      </c>
      <c r="J6" s="356">
        <v>2000</v>
      </c>
      <c r="K6" s="357">
        <v>1420</v>
      </c>
    </row>
    <row r="7" spans="1:11" ht="14.4" customHeight="1" x14ac:dyDescent="0.3">
      <c r="A7" s="352" t="s">
        <v>323</v>
      </c>
      <c r="B7" s="353" t="s">
        <v>324</v>
      </c>
      <c r="C7" s="354" t="s">
        <v>328</v>
      </c>
      <c r="D7" s="355" t="s">
        <v>350</v>
      </c>
      <c r="E7" s="354" t="s">
        <v>362</v>
      </c>
      <c r="F7" s="355" t="s">
        <v>363</v>
      </c>
      <c r="G7" s="354" t="s">
        <v>359</v>
      </c>
      <c r="H7" s="354" t="s">
        <v>361</v>
      </c>
      <c r="I7" s="356">
        <v>0.71</v>
      </c>
      <c r="J7" s="356">
        <v>2800</v>
      </c>
      <c r="K7" s="357">
        <v>1988</v>
      </c>
    </row>
    <row r="8" spans="1:11" ht="14.4" customHeight="1" thickBot="1" x14ac:dyDescent="0.35">
      <c r="A8" s="358" t="s">
        <v>323</v>
      </c>
      <c r="B8" s="359" t="s">
        <v>324</v>
      </c>
      <c r="C8" s="360" t="s">
        <v>336</v>
      </c>
      <c r="D8" s="361" t="s">
        <v>364</v>
      </c>
      <c r="E8" s="360" t="s">
        <v>362</v>
      </c>
      <c r="F8" s="361" t="s">
        <v>363</v>
      </c>
      <c r="G8" s="360" t="s">
        <v>359</v>
      </c>
      <c r="H8" s="360" t="s">
        <v>360</v>
      </c>
      <c r="I8" s="362">
        <v>0.71</v>
      </c>
      <c r="J8" s="362">
        <v>400</v>
      </c>
      <c r="K8" s="363">
        <v>284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5" width="13.109375" hidden="1" customWidth="1"/>
    <col min="6" max="6" width="13.109375" customWidth="1"/>
    <col min="7" max="23" width="13.109375" hidden="1" customWidth="1"/>
    <col min="24" max="24" width="13.109375" customWidth="1"/>
    <col min="25" max="28" width="13.109375" hidden="1" customWidth="1"/>
    <col min="29" max="29" width="13.109375" customWidth="1"/>
    <col min="30" max="33" width="13.109375" hidden="1" customWidth="1"/>
  </cols>
  <sheetData>
    <row r="1" spans="1:34" ht="18.600000000000001" thickBot="1" x14ac:dyDescent="0.4">
      <c r="A1" s="305" t="s">
        <v>61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</row>
    <row r="2" spans="1:34" ht="15" thickBot="1" x14ac:dyDescent="0.35">
      <c r="A2" s="175" t="s">
        <v>205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</row>
    <row r="3" spans="1:34" x14ac:dyDescent="0.3">
      <c r="A3" s="194" t="s">
        <v>153</v>
      </c>
      <c r="B3" s="306" t="s">
        <v>134</v>
      </c>
      <c r="C3" s="177">
        <v>0</v>
      </c>
      <c r="D3" s="178">
        <v>101</v>
      </c>
      <c r="E3" s="178">
        <v>102</v>
      </c>
      <c r="F3" s="197">
        <v>305</v>
      </c>
      <c r="G3" s="197">
        <v>306</v>
      </c>
      <c r="H3" s="197">
        <v>408</v>
      </c>
      <c r="I3" s="197">
        <v>409</v>
      </c>
      <c r="J3" s="197">
        <v>410</v>
      </c>
      <c r="K3" s="197">
        <v>415</v>
      </c>
      <c r="L3" s="197">
        <v>416</v>
      </c>
      <c r="M3" s="197">
        <v>418</v>
      </c>
      <c r="N3" s="197">
        <v>419</v>
      </c>
      <c r="O3" s="197">
        <v>420</v>
      </c>
      <c r="P3" s="197">
        <v>421</v>
      </c>
      <c r="Q3" s="197">
        <v>522</v>
      </c>
      <c r="R3" s="197">
        <v>523</v>
      </c>
      <c r="S3" s="197">
        <v>524</v>
      </c>
      <c r="T3" s="197">
        <v>525</v>
      </c>
      <c r="U3" s="197">
        <v>526</v>
      </c>
      <c r="V3" s="197">
        <v>527</v>
      </c>
      <c r="W3" s="197">
        <v>528</v>
      </c>
      <c r="X3" s="197">
        <v>629</v>
      </c>
      <c r="Y3" s="197">
        <v>630</v>
      </c>
      <c r="Z3" s="197">
        <v>636</v>
      </c>
      <c r="AA3" s="197">
        <v>637</v>
      </c>
      <c r="AB3" s="197">
        <v>640</v>
      </c>
      <c r="AC3" s="197">
        <v>642</v>
      </c>
      <c r="AD3" s="197">
        <v>743</v>
      </c>
      <c r="AE3" s="178">
        <v>745</v>
      </c>
      <c r="AF3" s="178">
        <v>746</v>
      </c>
      <c r="AG3" s="397">
        <v>930</v>
      </c>
      <c r="AH3" s="413"/>
    </row>
    <row r="4" spans="1:34" ht="36.6" outlineLevel="1" thickBot="1" x14ac:dyDescent="0.35">
      <c r="A4" s="195">
        <v>2014</v>
      </c>
      <c r="B4" s="307"/>
      <c r="C4" s="179" t="s">
        <v>135</v>
      </c>
      <c r="D4" s="180" t="s">
        <v>136</v>
      </c>
      <c r="E4" s="180" t="s">
        <v>137</v>
      </c>
      <c r="F4" s="198" t="s">
        <v>165</v>
      </c>
      <c r="G4" s="198" t="s">
        <v>166</v>
      </c>
      <c r="H4" s="198" t="s">
        <v>167</v>
      </c>
      <c r="I4" s="198" t="s">
        <v>168</v>
      </c>
      <c r="J4" s="198" t="s">
        <v>169</v>
      </c>
      <c r="K4" s="198" t="s">
        <v>170</v>
      </c>
      <c r="L4" s="198" t="s">
        <v>171</v>
      </c>
      <c r="M4" s="198" t="s">
        <v>172</v>
      </c>
      <c r="N4" s="198" t="s">
        <v>173</v>
      </c>
      <c r="O4" s="198" t="s">
        <v>174</v>
      </c>
      <c r="P4" s="198" t="s">
        <v>175</v>
      </c>
      <c r="Q4" s="198" t="s">
        <v>176</v>
      </c>
      <c r="R4" s="198" t="s">
        <v>177</v>
      </c>
      <c r="S4" s="198" t="s">
        <v>178</v>
      </c>
      <c r="T4" s="198" t="s">
        <v>179</v>
      </c>
      <c r="U4" s="198" t="s">
        <v>180</v>
      </c>
      <c r="V4" s="198" t="s">
        <v>181</v>
      </c>
      <c r="W4" s="198" t="s">
        <v>190</v>
      </c>
      <c r="X4" s="198" t="s">
        <v>182</v>
      </c>
      <c r="Y4" s="198" t="s">
        <v>191</v>
      </c>
      <c r="Z4" s="198" t="s">
        <v>183</v>
      </c>
      <c r="AA4" s="198" t="s">
        <v>184</v>
      </c>
      <c r="AB4" s="198" t="s">
        <v>185</v>
      </c>
      <c r="AC4" s="198" t="s">
        <v>186</v>
      </c>
      <c r="AD4" s="198" t="s">
        <v>187</v>
      </c>
      <c r="AE4" s="180" t="s">
        <v>188</v>
      </c>
      <c r="AF4" s="180" t="s">
        <v>189</v>
      </c>
      <c r="AG4" s="398" t="s">
        <v>155</v>
      </c>
      <c r="AH4" s="413"/>
    </row>
    <row r="5" spans="1:34" x14ac:dyDescent="0.3">
      <c r="A5" s="181" t="s">
        <v>138</v>
      </c>
      <c r="B5" s="217"/>
      <c r="C5" s="218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399"/>
      <c r="AH5" s="413"/>
    </row>
    <row r="6" spans="1:34" ht="15" collapsed="1" thickBot="1" x14ac:dyDescent="0.35">
      <c r="A6" s="182" t="s">
        <v>55</v>
      </c>
      <c r="B6" s="220">
        <f xml:space="preserve">
TRUNC(IF($A$4&lt;=12,SUMIFS('ON Data'!F:F,'ON Data'!$D:$D,$A$4,'ON Data'!$E:$E,1),SUMIFS('ON Data'!F:F,'ON Data'!$E:$E,1)/'ON Data'!$D$3),1)</f>
        <v>32.9</v>
      </c>
      <c r="C6" s="221">
        <f xml:space="preserve">
TRUNC(IF($A$4&lt;=12,SUMIFS('ON Data'!G:G,'ON Data'!$D:$D,$A$4,'ON Data'!$E:$E,1),SUMIFS('ON Data'!G:G,'ON Data'!$E:$E,1)/'ON Data'!$D$3),1)</f>
        <v>0</v>
      </c>
      <c r="D6" s="222">
        <f xml:space="preserve">
TRUNC(IF($A$4&lt;=12,SUMIFS('ON Data'!H:H,'ON Data'!$D:$D,$A$4,'ON Data'!$E:$E,1),SUMIFS('ON Data'!H:H,'ON Data'!$E:$E,1)/'ON Data'!$D$3),1)</f>
        <v>0</v>
      </c>
      <c r="E6" s="222">
        <f xml:space="preserve">
TRUNC(IF($A$4&lt;=12,SUMIFS('ON Data'!I:I,'ON Data'!$D:$D,$A$4,'ON Data'!$E:$E,1),SUMIFS('ON Data'!I:I,'ON Data'!$E:$E,1)/'ON Data'!$D$3),1)</f>
        <v>0</v>
      </c>
      <c r="F6" s="222">
        <f xml:space="preserve">
TRUNC(IF($A$4&lt;=12,SUMIFS('ON Data'!K:K,'ON Data'!$D:$D,$A$4,'ON Data'!$E:$E,1),SUMIFS('ON Data'!K:K,'ON Data'!$E:$E,1)/'ON Data'!$D$3),1)</f>
        <v>16.5</v>
      </c>
      <c r="G6" s="222">
        <f xml:space="preserve">
TRUNC(IF($A$4&lt;=12,SUMIFS('ON Data'!L:L,'ON Data'!$D:$D,$A$4,'ON Data'!$E:$E,1),SUMIFS('ON Data'!L:L,'ON Data'!$E:$E,1)/'ON Data'!$D$3),1)</f>
        <v>0</v>
      </c>
      <c r="H6" s="222">
        <f xml:space="preserve">
TRUNC(IF($A$4&lt;=12,SUMIFS('ON Data'!M:M,'ON Data'!$D:$D,$A$4,'ON Data'!$E:$E,1),SUMIFS('ON Data'!M:M,'ON Data'!$E:$E,1)/'ON Data'!$D$3),1)</f>
        <v>0</v>
      </c>
      <c r="I6" s="222">
        <f xml:space="preserve">
TRUNC(IF($A$4&lt;=12,SUMIFS('ON Data'!N:N,'ON Data'!$D:$D,$A$4,'ON Data'!$E:$E,1),SUMIFS('ON Data'!N:N,'ON Data'!$E:$E,1)/'ON Data'!$D$3),1)</f>
        <v>0</v>
      </c>
      <c r="J6" s="222">
        <f xml:space="preserve">
TRUNC(IF($A$4&lt;=12,SUMIFS('ON Data'!O:O,'ON Data'!$D:$D,$A$4,'ON Data'!$E:$E,1),SUMIFS('ON Data'!O:O,'ON Data'!$E:$E,1)/'ON Data'!$D$3),1)</f>
        <v>0</v>
      </c>
      <c r="K6" s="222">
        <f xml:space="preserve">
TRUNC(IF($A$4&lt;=12,SUMIFS('ON Data'!P:P,'ON Data'!$D:$D,$A$4,'ON Data'!$E:$E,1),SUMIFS('ON Data'!P:P,'ON Data'!$E:$E,1)/'ON Data'!$D$3),1)</f>
        <v>0</v>
      </c>
      <c r="L6" s="222">
        <f xml:space="preserve">
TRUNC(IF($A$4&lt;=12,SUMIFS('ON Data'!Q:Q,'ON Data'!$D:$D,$A$4,'ON Data'!$E:$E,1),SUMIFS('ON Data'!Q:Q,'ON Data'!$E:$E,1)/'ON Data'!$D$3),1)</f>
        <v>0</v>
      </c>
      <c r="M6" s="222">
        <f xml:space="preserve">
TRUNC(IF($A$4&lt;=12,SUMIFS('ON Data'!R:R,'ON Data'!$D:$D,$A$4,'ON Data'!$E:$E,1),SUMIFS('ON Data'!R:R,'ON Data'!$E:$E,1)/'ON Data'!$D$3),1)</f>
        <v>0</v>
      </c>
      <c r="N6" s="222">
        <f xml:space="preserve">
TRUNC(IF($A$4&lt;=12,SUMIFS('ON Data'!S:S,'ON Data'!$D:$D,$A$4,'ON Data'!$E:$E,1),SUMIFS('ON Data'!S:S,'ON Data'!$E:$E,1)/'ON Data'!$D$3),1)</f>
        <v>0</v>
      </c>
      <c r="O6" s="222">
        <f xml:space="preserve">
TRUNC(IF($A$4&lt;=12,SUMIFS('ON Data'!T:T,'ON Data'!$D:$D,$A$4,'ON Data'!$E:$E,1),SUMIFS('ON Data'!T:T,'ON Data'!$E:$E,1)/'ON Data'!$D$3),1)</f>
        <v>0</v>
      </c>
      <c r="P6" s="222">
        <f xml:space="preserve">
TRUNC(IF($A$4&lt;=12,SUMIFS('ON Data'!U:U,'ON Data'!$D:$D,$A$4,'ON Data'!$E:$E,1),SUMIFS('ON Data'!U:U,'ON Data'!$E:$E,1)/'ON Data'!$D$3),1)</f>
        <v>0</v>
      </c>
      <c r="Q6" s="222">
        <f xml:space="preserve">
TRUNC(IF($A$4&lt;=12,SUMIFS('ON Data'!V:V,'ON Data'!$D:$D,$A$4,'ON Data'!$E:$E,1),SUMIFS('ON Data'!V:V,'ON Data'!$E:$E,1)/'ON Data'!$D$3),1)</f>
        <v>0</v>
      </c>
      <c r="R6" s="222">
        <f xml:space="preserve">
TRUNC(IF($A$4&lt;=12,SUMIFS('ON Data'!W:W,'ON Data'!$D:$D,$A$4,'ON Data'!$E:$E,1),SUMIFS('ON Data'!W:W,'ON Data'!$E:$E,1)/'ON Data'!$D$3),1)</f>
        <v>0</v>
      </c>
      <c r="S6" s="222">
        <f xml:space="preserve">
TRUNC(IF($A$4&lt;=12,SUMIFS('ON Data'!X:X,'ON Data'!$D:$D,$A$4,'ON Data'!$E:$E,1),SUMIFS('ON Data'!X:X,'ON Data'!$E:$E,1)/'ON Data'!$D$3),1)</f>
        <v>0</v>
      </c>
      <c r="T6" s="222">
        <f xml:space="preserve">
TRUNC(IF($A$4&lt;=12,SUMIFS('ON Data'!Y:Y,'ON Data'!$D:$D,$A$4,'ON Data'!$E:$E,1),SUMIFS('ON Data'!Y:Y,'ON Data'!$E:$E,1)/'ON Data'!$D$3),1)</f>
        <v>0</v>
      </c>
      <c r="U6" s="222">
        <f xml:space="preserve">
TRUNC(IF($A$4&lt;=12,SUMIFS('ON Data'!Z:Z,'ON Data'!$D:$D,$A$4,'ON Data'!$E:$E,1),SUMIFS('ON Data'!Z:Z,'ON Data'!$E:$E,1)/'ON Data'!$D$3),1)</f>
        <v>0</v>
      </c>
      <c r="V6" s="222">
        <f xml:space="preserve">
TRUNC(IF($A$4&lt;=12,SUMIFS('ON Data'!AA:AA,'ON Data'!$D:$D,$A$4,'ON Data'!$E:$E,1),SUMIFS('ON Data'!AA:AA,'ON Data'!$E:$E,1)/'ON Data'!$D$3),1)</f>
        <v>0</v>
      </c>
      <c r="W6" s="222">
        <f xml:space="preserve">
TRUNC(IF($A$4&lt;=12,SUMIFS('ON Data'!AB:AB,'ON Data'!$D:$D,$A$4,'ON Data'!$E:$E,1),SUMIFS('ON Data'!AB:AB,'ON Data'!$E:$E,1)/'ON Data'!$D$3),1)</f>
        <v>0</v>
      </c>
      <c r="X6" s="222">
        <f xml:space="preserve">
TRUNC(IF($A$4&lt;=12,SUMIFS('ON Data'!AC:AC,'ON Data'!$D:$D,$A$4,'ON Data'!$E:$E,1),SUMIFS('ON Data'!AC:AC,'ON Data'!$E:$E,1)/'ON Data'!$D$3),1)</f>
        <v>4.4000000000000004</v>
      </c>
      <c r="Y6" s="222">
        <f xml:space="preserve">
TRUNC(IF($A$4&lt;=12,SUMIFS('ON Data'!AD:AD,'ON Data'!$D:$D,$A$4,'ON Data'!$E:$E,1),SUMIFS('ON Data'!AD:AD,'ON Data'!$E:$E,1)/'ON Data'!$D$3),1)</f>
        <v>0</v>
      </c>
      <c r="Z6" s="222">
        <f xml:space="preserve">
TRUNC(IF($A$4&lt;=12,SUMIFS('ON Data'!AE:AE,'ON Data'!$D:$D,$A$4,'ON Data'!$E:$E,1),SUMIFS('ON Data'!AE:AE,'ON Data'!$E:$E,1)/'ON Data'!$D$3),1)</f>
        <v>0</v>
      </c>
      <c r="AA6" s="222">
        <f xml:space="preserve">
TRUNC(IF($A$4&lt;=12,SUMIFS('ON Data'!AF:AF,'ON Data'!$D:$D,$A$4,'ON Data'!$E:$E,1),SUMIFS('ON Data'!AF:AF,'ON Data'!$E:$E,1)/'ON Data'!$D$3),1)</f>
        <v>0</v>
      </c>
      <c r="AB6" s="222">
        <f xml:space="preserve">
TRUNC(IF($A$4&lt;=12,SUMIFS('ON Data'!AG:AG,'ON Data'!$D:$D,$A$4,'ON Data'!$E:$E,1),SUMIFS('ON Data'!AG:AG,'ON Data'!$E:$E,1)/'ON Data'!$D$3),1)</f>
        <v>0</v>
      </c>
      <c r="AC6" s="222">
        <f xml:space="preserve">
TRUNC(IF($A$4&lt;=12,SUMIFS('ON Data'!AH:AH,'ON Data'!$D:$D,$A$4,'ON Data'!$E:$E,1),SUMIFS('ON Data'!AH:AH,'ON Data'!$E:$E,1)/'ON Data'!$D$3),1)</f>
        <v>12</v>
      </c>
      <c r="AD6" s="222">
        <f xml:space="preserve">
TRUNC(IF($A$4&lt;=12,SUMIFS('ON Data'!AI:AI,'ON Data'!$D:$D,$A$4,'ON Data'!$E:$E,1),SUMIFS('ON Data'!AI:AI,'ON Data'!$E:$E,1)/'ON Data'!$D$3),1)</f>
        <v>0</v>
      </c>
      <c r="AE6" s="222">
        <f xml:space="preserve">
TRUNC(IF($A$4&lt;=12,SUMIFS('ON Data'!AJ:AJ,'ON Data'!$D:$D,$A$4,'ON Data'!$E:$E,1),SUMIFS('ON Data'!AJ:AJ,'ON Data'!$E:$E,1)/'ON Data'!$D$3),1)</f>
        <v>0</v>
      </c>
      <c r="AF6" s="222">
        <f xml:space="preserve">
TRUNC(IF($A$4&lt;=12,SUMIFS('ON Data'!AK:AK,'ON Data'!$D:$D,$A$4,'ON Data'!$E:$E,1),SUMIFS('ON Data'!AK:AK,'ON Data'!$E:$E,1)/'ON Data'!$D$3),1)</f>
        <v>0</v>
      </c>
      <c r="AG6" s="400">
        <f xml:space="preserve">
TRUNC(IF($A$4&lt;=12,SUMIFS('ON Data'!AM:AM,'ON Data'!$D:$D,$A$4,'ON Data'!$E:$E,1),SUMIFS('ON Data'!AM:AM,'ON Data'!$E:$E,1)/'ON Data'!$D$3),1)</f>
        <v>0</v>
      </c>
      <c r="AH6" s="413"/>
    </row>
    <row r="7" spans="1:34" ht="15" hidden="1" outlineLevel="1" thickBot="1" x14ac:dyDescent="0.35">
      <c r="A7" s="182" t="s">
        <v>62</v>
      </c>
      <c r="B7" s="220"/>
      <c r="C7" s="223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400"/>
      <c r="AH7" s="413"/>
    </row>
    <row r="8" spans="1:34" ht="15" hidden="1" outlineLevel="1" thickBot="1" x14ac:dyDescent="0.35">
      <c r="A8" s="182" t="s">
        <v>57</v>
      </c>
      <c r="B8" s="220"/>
      <c r="C8" s="223"/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400"/>
      <c r="AH8" s="413"/>
    </row>
    <row r="9" spans="1:34" ht="15" hidden="1" outlineLevel="1" thickBot="1" x14ac:dyDescent="0.35">
      <c r="A9" s="183" t="s">
        <v>52</v>
      </c>
      <c r="B9" s="224"/>
      <c r="C9" s="225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401"/>
      <c r="AH9" s="413"/>
    </row>
    <row r="10" spans="1:34" x14ac:dyDescent="0.3">
      <c r="A10" s="184" t="s">
        <v>139</v>
      </c>
      <c r="B10" s="199"/>
      <c r="C10" s="200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402"/>
      <c r="AH10" s="413"/>
    </row>
    <row r="11" spans="1:34" x14ac:dyDescent="0.3">
      <c r="A11" s="185" t="s">
        <v>140</v>
      </c>
      <c r="B11" s="202">
        <f xml:space="preserve">
IF($A$4&lt;=12,SUMIFS('ON Data'!F:F,'ON Data'!$D:$D,$A$4,'ON Data'!$E:$E,2),SUMIFS('ON Data'!F:F,'ON Data'!$E:$E,2))</f>
        <v>44435.89</v>
      </c>
      <c r="C11" s="203">
        <f xml:space="preserve">
IF($A$4&lt;=12,SUMIFS('ON Data'!G:G,'ON Data'!$D:$D,$A$4,'ON Data'!$E:$E,2),SUMIFS('ON Data'!G:G,'ON Data'!$E:$E,2))</f>
        <v>0</v>
      </c>
      <c r="D11" s="204">
        <f xml:space="preserve">
IF($A$4&lt;=12,SUMIFS('ON Data'!H:H,'ON Data'!$D:$D,$A$4,'ON Data'!$E:$E,2),SUMIFS('ON Data'!H:H,'ON Data'!$E:$E,2))</f>
        <v>0</v>
      </c>
      <c r="E11" s="204">
        <f xml:space="preserve">
IF($A$4&lt;=12,SUMIFS('ON Data'!I:I,'ON Data'!$D:$D,$A$4,'ON Data'!$E:$E,2),SUMIFS('ON Data'!I:I,'ON Data'!$E:$E,2))</f>
        <v>0</v>
      </c>
      <c r="F11" s="204">
        <f xml:space="preserve">
IF($A$4&lt;=12,SUMIFS('ON Data'!K:K,'ON Data'!$D:$D,$A$4,'ON Data'!$E:$E,2),SUMIFS('ON Data'!K:K,'ON Data'!$E:$E,2))</f>
        <v>22161.640000000003</v>
      </c>
      <c r="G11" s="204">
        <f xml:space="preserve">
IF($A$4&lt;=12,SUMIFS('ON Data'!L:L,'ON Data'!$D:$D,$A$4,'ON Data'!$E:$E,2),SUMIFS('ON Data'!L:L,'ON Data'!$E:$E,2))</f>
        <v>0</v>
      </c>
      <c r="H11" s="204">
        <f xml:space="preserve">
IF($A$4&lt;=12,SUMIFS('ON Data'!M:M,'ON Data'!$D:$D,$A$4,'ON Data'!$E:$E,2),SUMIFS('ON Data'!M:M,'ON Data'!$E:$E,2))</f>
        <v>0</v>
      </c>
      <c r="I11" s="204">
        <f xml:space="preserve">
IF($A$4&lt;=12,SUMIFS('ON Data'!N:N,'ON Data'!$D:$D,$A$4,'ON Data'!$E:$E,2),SUMIFS('ON Data'!N:N,'ON Data'!$E:$E,2))</f>
        <v>0</v>
      </c>
      <c r="J11" s="204">
        <f xml:space="preserve">
IF($A$4&lt;=12,SUMIFS('ON Data'!O:O,'ON Data'!$D:$D,$A$4,'ON Data'!$E:$E,2),SUMIFS('ON Data'!O:O,'ON Data'!$E:$E,2))</f>
        <v>0</v>
      </c>
      <c r="K11" s="204">
        <f xml:space="preserve">
IF($A$4&lt;=12,SUMIFS('ON Data'!P:P,'ON Data'!$D:$D,$A$4,'ON Data'!$E:$E,2),SUMIFS('ON Data'!P:P,'ON Data'!$E:$E,2))</f>
        <v>0</v>
      </c>
      <c r="L11" s="204">
        <f xml:space="preserve">
IF($A$4&lt;=12,SUMIFS('ON Data'!Q:Q,'ON Data'!$D:$D,$A$4,'ON Data'!$E:$E,2),SUMIFS('ON Data'!Q:Q,'ON Data'!$E:$E,2))</f>
        <v>0</v>
      </c>
      <c r="M11" s="204">
        <f xml:space="preserve">
IF($A$4&lt;=12,SUMIFS('ON Data'!R:R,'ON Data'!$D:$D,$A$4,'ON Data'!$E:$E,2),SUMIFS('ON Data'!R:R,'ON Data'!$E:$E,2))</f>
        <v>0</v>
      </c>
      <c r="N11" s="204">
        <f xml:space="preserve">
IF($A$4&lt;=12,SUMIFS('ON Data'!S:S,'ON Data'!$D:$D,$A$4,'ON Data'!$E:$E,2),SUMIFS('ON Data'!S:S,'ON Data'!$E:$E,2))</f>
        <v>0</v>
      </c>
      <c r="O11" s="204">
        <f xml:space="preserve">
IF($A$4&lt;=12,SUMIFS('ON Data'!T:T,'ON Data'!$D:$D,$A$4,'ON Data'!$E:$E,2),SUMIFS('ON Data'!T:T,'ON Data'!$E:$E,2))</f>
        <v>0</v>
      </c>
      <c r="P11" s="204">
        <f xml:space="preserve">
IF($A$4&lt;=12,SUMIFS('ON Data'!U:U,'ON Data'!$D:$D,$A$4,'ON Data'!$E:$E,2),SUMIFS('ON Data'!U:U,'ON Data'!$E:$E,2))</f>
        <v>0</v>
      </c>
      <c r="Q11" s="204">
        <f xml:space="preserve">
IF($A$4&lt;=12,SUMIFS('ON Data'!V:V,'ON Data'!$D:$D,$A$4,'ON Data'!$E:$E,2),SUMIFS('ON Data'!V:V,'ON Data'!$E:$E,2))</f>
        <v>0</v>
      </c>
      <c r="R11" s="204">
        <f xml:space="preserve">
IF($A$4&lt;=12,SUMIFS('ON Data'!W:W,'ON Data'!$D:$D,$A$4,'ON Data'!$E:$E,2),SUMIFS('ON Data'!W:W,'ON Data'!$E:$E,2))</f>
        <v>0</v>
      </c>
      <c r="S11" s="204">
        <f xml:space="preserve">
IF($A$4&lt;=12,SUMIFS('ON Data'!X:X,'ON Data'!$D:$D,$A$4,'ON Data'!$E:$E,2),SUMIFS('ON Data'!X:X,'ON Data'!$E:$E,2))</f>
        <v>0</v>
      </c>
      <c r="T11" s="204">
        <f xml:space="preserve">
IF($A$4&lt;=12,SUMIFS('ON Data'!Y:Y,'ON Data'!$D:$D,$A$4,'ON Data'!$E:$E,2),SUMIFS('ON Data'!Y:Y,'ON Data'!$E:$E,2))</f>
        <v>0</v>
      </c>
      <c r="U11" s="204">
        <f xml:space="preserve">
IF($A$4&lt;=12,SUMIFS('ON Data'!Z:Z,'ON Data'!$D:$D,$A$4,'ON Data'!$E:$E,2),SUMIFS('ON Data'!Z:Z,'ON Data'!$E:$E,2))</f>
        <v>0</v>
      </c>
      <c r="V11" s="204">
        <f xml:space="preserve">
IF($A$4&lt;=12,SUMIFS('ON Data'!AA:AA,'ON Data'!$D:$D,$A$4,'ON Data'!$E:$E,2),SUMIFS('ON Data'!AA:AA,'ON Data'!$E:$E,2))</f>
        <v>0</v>
      </c>
      <c r="W11" s="204">
        <f xml:space="preserve">
IF($A$4&lt;=12,SUMIFS('ON Data'!AB:AB,'ON Data'!$D:$D,$A$4,'ON Data'!$E:$E,2),SUMIFS('ON Data'!AB:AB,'ON Data'!$E:$E,2))</f>
        <v>0</v>
      </c>
      <c r="X11" s="204">
        <f xml:space="preserve">
IF($A$4&lt;=12,SUMIFS('ON Data'!AC:AC,'ON Data'!$D:$D,$A$4,'ON Data'!$E:$E,2),SUMIFS('ON Data'!AC:AC,'ON Data'!$E:$E,2))</f>
        <v>5636.25</v>
      </c>
      <c r="Y11" s="204">
        <f xml:space="preserve">
IF($A$4&lt;=12,SUMIFS('ON Data'!AD:AD,'ON Data'!$D:$D,$A$4,'ON Data'!$E:$E,2),SUMIFS('ON Data'!AD:AD,'ON Data'!$E:$E,2))</f>
        <v>0</v>
      </c>
      <c r="Z11" s="204">
        <f xml:space="preserve">
IF($A$4&lt;=12,SUMIFS('ON Data'!AE:AE,'ON Data'!$D:$D,$A$4,'ON Data'!$E:$E,2),SUMIFS('ON Data'!AE:AE,'ON Data'!$E:$E,2))</f>
        <v>0</v>
      </c>
      <c r="AA11" s="204">
        <f xml:space="preserve">
IF($A$4&lt;=12,SUMIFS('ON Data'!AF:AF,'ON Data'!$D:$D,$A$4,'ON Data'!$E:$E,2),SUMIFS('ON Data'!AF:AF,'ON Data'!$E:$E,2))</f>
        <v>0</v>
      </c>
      <c r="AB11" s="204">
        <f xml:space="preserve">
IF($A$4&lt;=12,SUMIFS('ON Data'!AG:AG,'ON Data'!$D:$D,$A$4,'ON Data'!$E:$E,2),SUMIFS('ON Data'!AG:AG,'ON Data'!$E:$E,2))</f>
        <v>0</v>
      </c>
      <c r="AC11" s="204">
        <f xml:space="preserve">
IF($A$4&lt;=12,SUMIFS('ON Data'!AH:AH,'ON Data'!$D:$D,$A$4,'ON Data'!$E:$E,2),SUMIFS('ON Data'!AH:AH,'ON Data'!$E:$E,2))</f>
        <v>16638</v>
      </c>
      <c r="AD11" s="204">
        <f xml:space="preserve">
IF($A$4&lt;=12,SUMIFS('ON Data'!AI:AI,'ON Data'!$D:$D,$A$4,'ON Data'!$E:$E,2),SUMIFS('ON Data'!AI:AI,'ON Data'!$E:$E,2))</f>
        <v>0</v>
      </c>
      <c r="AE11" s="204">
        <f xml:space="preserve">
IF($A$4&lt;=12,SUMIFS('ON Data'!AJ:AJ,'ON Data'!$D:$D,$A$4,'ON Data'!$E:$E,2),SUMIFS('ON Data'!AJ:AJ,'ON Data'!$E:$E,2))</f>
        <v>0</v>
      </c>
      <c r="AF11" s="204">
        <f xml:space="preserve">
IF($A$4&lt;=12,SUMIFS('ON Data'!AK:AK,'ON Data'!$D:$D,$A$4,'ON Data'!$E:$E,2),SUMIFS('ON Data'!AK:AK,'ON Data'!$E:$E,2))</f>
        <v>0</v>
      </c>
      <c r="AG11" s="403">
        <f xml:space="preserve">
IF($A$4&lt;=12,SUMIFS('ON Data'!AM:AM,'ON Data'!$D:$D,$A$4,'ON Data'!$E:$E,2),SUMIFS('ON Data'!AM:AM,'ON Data'!$E:$E,2))</f>
        <v>0</v>
      </c>
      <c r="AH11" s="413"/>
    </row>
    <row r="12" spans="1:34" x14ac:dyDescent="0.3">
      <c r="A12" s="185" t="s">
        <v>141</v>
      </c>
      <c r="B12" s="202">
        <f xml:space="preserve">
IF($A$4&lt;=12,SUMIFS('ON Data'!F:F,'ON Data'!$D:$D,$A$4,'ON Data'!$E:$E,3),SUMIFS('ON Data'!F:F,'ON Data'!$E:$E,3))</f>
        <v>15</v>
      </c>
      <c r="C12" s="203">
        <f xml:space="preserve">
IF($A$4&lt;=12,SUMIFS('ON Data'!G:G,'ON Data'!$D:$D,$A$4,'ON Data'!$E:$E,3),SUMIFS('ON Data'!G:G,'ON Data'!$E:$E,3))</f>
        <v>0</v>
      </c>
      <c r="D12" s="204">
        <f xml:space="preserve">
IF($A$4&lt;=12,SUMIFS('ON Data'!H:H,'ON Data'!$D:$D,$A$4,'ON Data'!$E:$E,3),SUMIFS('ON Data'!H:H,'ON Data'!$E:$E,3))</f>
        <v>0</v>
      </c>
      <c r="E12" s="204">
        <f xml:space="preserve">
IF($A$4&lt;=12,SUMIFS('ON Data'!I:I,'ON Data'!$D:$D,$A$4,'ON Data'!$E:$E,3),SUMIFS('ON Data'!I:I,'ON Data'!$E:$E,3))</f>
        <v>0</v>
      </c>
      <c r="F12" s="204">
        <f xml:space="preserve">
IF($A$4&lt;=12,SUMIFS('ON Data'!K:K,'ON Data'!$D:$D,$A$4,'ON Data'!$E:$E,3),SUMIFS('ON Data'!K:K,'ON Data'!$E:$E,3))</f>
        <v>15</v>
      </c>
      <c r="G12" s="204">
        <f xml:space="preserve">
IF($A$4&lt;=12,SUMIFS('ON Data'!L:L,'ON Data'!$D:$D,$A$4,'ON Data'!$E:$E,3),SUMIFS('ON Data'!L:L,'ON Data'!$E:$E,3))</f>
        <v>0</v>
      </c>
      <c r="H12" s="204">
        <f xml:space="preserve">
IF($A$4&lt;=12,SUMIFS('ON Data'!M:M,'ON Data'!$D:$D,$A$4,'ON Data'!$E:$E,3),SUMIFS('ON Data'!M:M,'ON Data'!$E:$E,3))</f>
        <v>0</v>
      </c>
      <c r="I12" s="204">
        <f xml:space="preserve">
IF($A$4&lt;=12,SUMIFS('ON Data'!N:N,'ON Data'!$D:$D,$A$4,'ON Data'!$E:$E,3),SUMIFS('ON Data'!N:N,'ON Data'!$E:$E,3))</f>
        <v>0</v>
      </c>
      <c r="J12" s="204">
        <f xml:space="preserve">
IF($A$4&lt;=12,SUMIFS('ON Data'!O:O,'ON Data'!$D:$D,$A$4,'ON Data'!$E:$E,3),SUMIFS('ON Data'!O:O,'ON Data'!$E:$E,3))</f>
        <v>0</v>
      </c>
      <c r="K12" s="204">
        <f xml:space="preserve">
IF($A$4&lt;=12,SUMIFS('ON Data'!P:P,'ON Data'!$D:$D,$A$4,'ON Data'!$E:$E,3),SUMIFS('ON Data'!P:P,'ON Data'!$E:$E,3))</f>
        <v>0</v>
      </c>
      <c r="L12" s="204">
        <f xml:space="preserve">
IF($A$4&lt;=12,SUMIFS('ON Data'!Q:Q,'ON Data'!$D:$D,$A$4,'ON Data'!$E:$E,3),SUMIFS('ON Data'!Q:Q,'ON Data'!$E:$E,3))</f>
        <v>0</v>
      </c>
      <c r="M12" s="204">
        <f xml:space="preserve">
IF($A$4&lt;=12,SUMIFS('ON Data'!R:R,'ON Data'!$D:$D,$A$4,'ON Data'!$E:$E,3),SUMIFS('ON Data'!R:R,'ON Data'!$E:$E,3))</f>
        <v>0</v>
      </c>
      <c r="N12" s="204">
        <f xml:space="preserve">
IF($A$4&lt;=12,SUMIFS('ON Data'!S:S,'ON Data'!$D:$D,$A$4,'ON Data'!$E:$E,3),SUMIFS('ON Data'!S:S,'ON Data'!$E:$E,3))</f>
        <v>0</v>
      </c>
      <c r="O12" s="204">
        <f xml:space="preserve">
IF($A$4&lt;=12,SUMIFS('ON Data'!T:T,'ON Data'!$D:$D,$A$4,'ON Data'!$E:$E,3),SUMIFS('ON Data'!T:T,'ON Data'!$E:$E,3))</f>
        <v>0</v>
      </c>
      <c r="P12" s="204">
        <f xml:space="preserve">
IF($A$4&lt;=12,SUMIFS('ON Data'!U:U,'ON Data'!$D:$D,$A$4,'ON Data'!$E:$E,3),SUMIFS('ON Data'!U:U,'ON Data'!$E:$E,3))</f>
        <v>0</v>
      </c>
      <c r="Q12" s="204">
        <f xml:space="preserve">
IF($A$4&lt;=12,SUMIFS('ON Data'!V:V,'ON Data'!$D:$D,$A$4,'ON Data'!$E:$E,3),SUMIFS('ON Data'!V:V,'ON Data'!$E:$E,3))</f>
        <v>0</v>
      </c>
      <c r="R12" s="204">
        <f xml:space="preserve">
IF($A$4&lt;=12,SUMIFS('ON Data'!W:W,'ON Data'!$D:$D,$A$4,'ON Data'!$E:$E,3),SUMIFS('ON Data'!W:W,'ON Data'!$E:$E,3))</f>
        <v>0</v>
      </c>
      <c r="S12" s="204">
        <f xml:space="preserve">
IF($A$4&lt;=12,SUMIFS('ON Data'!X:X,'ON Data'!$D:$D,$A$4,'ON Data'!$E:$E,3),SUMIFS('ON Data'!X:X,'ON Data'!$E:$E,3))</f>
        <v>0</v>
      </c>
      <c r="T12" s="204">
        <f xml:space="preserve">
IF($A$4&lt;=12,SUMIFS('ON Data'!Y:Y,'ON Data'!$D:$D,$A$4,'ON Data'!$E:$E,3),SUMIFS('ON Data'!Y:Y,'ON Data'!$E:$E,3))</f>
        <v>0</v>
      </c>
      <c r="U12" s="204">
        <f xml:space="preserve">
IF($A$4&lt;=12,SUMIFS('ON Data'!Z:Z,'ON Data'!$D:$D,$A$4,'ON Data'!$E:$E,3),SUMIFS('ON Data'!Z:Z,'ON Data'!$E:$E,3))</f>
        <v>0</v>
      </c>
      <c r="V12" s="204">
        <f xml:space="preserve">
IF($A$4&lt;=12,SUMIFS('ON Data'!AA:AA,'ON Data'!$D:$D,$A$4,'ON Data'!$E:$E,3),SUMIFS('ON Data'!AA:AA,'ON Data'!$E:$E,3))</f>
        <v>0</v>
      </c>
      <c r="W12" s="204">
        <f xml:space="preserve">
IF($A$4&lt;=12,SUMIFS('ON Data'!AB:AB,'ON Data'!$D:$D,$A$4,'ON Data'!$E:$E,3),SUMIFS('ON Data'!AB:AB,'ON Data'!$E:$E,3))</f>
        <v>0</v>
      </c>
      <c r="X12" s="204">
        <f xml:space="preserve">
IF($A$4&lt;=12,SUMIFS('ON Data'!AC:AC,'ON Data'!$D:$D,$A$4,'ON Data'!$E:$E,3),SUMIFS('ON Data'!AC:AC,'ON Data'!$E:$E,3))</f>
        <v>0</v>
      </c>
      <c r="Y12" s="204">
        <f xml:space="preserve">
IF($A$4&lt;=12,SUMIFS('ON Data'!AD:AD,'ON Data'!$D:$D,$A$4,'ON Data'!$E:$E,3),SUMIFS('ON Data'!AD:AD,'ON Data'!$E:$E,3))</f>
        <v>0</v>
      </c>
      <c r="Z12" s="204">
        <f xml:space="preserve">
IF($A$4&lt;=12,SUMIFS('ON Data'!AE:AE,'ON Data'!$D:$D,$A$4,'ON Data'!$E:$E,3),SUMIFS('ON Data'!AE:AE,'ON Data'!$E:$E,3))</f>
        <v>0</v>
      </c>
      <c r="AA12" s="204">
        <f xml:space="preserve">
IF($A$4&lt;=12,SUMIFS('ON Data'!AF:AF,'ON Data'!$D:$D,$A$4,'ON Data'!$E:$E,3),SUMIFS('ON Data'!AF:AF,'ON Data'!$E:$E,3))</f>
        <v>0</v>
      </c>
      <c r="AB12" s="204">
        <f xml:space="preserve">
IF($A$4&lt;=12,SUMIFS('ON Data'!AG:AG,'ON Data'!$D:$D,$A$4,'ON Data'!$E:$E,3),SUMIFS('ON Data'!AG:AG,'ON Data'!$E:$E,3))</f>
        <v>0</v>
      </c>
      <c r="AC12" s="204">
        <f xml:space="preserve">
IF($A$4&lt;=12,SUMIFS('ON Data'!AH:AH,'ON Data'!$D:$D,$A$4,'ON Data'!$E:$E,3),SUMIFS('ON Data'!AH:AH,'ON Data'!$E:$E,3))</f>
        <v>0</v>
      </c>
      <c r="AD12" s="204">
        <f xml:space="preserve">
IF($A$4&lt;=12,SUMIFS('ON Data'!AI:AI,'ON Data'!$D:$D,$A$4,'ON Data'!$E:$E,3),SUMIFS('ON Data'!AI:AI,'ON Data'!$E:$E,3))</f>
        <v>0</v>
      </c>
      <c r="AE12" s="204">
        <f xml:space="preserve">
IF($A$4&lt;=12,SUMIFS('ON Data'!AJ:AJ,'ON Data'!$D:$D,$A$4,'ON Data'!$E:$E,3),SUMIFS('ON Data'!AJ:AJ,'ON Data'!$E:$E,3))</f>
        <v>0</v>
      </c>
      <c r="AF12" s="204">
        <f xml:space="preserve">
IF($A$4&lt;=12,SUMIFS('ON Data'!AK:AK,'ON Data'!$D:$D,$A$4,'ON Data'!$E:$E,3),SUMIFS('ON Data'!AK:AK,'ON Data'!$E:$E,3))</f>
        <v>0</v>
      </c>
      <c r="AG12" s="403">
        <f xml:space="preserve">
IF($A$4&lt;=12,SUMIFS('ON Data'!AM:AM,'ON Data'!$D:$D,$A$4,'ON Data'!$E:$E,3),SUMIFS('ON Data'!AM:AM,'ON Data'!$E:$E,3))</f>
        <v>0</v>
      </c>
      <c r="AH12" s="413"/>
    </row>
    <row r="13" spans="1:34" x14ac:dyDescent="0.3">
      <c r="A13" s="185" t="s">
        <v>148</v>
      </c>
      <c r="B13" s="202">
        <f xml:space="preserve">
IF($A$4&lt;=12,SUMIFS('ON Data'!F:F,'ON Data'!$D:$D,$A$4,'ON Data'!$E:$E,4),SUMIFS('ON Data'!F:F,'ON Data'!$E:$E,4))</f>
        <v>302</v>
      </c>
      <c r="C13" s="203">
        <f xml:space="preserve">
IF($A$4&lt;=12,SUMIFS('ON Data'!G:G,'ON Data'!$D:$D,$A$4,'ON Data'!$E:$E,4),SUMIFS('ON Data'!G:G,'ON Data'!$E:$E,4))</f>
        <v>0</v>
      </c>
      <c r="D13" s="204">
        <f xml:space="preserve">
IF($A$4&lt;=12,SUMIFS('ON Data'!H:H,'ON Data'!$D:$D,$A$4,'ON Data'!$E:$E,4),SUMIFS('ON Data'!H:H,'ON Data'!$E:$E,4))</f>
        <v>0</v>
      </c>
      <c r="E13" s="204">
        <f xml:space="preserve">
IF($A$4&lt;=12,SUMIFS('ON Data'!I:I,'ON Data'!$D:$D,$A$4,'ON Data'!$E:$E,4),SUMIFS('ON Data'!I:I,'ON Data'!$E:$E,4))</f>
        <v>0</v>
      </c>
      <c r="F13" s="204">
        <f xml:space="preserve">
IF($A$4&lt;=12,SUMIFS('ON Data'!K:K,'ON Data'!$D:$D,$A$4,'ON Data'!$E:$E,4),SUMIFS('ON Data'!K:K,'ON Data'!$E:$E,4))</f>
        <v>172</v>
      </c>
      <c r="G13" s="204">
        <f xml:space="preserve">
IF($A$4&lt;=12,SUMIFS('ON Data'!L:L,'ON Data'!$D:$D,$A$4,'ON Data'!$E:$E,4),SUMIFS('ON Data'!L:L,'ON Data'!$E:$E,4))</f>
        <v>0</v>
      </c>
      <c r="H13" s="204">
        <f xml:space="preserve">
IF($A$4&lt;=12,SUMIFS('ON Data'!M:M,'ON Data'!$D:$D,$A$4,'ON Data'!$E:$E,4),SUMIFS('ON Data'!M:M,'ON Data'!$E:$E,4))</f>
        <v>0</v>
      </c>
      <c r="I13" s="204">
        <f xml:space="preserve">
IF($A$4&lt;=12,SUMIFS('ON Data'!N:N,'ON Data'!$D:$D,$A$4,'ON Data'!$E:$E,4),SUMIFS('ON Data'!N:N,'ON Data'!$E:$E,4))</f>
        <v>0</v>
      </c>
      <c r="J13" s="204">
        <f xml:space="preserve">
IF($A$4&lt;=12,SUMIFS('ON Data'!O:O,'ON Data'!$D:$D,$A$4,'ON Data'!$E:$E,4),SUMIFS('ON Data'!O:O,'ON Data'!$E:$E,4))</f>
        <v>0</v>
      </c>
      <c r="K13" s="204">
        <f xml:space="preserve">
IF($A$4&lt;=12,SUMIFS('ON Data'!P:P,'ON Data'!$D:$D,$A$4,'ON Data'!$E:$E,4),SUMIFS('ON Data'!P:P,'ON Data'!$E:$E,4))</f>
        <v>0</v>
      </c>
      <c r="L13" s="204">
        <f xml:space="preserve">
IF($A$4&lt;=12,SUMIFS('ON Data'!Q:Q,'ON Data'!$D:$D,$A$4,'ON Data'!$E:$E,4),SUMIFS('ON Data'!Q:Q,'ON Data'!$E:$E,4))</f>
        <v>0</v>
      </c>
      <c r="M13" s="204">
        <f xml:space="preserve">
IF($A$4&lt;=12,SUMIFS('ON Data'!R:R,'ON Data'!$D:$D,$A$4,'ON Data'!$E:$E,4),SUMIFS('ON Data'!R:R,'ON Data'!$E:$E,4))</f>
        <v>0</v>
      </c>
      <c r="N13" s="204">
        <f xml:space="preserve">
IF($A$4&lt;=12,SUMIFS('ON Data'!S:S,'ON Data'!$D:$D,$A$4,'ON Data'!$E:$E,4),SUMIFS('ON Data'!S:S,'ON Data'!$E:$E,4))</f>
        <v>0</v>
      </c>
      <c r="O13" s="204">
        <f xml:space="preserve">
IF($A$4&lt;=12,SUMIFS('ON Data'!T:T,'ON Data'!$D:$D,$A$4,'ON Data'!$E:$E,4),SUMIFS('ON Data'!T:T,'ON Data'!$E:$E,4))</f>
        <v>0</v>
      </c>
      <c r="P13" s="204">
        <f xml:space="preserve">
IF($A$4&lt;=12,SUMIFS('ON Data'!U:U,'ON Data'!$D:$D,$A$4,'ON Data'!$E:$E,4),SUMIFS('ON Data'!U:U,'ON Data'!$E:$E,4))</f>
        <v>0</v>
      </c>
      <c r="Q13" s="204">
        <f xml:space="preserve">
IF($A$4&lt;=12,SUMIFS('ON Data'!V:V,'ON Data'!$D:$D,$A$4,'ON Data'!$E:$E,4),SUMIFS('ON Data'!V:V,'ON Data'!$E:$E,4))</f>
        <v>0</v>
      </c>
      <c r="R13" s="204">
        <f xml:space="preserve">
IF($A$4&lt;=12,SUMIFS('ON Data'!W:W,'ON Data'!$D:$D,$A$4,'ON Data'!$E:$E,4),SUMIFS('ON Data'!W:W,'ON Data'!$E:$E,4))</f>
        <v>0</v>
      </c>
      <c r="S13" s="204">
        <f xml:space="preserve">
IF($A$4&lt;=12,SUMIFS('ON Data'!X:X,'ON Data'!$D:$D,$A$4,'ON Data'!$E:$E,4),SUMIFS('ON Data'!X:X,'ON Data'!$E:$E,4))</f>
        <v>0</v>
      </c>
      <c r="T13" s="204">
        <f xml:space="preserve">
IF($A$4&lt;=12,SUMIFS('ON Data'!Y:Y,'ON Data'!$D:$D,$A$4,'ON Data'!$E:$E,4),SUMIFS('ON Data'!Y:Y,'ON Data'!$E:$E,4))</f>
        <v>0</v>
      </c>
      <c r="U13" s="204">
        <f xml:space="preserve">
IF($A$4&lt;=12,SUMIFS('ON Data'!Z:Z,'ON Data'!$D:$D,$A$4,'ON Data'!$E:$E,4),SUMIFS('ON Data'!Z:Z,'ON Data'!$E:$E,4))</f>
        <v>0</v>
      </c>
      <c r="V13" s="204">
        <f xml:space="preserve">
IF($A$4&lt;=12,SUMIFS('ON Data'!AA:AA,'ON Data'!$D:$D,$A$4,'ON Data'!$E:$E,4),SUMIFS('ON Data'!AA:AA,'ON Data'!$E:$E,4))</f>
        <v>0</v>
      </c>
      <c r="W13" s="204">
        <f xml:space="preserve">
IF($A$4&lt;=12,SUMIFS('ON Data'!AB:AB,'ON Data'!$D:$D,$A$4,'ON Data'!$E:$E,4),SUMIFS('ON Data'!AB:AB,'ON Data'!$E:$E,4))</f>
        <v>0</v>
      </c>
      <c r="X13" s="204">
        <f xml:space="preserve">
IF($A$4&lt;=12,SUMIFS('ON Data'!AC:AC,'ON Data'!$D:$D,$A$4,'ON Data'!$E:$E,4),SUMIFS('ON Data'!AC:AC,'ON Data'!$E:$E,4))</f>
        <v>75</v>
      </c>
      <c r="Y13" s="204">
        <f xml:space="preserve">
IF($A$4&lt;=12,SUMIFS('ON Data'!AD:AD,'ON Data'!$D:$D,$A$4,'ON Data'!$E:$E,4),SUMIFS('ON Data'!AD:AD,'ON Data'!$E:$E,4))</f>
        <v>0</v>
      </c>
      <c r="Z13" s="204">
        <f xml:space="preserve">
IF($A$4&lt;=12,SUMIFS('ON Data'!AE:AE,'ON Data'!$D:$D,$A$4,'ON Data'!$E:$E,4),SUMIFS('ON Data'!AE:AE,'ON Data'!$E:$E,4))</f>
        <v>0</v>
      </c>
      <c r="AA13" s="204">
        <f xml:space="preserve">
IF($A$4&lt;=12,SUMIFS('ON Data'!AF:AF,'ON Data'!$D:$D,$A$4,'ON Data'!$E:$E,4),SUMIFS('ON Data'!AF:AF,'ON Data'!$E:$E,4))</f>
        <v>0</v>
      </c>
      <c r="AB13" s="204">
        <f xml:space="preserve">
IF($A$4&lt;=12,SUMIFS('ON Data'!AG:AG,'ON Data'!$D:$D,$A$4,'ON Data'!$E:$E,4),SUMIFS('ON Data'!AG:AG,'ON Data'!$E:$E,4))</f>
        <v>0</v>
      </c>
      <c r="AC13" s="204">
        <f xml:space="preserve">
IF($A$4&lt;=12,SUMIFS('ON Data'!AH:AH,'ON Data'!$D:$D,$A$4,'ON Data'!$E:$E,4),SUMIFS('ON Data'!AH:AH,'ON Data'!$E:$E,4))</f>
        <v>55</v>
      </c>
      <c r="AD13" s="204">
        <f xml:space="preserve">
IF($A$4&lt;=12,SUMIFS('ON Data'!AI:AI,'ON Data'!$D:$D,$A$4,'ON Data'!$E:$E,4),SUMIFS('ON Data'!AI:AI,'ON Data'!$E:$E,4))</f>
        <v>0</v>
      </c>
      <c r="AE13" s="204">
        <f xml:space="preserve">
IF($A$4&lt;=12,SUMIFS('ON Data'!AJ:AJ,'ON Data'!$D:$D,$A$4,'ON Data'!$E:$E,4),SUMIFS('ON Data'!AJ:AJ,'ON Data'!$E:$E,4))</f>
        <v>0</v>
      </c>
      <c r="AF13" s="204">
        <f xml:space="preserve">
IF($A$4&lt;=12,SUMIFS('ON Data'!AK:AK,'ON Data'!$D:$D,$A$4,'ON Data'!$E:$E,4),SUMIFS('ON Data'!AK:AK,'ON Data'!$E:$E,4))</f>
        <v>0</v>
      </c>
      <c r="AG13" s="403">
        <f xml:space="preserve">
IF($A$4&lt;=12,SUMIFS('ON Data'!AM:AM,'ON Data'!$D:$D,$A$4,'ON Data'!$E:$E,4),SUMIFS('ON Data'!AM:AM,'ON Data'!$E:$E,4))</f>
        <v>0</v>
      </c>
      <c r="AH13" s="413"/>
    </row>
    <row r="14" spans="1:34" ht="15" thickBot="1" x14ac:dyDescent="0.35">
      <c r="A14" s="186" t="s">
        <v>142</v>
      </c>
      <c r="B14" s="205">
        <f xml:space="preserve">
IF($A$4&lt;=12,SUMIFS('ON Data'!F:F,'ON Data'!$D:$D,$A$4,'ON Data'!$E:$E,5),SUMIFS('ON Data'!F:F,'ON Data'!$E:$E,5))</f>
        <v>0</v>
      </c>
      <c r="C14" s="206">
        <f xml:space="preserve">
IF($A$4&lt;=12,SUMIFS('ON Data'!G:G,'ON Data'!$D:$D,$A$4,'ON Data'!$E:$E,5),SUMIFS('ON Data'!G:G,'ON Data'!$E:$E,5))</f>
        <v>0</v>
      </c>
      <c r="D14" s="207">
        <f xml:space="preserve">
IF($A$4&lt;=12,SUMIFS('ON Data'!H:H,'ON Data'!$D:$D,$A$4,'ON Data'!$E:$E,5),SUMIFS('ON Data'!H:H,'ON Data'!$E:$E,5))</f>
        <v>0</v>
      </c>
      <c r="E14" s="207">
        <f xml:space="preserve">
IF($A$4&lt;=12,SUMIFS('ON Data'!I:I,'ON Data'!$D:$D,$A$4,'ON Data'!$E:$E,5),SUMIFS('ON Data'!I:I,'ON Data'!$E:$E,5))</f>
        <v>0</v>
      </c>
      <c r="F14" s="207">
        <f xml:space="preserve">
IF($A$4&lt;=12,SUMIFS('ON Data'!K:K,'ON Data'!$D:$D,$A$4,'ON Data'!$E:$E,5),SUMIFS('ON Data'!K:K,'ON Data'!$E:$E,5))</f>
        <v>0</v>
      </c>
      <c r="G14" s="207">
        <f xml:space="preserve">
IF($A$4&lt;=12,SUMIFS('ON Data'!L:L,'ON Data'!$D:$D,$A$4,'ON Data'!$E:$E,5),SUMIFS('ON Data'!L:L,'ON Data'!$E:$E,5))</f>
        <v>0</v>
      </c>
      <c r="H14" s="207">
        <f xml:space="preserve">
IF($A$4&lt;=12,SUMIFS('ON Data'!M:M,'ON Data'!$D:$D,$A$4,'ON Data'!$E:$E,5),SUMIFS('ON Data'!M:M,'ON Data'!$E:$E,5))</f>
        <v>0</v>
      </c>
      <c r="I14" s="207">
        <f xml:space="preserve">
IF($A$4&lt;=12,SUMIFS('ON Data'!N:N,'ON Data'!$D:$D,$A$4,'ON Data'!$E:$E,5),SUMIFS('ON Data'!N:N,'ON Data'!$E:$E,5))</f>
        <v>0</v>
      </c>
      <c r="J14" s="207">
        <f xml:space="preserve">
IF($A$4&lt;=12,SUMIFS('ON Data'!O:O,'ON Data'!$D:$D,$A$4,'ON Data'!$E:$E,5),SUMIFS('ON Data'!O:O,'ON Data'!$E:$E,5))</f>
        <v>0</v>
      </c>
      <c r="K14" s="207">
        <f xml:space="preserve">
IF($A$4&lt;=12,SUMIFS('ON Data'!P:P,'ON Data'!$D:$D,$A$4,'ON Data'!$E:$E,5),SUMIFS('ON Data'!P:P,'ON Data'!$E:$E,5))</f>
        <v>0</v>
      </c>
      <c r="L14" s="207">
        <f xml:space="preserve">
IF($A$4&lt;=12,SUMIFS('ON Data'!Q:Q,'ON Data'!$D:$D,$A$4,'ON Data'!$E:$E,5),SUMIFS('ON Data'!Q:Q,'ON Data'!$E:$E,5))</f>
        <v>0</v>
      </c>
      <c r="M14" s="207">
        <f xml:space="preserve">
IF($A$4&lt;=12,SUMIFS('ON Data'!R:R,'ON Data'!$D:$D,$A$4,'ON Data'!$E:$E,5),SUMIFS('ON Data'!R:R,'ON Data'!$E:$E,5))</f>
        <v>0</v>
      </c>
      <c r="N14" s="207">
        <f xml:space="preserve">
IF($A$4&lt;=12,SUMIFS('ON Data'!S:S,'ON Data'!$D:$D,$A$4,'ON Data'!$E:$E,5),SUMIFS('ON Data'!S:S,'ON Data'!$E:$E,5))</f>
        <v>0</v>
      </c>
      <c r="O14" s="207">
        <f xml:space="preserve">
IF($A$4&lt;=12,SUMIFS('ON Data'!T:T,'ON Data'!$D:$D,$A$4,'ON Data'!$E:$E,5),SUMIFS('ON Data'!T:T,'ON Data'!$E:$E,5))</f>
        <v>0</v>
      </c>
      <c r="P14" s="207">
        <f xml:space="preserve">
IF($A$4&lt;=12,SUMIFS('ON Data'!U:U,'ON Data'!$D:$D,$A$4,'ON Data'!$E:$E,5),SUMIFS('ON Data'!U:U,'ON Data'!$E:$E,5))</f>
        <v>0</v>
      </c>
      <c r="Q14" s="207">
        <f xml:space="preserve">
IF($A$4&lt;=12,SUMIFS('ON Data'!V:V,'ON Data'!$D:$D,$A$4,'ON Data'!$E:$E,5),SUMIFS('ON Data'!V:V,'ON Data'!$E:$E,5))</f>
        <v>0</v>
      </c>
      <c r="R14" s="207">
        <f xml:space="preserve">
IF($A$4&lt;=12,SUMIFS('ON Data'!W:W,'ON Data'!$D:$D,$A$4,'ON Data'!$E:$E,5),SUMIFS('ON Data'!W:W,'ON Data'!$E:$E,5))</f>
        <v>0</v>
      </c>
      <c r="S14" s="207">
        <f xml:space="preserve">
IF($A$4&lt;=12,SUMIFS('ON Data'!X:X,'ON Data'!$D:$D,$A$4,'ON Data'!$E:$E,5),SUMIFS('ON Data'!X:X,'ON Data'!$E:$E,5))</f>
        <v>0</v>
      </c>
      <c r="T14" s="207">
        <f xml:space="preserve">
IF($A$4&lt;=12,SUMIFS('ON Data'!Y:Y,'ON Data'!$D:$D,$A$4,'ON Data'!$E:$E,5),SUMIFS('ON Data'!Y:Y,'ON Data'!$E:$E,5))</f>
        <v>0</v>
      </c>
      <c r="U14" s="207">
        <f xml:space="preserve">
IF($A$4&lt;=12,SUMIFS('ON Data'!Z:Z,'ON Data'!$D:$D,$A$4,'ON Data'!$E:$E,5),SUMIFS('ON Data'!Z:Z,'ON Data'!$E:$E,5))</f>
        <v>0</v>
      </c>
      <c r="V14" s="207">
        <f xml:space="preserve">
IF($A$4&lt;=12,SUMIFS('ON Data'!AA:AA,'ON Data'!$D:$D,$A$4,'ON Data'!$E:$E,5),SUMIFS('ON Data'!AA:AA,'ON Data'!$E:$E,5))</f>
        <v>0</v>
      </c>
      <c r="W14" s="207">
        <f xml:space="preserve">
IF($A$4&lt;=12,SUMIFS('ON Data'!AB:AB,'ON Data'!$D:$D,$A$4,'ON Data'!$E:$E,5),SUMIFS('ON Data'!AB:AB,'ON Data'!$E:$E,5))</f>
        <v>0</v>
      </c>
      <c r="X14" s="207">
        <f xml:space="preserve">
IF($A$4&lt;=12,SUMIFS('ON Data'!AC:AC,'ON Data'!$D:$D,$A$4,'ON Data'!$E:$E,5),SUMIFS('ON Data'!AC:AC,'ON Data'!$E:$E,5))</f>
        <v>0</v>
      </c>
      <c r="Y14" s="207">
        <f xml:space="preserve">
IF($A$4&lt;=12,SUMIFS('ON Data'!AD:AD,'ON Data'!$D:$D,$A$4,'ON Data'!$E:$E,5),SUMIFS('ON Data'!AD:AD,'ON Data'!$E:$E,5))</f>
        <v>0</v>
      </c>
      <c r="Z14" s="207">
        <f xml:space="preserve">
IF($A$4&lt;=12,SUMIFS('ON Data'!AE:AE,'ON Data'!$D:$D,$A$4,'ON Data'!$E:$E,5),SUMIFS('ON Data'!AE:AE,'ON Data'!$E:$E,5))</f>
        <v>0</v>
      </c>
      <c r="AA14" s="207">
        <f xml:space="preserve">
IF($A$4&lt;=12,SUMIFS('ON Data'!AF:AF,'ON Data'!$D:$D,$A$4,'ON Data'!$E:$E,5),SUMIFS('ON Data'!AF:AF,'ON Data'!$E:$E,5))</f>
        <v>0</v>
      </c>
      <c r="AB14" s="207">
        <f xml:space="preserve">
IF($A$4&lt;=12,SUMIFS('ON Data'!AG:AG,'ON Data'!$D:$D,$A$4,'ON Data'!$E:$E,5),SUMIFS('ON Data'!AG:AG,'ON Data'!$E:$E,5))</f>
        <v>0</v>
      </c>
      <c r="AC14" s="207">
        <f xml:space="preserve">
IF($A$4&lt;=12,SUMIFS('ON Data'!AH:AH,'ON Data'!$D:$D,$A$4,'ON Data'!$E:$E,5),SUMIFS('ON Data'!AH:AH,'ON Data'!$E:$E,5))</f>
        <v>0</v>
      </c>
      <c r="AD14" s="207">
        <f xml:space="preserve">
IF($A$4&lt;=12,SUMIFS('ON Data'!AI:AI,'ON Data'!$D:$D,$A$4,'ON Data'!$E:$E,5),SUMIFS('ON Data'!AI:AI,'ON Data'!$E:$E,5))</f>
        <v>0</v>
      </c>
      <c r="AE14" s="207">
        <f xml:space="preserve">
IF($A$4&lt;=12,SUMIFS('ON Data'!AJ:AJ,'ON Data'!$D:$D,$A$4,'ON Data'!$E:$E,5),SUMIFS('ON Data'!AJ:AJ,'ON Data'!$E:$E,5))</f>
        <v>0</v>
      </c>
      <c r="AF14" s="207">
        <f xml:space="preserve">
IF($A$4&lt;=12,SUMIFS('ON Data'!AK:AK,'ON Data'!$D:$D,$A$4,'ON Data'!$E:$E,5),SUMIFS('ON Data'!AK:AK,'ON Data'!$E:$E,5))</f>
        <v>0</v>
      </c>
      <c r="AG14" s="404">
        <f xml:space="preserve">
IF($A$4&lt;=12,SUMIFS('ON Data'!AM:AM,'ON Data'!$D:$D,$A$4,'ON Data'!$E:$E,5),SUMIFS('ON Data'!AM:AM,'ON Data'!$E:$E,5))</f>
        <v>0</v>
      </c>
      <c r="AH14" s="413"/>
    </row>
    <row r="15" spans="1:34" x14ac:dyDescent="0.3">
      <c r="A15" s="126" t="s">
        <v>152</v>
      </c>
      <c r="B15" s="208"/>
      <c r="C15" s="209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405"/>
      <c r="AH15" s="413"/>
    </row>
    <row r="16" spans="1:34" x14ac:dyDescent="0.3">
      <c r="A16" s="187" t="s">
        <v>143</v>
      </c>
      <c r="B16" s="202">
        <f xml:space="preserve">
IF($A$4&lt;=12,SUMIFS('ON Data'!F:F,'ON Data'!$D:$D,$A$4,'ON Data'!$E:$E,7),SUMIFS('ON Data'!F:F,'ON Data'!$E:$E,7))</f>
        <v>0</v>
      </c>
      <c r="C16" s="203">
        <f xml:space="preserve">
IF($A$4&lt;=12,SUMIFS('ON Data'!G:G,'ON Data'!$D:$D,$A$4,'ON Data'!$E:$E,7),SUMIFS('ON Data'!G:G,'ON Data'!$E:$E,7))</f>
        <v>0</v>
      </c>
      <c r="D16" s="204">
        <f xml:space="preserve">
IF($A$4&lt;=12,SUMIFS('ON Data'!H:H,'ON Data'!$D:$D,$A$4,'ON Data'!$E:$E,7),SUMIFS('ON Data'!H:H,'ON Data'!$E:$E,7))</f>
        <v>0</v>
      </c>
      <c r="E16" s="204">
        <f xml:space="preserve">
IF($A$4&lt;=12,SUMIFS('ON Data'!I:I,'ON Data'!$D:$D,$A$4,'ON Data'!$E:$E,7),SUMIFS('ON Data'!I:I,'ON Data'!$E:$E,7))</f>
        <v>0</v>
      </c>
      <c r="F16" s="204">
        <f xml:space="preserve">
IF($A$4&lt;=12,SUMIFS('ON Data'!K:K,'ON Data'!$D:$D,$A$4,'ON Data'!$E:$E,7),SUMIFS('ON Data'!K:K,'ON Data'!$E:$E,7))</f>
        <v>0</v>
      </c>
      <c r="G16" s="204">
        <f xml:space="preserve">
IF($A$4&lt;=12,SUMIFS('ON Data'!L:L,'ON Data'!$D:$D,$A$4,'ON Data'!$E:$E,7),SUMIFS('ON Data'!L:L,'ON Data'!$E:$E,7))</f>
        <v>0</v>
      </c>
      <c r="H16" s="204">
        <f xml:space="preserve">
IF($A$4&lt;=12,SUMIFS('ON Data'!M:M,'ON Data'!$D:$D,$A$4,'ON Data'!$E:$E,7),SUMIFS('ON Data'!M:M,'ON Data'!$E:$E,7))</f>
        <v>0</v>
      </c>
      <c r="I16" s="204">
        <f xml:space="preserve">
IF($A$4&lt;=12,SUMIFS('ON Data'!N:N,'ON Data'!$D:$D,$A$4,'ON Data'!$E:$E,7),SUMIFS('ON Data'!N:N,'ON Data'!$E:$E,7))</f>
        <v>0</v>
      </c>
      <c r="J16" s="204">
        <f xml:space="preserve">
IF($A$4&lt;=12,SUMIFS('ON Data'!O:O,'ON Data'!$D:$D,$A$4,'ON Data'!$E:$E,7),SUMIFS('ON Data'!O:O,'ON Data'!$E:$E,7))</f>
        <v>0</v>
      </c>
      <c r="K16" s="204">
        <f xml:space="preserve">
IF($A$4&lt;=12,SUMIFS('ON Data'!P:P,'ON Data'!$D:$D,$A$4,'ON Data'!$E:$E,7),SUMIFS('ON Data'!P:P,'ON Data'!$E:$E,7))</f>
        <v>0</v>
      </c>
      <c r="L16" s="204">
        <f xml:space="preserve">
IF($A$4&lt;=12,SUMIFS('ON Data'!Q:Q,'ON Data'!$D:$D,$A$4,'ON Data'!$E:$E,7),SUMIFS('ON Data'!Q:Q,'ON Data'!$E:$E,7))</f>
        <v>0</v>
      </c>
      <c r="M16" s="204">
        <f xml:space="preserve">
IF($A$4&lt;=12,SUMIFS('ON Data'!R:R,'ON Data'!$D:$D,$A$4,'ON Data'!$E:$E,7),SUMIFS('ON Data'!R:R,'ON Data'!$E:$E,7))</f>
        <v>0</v>
      </c>
      <c r="N16" s="204">
        <f xml:space="preserve">
IF($A$4&lt;=12,SUMIFS('ON Data'!S:S,'ON Data'!$D:$D,$A$4,'ON Data'!$E:$E,7),SUMIFS('ON Data'!S:S,'ON Data'!$E:$E,7))</f>
        <v>0</v>
      </c>
      <c r="O16" s="204">
        <f xml:space="preserve">
IF($A$4&lt;=12,SUMIFS('ON Data'!T:T,'ON Data'!$D:$D,$A$4,'ON Data'!$E:$E,7),SUMIFS('ON Data'!T:T,'ON Data'!$E:$E,7))</f>
        <v>0</v>
      </c>
      <c r="P16" s="204">
        <f xml:space="preserve">
IF($A$4&lt;=12,SUMIFS('ON Data'!U:U,'ON Data'!$D:$D,$A$4,'ON Data'!$E:$E,7),SUMIFS('ON Data'!U:U,'ON Data'!$E:$E,7))</f>
        <v>0</v>
      </c>
      <c r="Q16" s="204">
        <f xml:space="preserve">
IF($A$4&lt;=12,SUMIFS('ON Data'!V:V,'ON Data'!$D:$D,$A$4,'ON Data'!$E:$E,7),SUMIFS('ON Data'!V:V,'ON Data'!$E:$E,7))</f>
        <v>0</v>
      </c>
      <c r="R16" s="204">
        <f xml:space="preserve">
IF($A$4&lt;=12,SUMIFS('ON Data'!W:W,'ON Data'!$D:$D,$A$4,'ON Data'!$E:$E,7),SUMIFS('ON Data'!W:W,'ON Data'!$E:$E,7))</f>
        <v>0</v>
      </c>
      <c r="S16" s="204">
        <f xml:space="preserve">
IF($A$4&lt;=12,SUMIFS('ON Data'!X:X,'ON Data'!$D:$D,$A$4,'ON Data'!$E:$E,7),SUMIFS('ON Data'!X:X,'ON Data'!$E:$E,7))</f>
        <v>0</v>
      </c>
      <c r="T16" s="204">
        <f xml:space="preserve">
IF($A$4&lt;=12,SUMIFS('ON Data'!Y:Y,'ON Data'!$D:$D,$A$4,'ON Data'!$E:$E,7),SUMIFS('ON Data'!Y:Y,'ON Data'!$E:$E,7))</f>
        <v>0</v>
      </c>
      <c r="U16" s="204">
        <f xml:space="preserve">
IF($A$4&lt;=12,SUMIFS('ON Data'!Z:Z,'ON Data'!$D:$D,$A$4,'ON Data'!$E:$E,7),SUMIFS('ON Data'!Z:Z,'ON Data'!$E:$E,7))</f>
        <v>0</v>
      </c>
      <c r="V16" s="204">
        <f xml:space="preserve">
IF($A$4&lt;=12,SUMIFS('ON Data'!AA:AA,'ON Data'!$D:$D,$A$4,'ON Data'!$E:$E,7),SUMIFS('ON Data'!AA:AA,'ON Data'!$E:$E,7))</f>
        <v>0</v>
      </c>
      <c r="W16" s="204">
        <f xml:space="preserve">
IF($A$4&lt;=12,SUMIFS('ON Data'!AB:AB,'ON Data'!$D:$D,$A$4,'ON Data'!$E:$E,7),SUMIFS('ON Data'!AB:AB,'ON Data'!$E:$E,7))</f>
        <v>0</v>
      </c>
      <c r="X16" s="204">
        <f xml:space="preserve">
IF($A$4&lt;=12,SUMIFS('ON Data'!AC:AC,'ON Data'!$D:$D,$A$4,'ON Data'!$E:$E,7),SUMIFS('ON Data'!AC:AC,'ON Data'!$E:$E,7))</f>
        <v>0</v>
      </c>
      <c r="Y16" s="204">
        <f xml:space="preserve">
IF($A$4&lt;=12,SUMIFS('ON Data'!AD:AD,'ON Data'!$D:$D,$A$4,'ON Data'!$E:$E,7),SUMIFS('ON Data'!AD:AD,'ON Data'!$E:$E,7))</f>
        <v>0</v>
      </c>
      <c r="Z16" s="204">
        <f xml:space="preserve">
IF($A$4&lt;=12,SUMIFS('ON Data'!AE:AE,'ON Data'!$D:$D,$A$4,'ON Data'!$E:$E,7),SUMIFS('ON Data'!AE:AE,'ON Data'!$E:$E,7))</f>
        <v>0</v>
      </c>
      <c r="AA16" s="204">
        <f xml:space="preserve">
IF($A$4&lt;=12,SUMIFS('ON Data'!AF:AF,'ON Data'!$D:$D,$A$4,'ON Data'!$E:$E,7),SUMIFS('ON Data'!AF:AF,'ON Data'!$E:$E,7))</f>
        <v>0</v>
      </c>
      <c r="AB16" s="204">
        <f xml:space="preserve">
IF($A$4&lt;=12,SUMIFS('ON Data'!AG:AG,'ON Data'!$D:$D,$A$4,'ON Data'!$E:$E,7),SUMIFS('ON Data'!AG:AG,'ON Data'!$E:$E,7))</f>
        <v>0</v>
      </c>
      <c r="AC16" s="204">
        <f xml:space="preserve">
IF($A$4&lt;=12,SUMIFS('ON Data'!AH:AH,'ON Data'!$D:$D,$A$4,'ON Data'!$E:$E,7),SUMIFS('ON Data'!AH:AH,'ON Data'!$E:$E,7))</f>
        <v>0</v>
      </c>
      <c r="AD16" s="204">
        <f xml:space="preserve">
IF($A$4&lt;=12,SUMIFS('ON Data'!AI:AI,'ON Data'!$D:$D,$A$4,'ON Data'!$E:$E,7),SUMIFS('ON Data'!AI:AI,'ON Data'!$E:$E,7))</f>
        <v>0</v>
      </c>
      <c r="AE16" s="204">
        <f xml:space="preserve">
IF($A$4&lt;=12,SUMIFS('ON Data'!AJ:AJ,'ON Data'!$D:$D,$A$4,'ON Data'!$E:$E,7),SUMIFS('ON Data'!AJ:AJ,'ON Data'!$E:$E,7))</f>
        <v>0</v>
      </c>
      <c r="AF16" s="204">
        <f xml:space="preserve">
IF($A$4&lt;=12,SUMIFS('ON Data'!AK:AK,'ON Data'!$D:$D,$A$4,'ON Data'!$E:$E,7),SUMIFS('ON Data'!AK:AK,'ON Data'!$E:$E,7))</f>
        <v>0</v>
      </c>
      <c r="AG16" s="403">
        <f xml:space="preserve">
IF($A$4&lt;=12,SUMIFS('ON Data'!AM:AM,'ON Data'!$D:$D,$A$4,'ON Data'!$E:$E,7),SUMIFS('ON Data'!AM:AM,'ON Data'!$E:$E,7))</f>
        <v>0</v>
      </c>
      <c r="AH16" s="413"/>
    </row>
    <row r="17" spans="1:34" x14ac:dyDescent="0.3">
      <c r="A17" s="187" t="s">
        <v>144</v>
      </c>
      <c r="B17" s="202">
        <f xml:space="preserve">
IF($A$4&lt;=12,SUMIFS('ON Data'!F:F,'ON Data'!$D:$D,$A$4,'ON Data'!$E:$E,8),SUMIFS('ON Data'!F:F,'ON Data'!$E:$E,8))</f>
        <v>0</v>
      </c>
      <c r="C17" s="203">
        <f xml:space="preserve">
IF($A$4&lt;=12,SUMIFS('ON Data'!G:G,'ON Data'!$D:$D,$A$4,'ON Data'!$E:$E,8),SUMIFS('ON Data'!G:G,'ON Data'!$E:$E,8))</f>
        <v>0</v>
      </c>
      <c r="D17" s="204">
        <f xml:space="preserve">
IF($A$4&lt;=12,SUMIFS('ON Data'!H:H,'ON Data'!$D:$D,$A$4,'ON Data'!$E:$E,8),SUMIFS('ON Data'!H:H,'ON Data'!$E:$E,8))</f>
        <v>0</v>
      </c>
      <c r="E17" s="204">
        <f xml:space="preserve">
IF($A$4&lt;=12,SUMIFS('ON Data'!I:I,'ON Data'!$D:$D,$A$4,'ON Data'!$E:$E,8),SUMIFS('ON Data'!I:I,'ON Data'!$E:$E,8))</f>
        <v>0</v>
      </c>
      <c r="F17" s="204">
        <f xml:space="preserve">
IF($A$4&lt;=12,SUMIFS('ON Data'!K:K,'ON Data'!$D:$D,$A$4,'ON Data'!$E:$E,8),SUMIFS('ON Data'!K:K,'ON Data'!$E:$E,8))</f>
        <v>0</v>
      </c>
      <c r="G17" s="204">
        <f xml:space="preserve">
IF($A$4&lt;=12,SUMIFS('ON Data'!L:L,'ON Data'!$D:$D,$A$4,'ON Data'!$E:$E,8),SUMIFS('ON Data'!L:L,'ON Data'!$E:$E,8))</f>
        <v>0</v>
      </c>
      <c r="H17" s="204">
        <f xml:space="preserve">
IF($A$4&lt;=12,SUMIFS('ON Data'!M:M,'ON Data'!$D:$D,$A$4,'ON Data'!$E:$E,8),SUMIFS('ON Data'!M:M,'ON Data'!$E:$E,8))</f>
        <v>0</v>
      </c>
      <c r="I17" s="204">
        <f xml:space="preserve">
IF($A$4&lt;=12,SUMIFS('ON Data'!N:N,'ON Data'!$D:$D,$A$4,'ON Data'!$E:$E,8),SUMIFS('ON Data'!N:N,'ON Data'!$E:$E,8))</f>
        <v>0</v>
      </c>
      <c r="J17" s="204">
        <f xml:space="preserve">
IF($A$4&lt;=12,SUMIFS('ON Data'!O:O,'ON Data'!$D:$D,$A$4,'ON Data'!$E:$E,8),SUMIFS('ON Data'!O:O,'ON Data'!$E:$E,8))</f>
        <v>0</v>
      </c>
      <c r="K17" s="204">
        <f xml:space="preserve">
IF($A$4&lt;=12,SUMIFS('ON Data'!P:P,'ON Data'!$D:$D,$A$4,'ON Data'!$E:$E,8),SUMIFS('ON Data'!P:P,'ON Data'!$E:$E,8))</f>
        <v>0</v>
      </c>
      <c r="L17" s="204">
        <f xml:space="preserve">
IF($A$4&lt;=12,SUMIFS('ON Data'!Q:Q,'ON Data'!$D:$D,$A$4,'ON Data'!$E:$E,8),SUMIFS('ON Data'!Q:Q,'ON Data'!$E:$E,8))</f>
        <v>0</v>
      </c>
      <c r="M17" s="204">
        <f xml:space="preserve">
IF($A$4&lt;=12,SUMIFS('ON Data'!R:R,'ON Data'!$D:$D,$A$4,'ON Data'!$E:$E,8),SUMIFS('ON Data'!R:R,'ON Data'!$E:$E,8))</f>
        <v>0</v>
      </c>
      <c r="N17" s="204">
        <f xml:space="preserve">
IF($A$4&lt;=12,SUMIFS('ON Data'!S:S,'ON Data'!$D:$D,$A$4,'ON Data'!$E:$E,8),SUMIFS('ON Data'!S:S,'ON Data'!$E:$E,8))</f>
        <v>0</v>
      </c>
      <c r="O17" s="204">
        <f xml:space="preserve">
IF($A$4&lt;=12,SUMIFS('ON Data'!T:T,'ON Data'!$D:$D,$A$4,'ON Data'!$E:$E,8),SUMIFS('ON Data'!T:T,'ON Data'!$E:$E,8))</f>
        <v>0</v>
      </c>
      <c r="P17" s="204">
        <f xml:space="preserve">
IF($A$4&lt;=12,SUMIFS('ON Data'!U:U,'ON Data'!$D:$D,$A$4,'ON Data'!$E:$E,8),SUMIFS('ON Data'!U:U,'ON Data'!$E:$E,8))</f>
        <v>0</v>
      </c>
      <c r="Q17" s="204">
        <f xml:space="preserve">
IF($A$4&lt;=12,SUMIFS('ON Data'!V:V,'ON Data'!$D:$D,$A$4,'ON Data'!$E:$E,8),SUMIFS('ON Data'!V:V,'ON Data'!$E:$E,8))</f>
        <v>0</v>
      </c>
      <c r="R17" s="204">
        <f xml:space="preserve">
IF($A$4&lt;=12,SUMIFS('ON Data'!W:W,'ON Data'!$D:$D,$A$4,'ON Data'!$E:$E,8),SUMIFS('ON Data'!W:W,'ON Data'!$E:$E,8))</f>
        <v>0</v>
      </c>
      <c r="S17" s="204">
        <f xml:space="preserve">
IF($A$4&lt;=12,SUMIFS('ON Data'!X:X,'ON Data'!$D:$D,$A$4,'ON Data'!$E:$E,8),SUMIFS('ON Data'!X:X,'ON Data'!$E:$E,8))</f>
        <v>0</v>
      </c>
      <c r="T17" s="204">
        <f xml:space="preserve">
IF($A$4&lt;=12,SUMIFS('ON Data'!Y:Y,'ON Data'!$D:$D,$A$4,'ON Data'!$E:$E,8),SUMIFS('ON Data'!Y:Y,'ON Data'!$E:$E,8))</f>
        <v>0</v>
      </c>
      <c r="U17" s="204">
        <f xml:space="preserve">
IF($A$4&lt;=12,SUMIFS('ON Data'!Z:Z,'ON Data'!$D:$D,$A$4,'ON Data'!$E:$E,8),SUMIFS('ON Data'!Z:Z,'ON Data'!$E:$E,8))</f>
        <v>0</v>
      </c>
      <c r="V17" s="204">
        <f xml:space="preserve">
IF($A$4&lt;=12,SUMIFS('ON Data'!AA:AA,'ON Data'!$D:$D,$A$4,'ON Data'!$E:$E,8),SUMIFS('ON Data'!AA:AA,'ON Data'!$E:$E,8))</f>
        <v>0</v>
      </c>
      <c r="W17" s="204">
        <f xml:space="preserve">
IF($A$4&lt;=12,SUMIFS('ON Data'!AB:AB,'ON Data'!$D:$D,$A$4,'ON Data'!$E:$E,8),SUMIFS('ON Data'!AB:AB,'ON Data'!$E:$E,8))</f>
        <v>0</v>
      </c>
      <c r="X17" s="204">
        <f xml:space="preserve">
IF($A$4&lt;=12,SUMIFS('ON Data'!AC:AC,'ON Data'!$D:$D,$A$4,'ON Data'!$E:$E,8),SUMIFS('ON Data'!AC:AC,'ON Data'!$E:$E,8))</f>
        <v>0</v>
      </c>
      <c r="Y17" s="204">
        <f xml:space="preserve">
IF($A$4&lt;=12,SUMIFS('ON Data'!AD:AD,'ON Data'!$D:$D,$A$4,'ON Data'!$E:$E,8),SUMIFS('ON Data'!AD:AD,'ON Data'!$E:$E,8))</f>
        <v>0</v>
      </c>
      <c r="Z17" s="204">
        <f xml:space="preserve">
IF($A$4&lt;=12,SUMIFS('ON Data'!AE:AE,'ON Data'!$D:$D,$A$4,'ON Data'!$E:$E,8),SUMIFS('ON Data'!AE:AE,'ON Data'!$E:$E,8))</f>
        <v>0</v>
      </c>
      <c r="AA17" s="204">
        <f xml:space="preserve">
IF($A$4&lt;=12,SUMIFS('ON Data'!AF:AF,'ON Data'!$D:$D,$A$4,'ON Data'!$E:$E,8),SUMIFS('ON Data'!AF:AF,'ON Data'!$E:$E,8))</f>
        <v>0</v>
      </c>
      <c r="AB17" s="204">
        <f xml:space="preserve">
IF($A$4&lt;=12,SUMIFS('ON Data'!AG:AG,'ON Data'!$D:$D,$A$4,'ON Data'!$E:$E,8),SUMIFS('ON Data'!AG:AG,'ON Data'!$E:$E,8))</f>
        <v>0</v>
      </c>
      <c r="AC17" s="204">
        <f xml:space="preserve">
IF($A$4&lt;=12,SUMIFS('ON Data'!AH:AH,'ON Data'!$D:$D,$A$4,'ON Data'!$E:$E,8),SUMIFS('ON Data'!AH:AH,'ON Data'!$E:$E,8))</f>
        <v>0</v>
      </c>
      <c r="AD17" s="204">
        <f xml:space="preserve">
IF($A$4&lt;=12,SUMIFS('ON Data'!AI:AI,'ON Data'!$D:$D,$A$4,'ON Data'!$E:$E,8),SUMIFS('ON Data'!AI:AI,'ON Data'!$E:$E,8))</f>
        <v>0</v>
      </c>
      <c r="AE17" s="204">
        <f xml:space="preserve">
IF($A$4&lt;=12,SUMIFS('ON Data'!AJ:AJ,'ON Data'!$D:$D,$A$4,'ON Data'!$E:$E,8),SUMIFS('ON Data'!AJ:AJ,'ON Data'!$E:$E,8))</f>
        <v>0</v>
      </c>
      <c r="AF17" s="204">
        <f xml:space="preserve">
IF($A$4&lt;=12,SUMIFS('ON Data'!AK:AK,'ON Data'!$D:$D,$A$4,'ON Data'!$E:$E,8),SUMIFS('ON Data'!AK:AK,'ON Data'!$E:$E,8))</f>
        <v>0</v>
      </c>
      <c r="AG17" s="403">
        <f xml:space="preserve">
IF($A$4&lt;=12,SUMIFS('ON Data'!AM:AM,'ON Data'!$D:$D,$A$4,'ON Data'!$E:$E,8),SUMIFS('ON Data'!AM:AM,'ON Data'!$E:$E,8))</f>
        <v>0</v>
      </c>
      <c r="AH17" s="413"/>
    </row>
    <row r="18" spans="1:34" x14ac:dyDescent="0.3">
      <c r="A18" s="187" t="s">
        <v>145</v>
      </c>
      <c r="B18" s="202">
        <f xml:space="preserve">
B19-B16-B17</f>
        <v>386268</v>
      </c>
      <c r="C18" s="203">
        <f t="shared" ref="C18" si="0" xml:space="preserve">
C19-C16-C17</f>
        <v>0</v>
      </c>
      <c r="D18" s="204">
        <f t="shared" ref="D18:AG18" si="1" xml:space="preserve">
D19-D16-D17</f>
        <v>0</v>
      </c>
      <c r="E18" s="204">
        <f t="shared" si="1"/>
        <v>0</v>
      </c>
      <c r="F18" s="204">
        <f t="shared" si="1"/>
        <v>251963</v>
      </c>
      <c r="G18" s="204">
        <f t="shared" si="1"/>
        <v>0</v>
      </c>
      <c r="H18" s="204">
        <f t="shared" si="1"/>
        <v>0</v>
      </c>
      <c r="I18" s="204">
        <f t="shared" si="1"/>
        <v>0</v>
      </c>
      <c r="J18" s="204">
        <f t="shared" si="1"/>
        <v>0</v>
      </c>
      <c r="K18" s="204">
        <f t="shared" si="1"/>
        <v>0</v>
      </c>
      <c r="L18" s="204">
        <f t="shared" si="1"/>
        <v>0</v>
      </c>
      <c r="M18" s="204">
        <f t="shared" si="1"/>
        <v>0</v>
      </c>
      <c r="N18" s="204">
        <f t="shared" si="1"/>
        <v>0</v>
      </c>
      <c r="O18" s="204">
        <f t="shared" si="1"/>
        <v>0</v>
      </c>
      <c r="P18" s="204">
        <f t="shared" si="1"/>
        <v>0</v>
      </c>
      <c r="Q18" s="204">
        <f t="shared" si="1"/>
        <v>0</v>
      </c>
      <c r="R18" s="204">
        <f t="shared" si="1"/>
        <v>0</v>
      </c>
      <c r="S18" s="204">
        <f t="shared" si="1"/>
        <v>0</v>
      </c>
      <c r="T18" s="204">
        <f t="shared" si="1"/>
        <v>0</v>
      </c>
      <c r="U18" s="204">
        <f t="shared" si="1"/>
        <v>0</v>
      </c>
      <c r="V18" s="204">
        <f t="shared" si="1"/>
        <v>0</v>
      </c>
      <c r="W18" s="204">
        <f t="shared" si="1"/>
        <v>0</v>
      </c>
      <c r="X18" s="204">
        <f t="shared" si="1"/>
        <v>40009</v>
      </c>
      <c r="Y18" s="204">
        <f t="shared" si="1"/>
        <v>0</v>
      </c>
      <c r="Z18" s="204">
        <f t="shared" si="1"/>
        <v>0</v>
      </c>
      <c r="AA18" s="204">
        <f t="shared" si="1"/>
        <v>0</v>
      </c>
      <c r="AB18" s="204">
        <f t="shared" si="1"/>
        <v>0</v>
      </c>
      <c r="AC18" s="204">
        <f t="shared" si="1"/>
        <v>94296</v>
      </c>
      <c r="AD18" s="204">
        <f t="shared" si="1"/>
        <v>0</v>
      </c>
      <c r="AE18" s="204">
        <f t="shared" si="1"/>
        <v>0</v>
      </c>
      <c r="AF18" s="204">
        <f t="shared" si="1"/>
        <v>0</v>
      </c>
      <c r="AG18" s="403">
        <f t="shared" si="1"/>
        <v>0</v>
      </c>
      <c r="AH18" s="413"/>
    </row>
    <row r="19" spans="1:34" ht="15" thickBot="1" x14ac:dyDescent="0.35">
      <c r="A19" s="188" t="s">
        <v>146</v>
      </c>
      <c r="B19" s="211">
        <f xml:space="preserve">
IF($A$4&lt;=12,SUMIFS('ON Data'!F:F,'ON Data'!$D:$D,$A$4,'ON Data'!$E:$E,9),SUMIFS('ON Data'!F:F,'ON Data'!$E:$E,9))</f>
        <v>386268</v>
      </c>
      <c r="C19" s="212">
        <f xml:space="preserve">
IF($A$4&lt;=12,SUMIFS('ON Data'!G:G,'ON Data'!$D:$D,$A$4,'ON Data'!$E:$E,9),SUMIFS('ON Data'!G:G,'ON Data'!$E:$E,9))</f>
        <v>0</v>
      </c>
      <c r="D19" s="213">
        <f xml:space="preserve">
IF($A$4&lt;=12,SUMIFS('ON Data'!H:H,'ON Data'!$D:$D,$A$4,'ON Data'!$E:$E,9),SUMIFS('ON Data'!H:H,'ON Data'!$E:$E,9))</f>
        <v>0</v>
      </c>
      <c r="E19" s="213">
        <f xml:space="preserve">
IF($A$4&lt;=12,SUMIFS('ON Data'!I:I,'ON Data'!$D:$D,$A$4,'ON Data'!$E:$E,9),SUMIFS('ON Data'!I:I,'ON Data'!$E:$E,9))</f>
        <v>0</v>
      </c>
      <c r="F19" s="213">
        <f xml:space="preserve">
IF($A$4&lt;=12,SUMIFS('ON Data'!K:K,'ON Data'!$D:$D,$A$4,'ON Data'!$E:$E,9),SUMIFS('ON Data'!K:K,'ON Data'!$E:$E,9))</f>
        <v>251963</v>
      </c>
      <c r="G19" s="213">
        <f xml:space="preserve">
IF($A$4&lt;=12,SUMIFS('ON Data'!L:L,'ON Data'!$D:$D,$A$4,'ON Data'!$E:$E,9),SUMIFS('ON Data'!L:L,'ON Data'!$E:$E,9))</f>
        <v>0</v>
      </c>
      <c r="H19" s="213">
        <f xml:space="preserve">
IF($A$4&lt;=12,SUMIFS('ON Data'!M:M,'ON Data'!$D:$D,$A$4,'ON Data'!$E:$E,9),SUMIFS('ON Data'!M:M,'ON Data'!$E:$E,9))</f>
        <v>0</v>
      </c>
      <c r="I19" s="213">
        <f xml:space="preserve">
IF($A$4&lt;=12,SUMIFS('ON Data'!N:N,'ON Data'!$D:$D,$A$4,'ON Data'!$E:$E,9),SUMIFS('ON Data'!N:N,'ON Data'!$E:$E,9))</f>
        <v>0</v>
      </c>
      <c r="J19" s="213">
        <f xml:space="preserve">
IF($A$4&lt;=12,SUMIFS('ON Data'!O:O,'ON Data'!$D:$D,$A$4,'ON Data'!$E:$E,9),SUMIFS('ON Data'!O:O,'ON Data'!$E:$E,9))</f>
        <v>0</v>
      </c>
      <c r="K19" s="213">
        <f xml:space="preserve">
IF($A$4&lt;=12,SUMIFS('ON Data'!P:P,'ON Data'!$D:$D,$A$4,'ON Data'!$E:$E,9),SUMIFS('ON Data'!P:P,'ON Data'!$E:$E,9))</f>
        <v>0</v>
      </c>
      <c r="L19" s="213">
        <f xml:space="preserve">
IF($A$4&lt;=12,SUMIFS('ON Data'!Q:Q,'ON Data'!$D:$D,$A$4,'ON Data'!$E:$E,9),SUMIFS('ON Data'!Q:Q,'ON Data'!$E:$E,9))</f>
        <v>0</v>
      </c>
      <c r="M19" s="213">
        <f xml:space="preserve">
IF($A$4&lt;=12,SUMIFS('ON Data'!R:R,'ON Data'!$D:$D,$A$4,'ON Data'!$E:$E,9),SUMIFS('ON Data'!R:R,'ON Data'!$E:$E,9))</f>
        <v>0</v>
      </c>
      <c r="N19" s="213">
        <f xml:space="preserve">
IF($A$4&lt;=12,SUMIFS('ON Data'!S:S,'ON Data'!$D:$D,$A$4,'ON Data'!$E:$E,9),SUMIFS('ON Data'!S:S,'ON Data'!$E:$E,9))</f>
        <v>0</v>
      </c>
      <c r="O19" s="213">
        <f xml:space="preserve">
IF($A$4&lt;=12,SUMIFS('ON Data'!T:T,'ON Data'!$D:$D,$A$4,'ON Data'!$E:$E,9),SUMIFS('ON Data'!T:T,'ON Data'!$E:$E,9))</f>
        <v>0</v>
      </c>
      <c r="P19" s="213">
        <f xml:space="preserve">
IF($A$4&lt;=12,SUMIFS('ON Data'!U:U,'ON Data'!$D:$D,$A$4,'ON Data'!$E:$E,9),SUMIFS('ON Data'!U:U,'ON Data'!$E:$E,9))</f>
        <v>0</v>
      </c>
      <c r="Q19" s="213">
        <f xml:space="preserve">
IF($A$4&lt;=12,SUMIFS('ON Data'!V:V,'ON Data'!$D:$D,$A$4,'ON Data'!$E:$E,9),SUMIFS('ON Data'!V:V,'ON Data'!$E:$E,9))</f>
        <v>0</v>
      </c>
      <c r="R19" s="213">
        <f xml:space="preserve">
IF($A$4&lt;=12,SUMIFS('ON Data'!W:W,'ON Data'!$D:$D,$A$4,'ON Data'!$E:$E,9),SUMIFS('ON Data'!W:W,'ON Data'!$E:$E,9))</f>
        <v>0</v>
      </c>
      <c r="S19" s="213">
        <f xml:space="preserve">
IF($A$4&lt;=12,SUMIFS('ON Data'!X:X,'ON Data'!$D:$D,$A$4,'ON Data'!$E:$E,9),SUMIFS('ON Data'!X:X,'ON Data'!$E:$E,9))</f>
        <v>0</v>
      </c>
      <c r="T19" s="213">
        <f xml:space="preserve">
IF($A$4&lt;=12,SUMIFS('ON Data'!Y:Y,'ON Data'!$D:$D,$A$4,'ON Data'!$E:$E,9),SUMIFS('ON Data'!Y:Y,'ON Data'!$E:$E,9))</f>
        <v>0</v>
      </c>
      <c r="U19" s="213">
        <f xml:space="preserve">
IF($A$4&lt;=12,SUMIFS('ON Data'!Z:Z,'ON Data'!$D:$D,$A$4,'ON Data'!$E:$E,9),SUMIFS('ON Data'!Z:Z,'ON Data'!$E:$E,9))</f>
        <v>0</v>
      </c>
      <c r="V19" s="213">
        <f xml:space="preserve">
IF($A$4&lt;=12,SUMIFS('ON Data'!AA:AA,'ON Data'!$D:$D,$A$4,'ON Data'!$E:$E,9),SUMIFS('ON Data'!AA:AA,'ON Data'!$E:$E,9))</f>
        <v>0</v>
      </c>
      <c r="W19" s="213">
        <f xml:space="preserve">
IF($A$4&lt;=12,SUMIFS('ON Data'!AB:AB,'ON Data'!$D:$D,$A$4,'ON Data'!$E:$E,9),SUMIFS('ON Data'!AB:AB,'ON Data'!$E:$E,9))</f>
        <v>0</v>
      </c>
      <c r="X19" s="213">
        <f xml:space="preserve">
IF($A$4&lt;=12,SUMIFS('ON Data'!AC:AC,'ON Data'!$D:$D,$A$4,'ON Data'!$E:$E,9),SUMIFS('ON Data'!AC:AC,'ON Data'!$E:$E,9))</f>
        <v>40009</v>
      </c>
      <c r="Y19" s="213">
        <f xml:space="preserve">
IF($A$4&lt;=12,SUMIFS('ON Data'!AD:AD,'ON Data'!$D:$D,$A$4,'ON Data'!$E:$E,9),SUMIFS('ON Data'!AD:AD,'ON Data'!$E:$E,9))</f>
        <v>0</v>
      </c>
      <c r="Z19" s="213">
        <f xml:space="preserve">
IF($A$4&lt;=12,SUMIFS('ON Data'!AE:AE,'ON Data'!$D:$D,$A$4,'ON Data'!$E:$E,9),SUMIFS('ON Data'!AE:AE,'ON Data'!$E:$E,9))</f>
        <v>0</v>
      </c>
      <c r="AA19" s="213">
        <f xml:space="preserve">
IF($A$4&lt;=12,SUMIFS('ON Data'!AF:AF,'ON Data'!$D:$D,$A$4,'ON Data'!$E:$E,9),SUMIFS('ON Data'!AF:AF,'ON Data'!$E:$E,9))</f>
        <v>0</v>
      </c>
      <c r="AB19" s="213">
        <f xml:space="preserve">
IF($A$4&lt;=12,SUMIFS('ON Data'!AG:AG,'ON Data'!$D:$D,$A$4,'ON Data'!$E:$E,9),SUMIFS('ON Data'!AG:AG,'ON Data'!$E:$E,9))</f>
        <v>0</v>
      </c>
      <c r="AC19" s="213">
        <f xml:space="preserve">
IF($A$4&lt;=12,SUMIFS('ON Data'!AH:AH,'ON Data'!$D:$D,$A$4,'ON Data'!$E:$E,9),SUMIFS('ON Data'!AH:AH,'ON Data'!$E:$E,9))</f>
        <v>94296</v>
      </c>
      <c r="AD19" s="213">
        <f xml:space="preserve">
IF($A$4&lt;=12,SUMIFS('ON Data'!AI:AI,'ON Data'!$D:$D,$A$4,'ON Data'!$E:$E,9),SUMIFS('ON Data'!AI:AI,'ON Data'!$E:$E,9))</f>
        <v>0</v>
      </c>
      <c r="AE19" s="213">
        <f xml:space="preserve">
IF($A$4&lt;=12,SUMIFS('ON Data'!AJ:AJ,'ON Data'!$D:$D,$A$4,'ON Data'!$E:$E,9),SUMIFS('ON Data'!AJ:AJ,'ON Data'!$E:$E,9))</f>
        <v>0</v>
      </c>
      <c r="AF19" s="213">
        <f xml:space="preserve">
IF($A$4&lt;=12,SUMIFS('ON Data'!AK:AK,'ON Data'!$D:$D,$A$4,'ON Data'!$E:$E,9),SUMIFS('ON Data'!AK:AK,'ON Data'!$E:$E,9))</f>
        <v>0</v>
      </c>
      <c r="AG19" s="406">
        <f xml:space="preserve">
IF($A$4&lt;=12,SUMIFS('ON Data'!AM:AM,'ON Data'!$D:$D,$A$4,'ON Data'!$E:$E,9),SUMIFS('ON Data'!AM:AM,'ON Data'!$E:$E,9))</f>
        <v>0</v>
      </c>
      <c r="AH19" s="413"/>
    </row>
    <row r="20" spans="1:34" ht="15" collapsed="1" thickBot="1" x14ac:dyDescent="0.35">
      <c r="A20" s="189" t="s">
        <v>55</v>
      </c>
      <c r="B20" s="214">
        <f xml:space="preserve">
IF($A$4&lt;=12,SUMIFS('ON Data'!F:F,'ON Data'!$D:$D,$A$4,'ON Data'!$E:$E,6),SUMIFS('ON Data'!F:F,'ON Data'!$E:$E,6))</f>
        <v>7008134</v>
      </c>
      <c r="C20" s="215">
        <f xml:space="preserve">
IF($A$4&lt;=12,SUMIFS('ON Data'!G:G,'ON Data'!$D:$D,$A$4,'ON Data'!$E:$E,6),SUMIFS('ON Data'!G:G,'ON Data'!$E:$E,6))</f>
        <v>0</v>
      </c>
      <c r="D20" s="216">
        <f xml:space="preserve">
IF($A$4&lt;=12,SUMIFS('ON Data'!H:H,'ON Data'!$D:$D,$A$4,'ON Data'!$E:$E,6),SUMIFS('ON Data'!H:H,'ON Data'!$E:$E,6))</f>
        <v>0</v>
      </c>
      <c r="E20" s="216">
        <f xml:space="preserve">
IF($A$4&lt;=12,SUMIFS('ON Data'!I:I,'ON Data'!$D:$D,$A$4,'ON Data'!$E:$E,6),SUMIFS('ON Data'!I:I,'ON Data'!$E:$E,6))</f>
        <v>0</v>
      </c>
      <c r="F20" s="216">
        <f xml:space="preserve">
IF($A$4&lt;=12,SUMIFS('ON Data'!K:K,'ON Data'!$D:$D,$A$4,'ON Data'!$E:$E,6),SUMIFS('ON Data'!K:K,'ON Data'!$E:$E,6))</f>
        <v>4348273</v>
      </c>
      <c r="G20" s="216">
        <f xml:space="preserve">
IF($A$4&lt;=12,SUMIFS('ON Data'!L:L,'ON Data'!$D:$D,$A$4,'ON Data'!$E:$E,6),SUMIFS('ON Data'!L:L,'ON Data'!$E:$E,6))</f>
        <v>0</v>
      </c>
      <c r="H20" s="216">
        <f xml:space="preserve">
IF($A$4&lt;=12,SUMIFS('ON Data'!M:M,'ON Data'!$D:$D,$A$4,'ON Data'!$E:$E,6),SUMIFS('ON Data'!M:M,'ON Data'!$E:$E,6))</f>
        <v>0</v>
      </c>
      <c r="I20" s="216">
        <f xml:space="preserve">
IF($A$4&lt;=12,SUMIFS('ON Data'!N:N,'ON Data'!$D:$D,$A$4,'ON Data'!$E:$E,6),SUMIFS('ON Data'!N:N,'ON Data'!$E:$E,6))</f>
        <v>0</v>
      </c>
      <c r="J20" s="216">
        <f xml:space="preserve">
IF($A$4&lt;=12,SUMIFS('ON Data'!O:O,'ON Data'!$D:$D,$A$4,'ON Data'!$E:$E,6),SUMIFS('ON Data'!O:O,'ON Data'!$E:$E,6))</f>
        <v>0</v>
      </c>
      <c r="K20" s="216">
        <f xml:space="preserve">
IF($A$4&lt;=12,SUMIFS('ON Data'!P:P,'ON Data'!$D:$D,$A$4,'ON Data'!$E:$E,6),SUMIFS('ON Data'!P:P,'ON Data'!$E:$E,6))</f>
        <v>0</v>
      </c>
      <c r="L20" s="216">
        <f xml:space="preserve">
IF($A$4&lt;=12,SUMIFS('ON Data'!Q:Q,'ON Data'!$D:$D,$A$4,'ON Data'!$E:$E,6),SUMIFS('ON Data'!Q:Q,'ON Data'!$E:$E,6))</f>
        <v>0</v>
      </c>
      <c r="M20" s="216">
        <f xml:space="preserve">
IF($A$4&lt;=12,SUMIFS('ON Data'!R:R,'ON Data'!$D:$D,$A$4,'ON Data'!$E:$E,6),SUMIFS('ON Data'!R:R,'ON Data'!$E:$E,6))</f>
        <v>0</v>
      </c>
      <c r="N20" s="216">
        <f xml:space="preserve">
IF($A$4&lt;=12,SUMIFS('ON Data'!S:S,'ON Data'!$D:$D,$A$4,'ON Data'!$E:$E,6),SUMIFS('ON Data'!S:S,'ON Data'!$E:$E,6))</f>
        <v>0</v>
      </c>
      <c r="O20" s="216">
        <f xml:space="preserve">
IF($A$4&lt;=12,SUMIFS('ON Data'!T:T,'ON Data'!$D:$D,$A$4,'ON Data'!$E:$E,6),SUMIFS('ON Data'!T:T,'ON Data'!$E:$E,6))</f>
        <v>0</v>
      </c>
      <c r="P20" s="216">
        <f xml:space="preserve">
IF($A$4&lt;=12,SUMIFS('ON Data'!U:U,'ON Data'!$D:$D,$A$4,'ON Data'!$E:$E,6),SUMIFS('ON Data'!U:U,'ON Data'!$E:$E,6))</f>
        <v>0</v>
      </c>
      <c r="Q20" s="216">
        <f xml:space="preserve">
IF($A$4&lt;=12,SUMIFS('ON Data'!V:V,'ON Data'!$D:$D,$A$4,'ON Data'!$E:$E,6),SUMIFS('ON Data'!V:V,'ON Data'!$E:$E,6))</f>
        <v>0</v>
      </c>
      <c r="R20" s="216">
        <f xml:space="preserve">
IF($A$4&lt;=12,SUMIFS('ON Data'!W:W,'ON Data'!$D:$D,$A$4,'ON Data'!$E:$E,6),SUMIFS('ON Data'!W:W,'ON Data'!$E:$E,6))</f>
        <v>0</v>
      </c>
      <c r="S20" s="216">
        <f xml:space="preserve">
IF($A$4&lt;=12,SUMIFS('ON Data'!X:X,'ON Data'!$D:$D,$A$4,'ON Data'!$E:$E,6),SUMIFS('ON Data'!X:X,'ON Data'!$E:$E,6))</f>
        <v>0</v>
      </c>
      <c r="T20" s="216">
        <f xml:space="preserve">
IF($A$4&lt;=12,SUMIFS('ON Data'!Y:Y,'ON Data'!$D:$D,$A$4,'ON Data'!$E:$E,6),SUMIFS('ON Data'!Y:Y,'ON Data'!$E:$E,6))</f>
        <v>0</v>
      </c>
      <c r="U20" s="216">
        <f xml:space="preserve">
IF($A$4&lt;=12,SUMIFS('ON Data'!Z:Z,'ON Data'!$D:$D,$A$4,'ON Data'!$E:$E,6),SUMIFS('ON Data'!Z:Z,'ON Data'!$E:$E,6))</f>
        <v>0</v>
      </c>
      <c r="V20" s="216">
        <f xml:space="preserve">
IF($A$4&lt;=12,SUMIFS('ON Data'!AA:AA,'ON Data'!$D:$D,$A$4,'ON Data'!$E:$E,6),SUMIFS('ON Data'!AA:AA,'ON Data'!$E:$E,6))</f>
        <v>0</v>
      </c>
      <c r="W20" s="216">
        <f xml:space="preserve">
IF($A$4&lt;=12,SUMIFS('ON Data'!AB:AB,'ON Data'!$D:$D,$A$4,'ON Data'!$E:$E,6),SUMIFS('ON Data'!AB:AB,'ON Data'!$E:$E,6))</f>
        <v>0</v>
      </c>
      <c r="X20" s="216">
        <f xml:space="preserve">
IF($A$4&lt;=12,SUMIFS('ON Data'!AC:AC,'ON Data'!$D:$D,$A$4,'ON Data'!$E:$E,6),SUMIFS('ON Data'!AC:AC,'ON Data'!$E:$E,6))</f>
        <v>772369</v>
      </c>
      <c r="Y20" s="216">
        <f xml:space="preserve">
IF($A$4&lt;=12,SUMIFS('ON Data'!AD:AD,'ON Data'!$D:$D,$A$4,'ON Data'!$E:$E,6),SUMIFS('ON Data'!AD:AD,'ON Data'!$E:$E,6))</f>
        <v>0</v>
      </c>
      <c r="Z20" s="216">
        <f xml:space="preserve">
IF($A$4&lt;=12,SUMIFS('ON Data'!AE:AE,'ON Data'!$D:$D,$A$4,'ON Data'!$E:$E,6),SUMIFS('ON Data'!AE:AE,'ON Data'!$E:$E,6))</f>
        <v>0</v>
      </c>
      <c r="AA20" s="216">
        <f xml:space="preserve">
IF($A$4&lt;=12,SUMIFS('ON Data'!AF:AF,'ON Data'!$D:$D,$A$4,'ON Data'!$E:$E,6),SUMIFS('ON Data'!AF:AF,'ON Data'!$E:$E,6))</f>
        <v>0</v>
      </c>
      <c r="AB20" s="216">
        <f xml:space="preserve">
IF($A$4&lt;=12,SUMIFS('ON Data'!AG:AG,'ON Data'!$D:$D,$A$4,'ON Data'!$E:$E,6),SUMIFS('ON Data'!AG:AG,'ON Data'!$E:$E,6))</f>
        <v>0</v>
      </c>
      <c r="AC20" s="216">
        <f xml:space="preserve">
IF($A$4&lt;=12,SUMIFS('ON Data'!AH:AH,'ON Data'!$D:$D,$A$4,'ON Data'!$E:$E,6),SUMIFS('ON Data'!AH:AH,'ON Data'!$E:$E,6))</f>
        <v>1887492</v>
      </c>
      <c r="AD20" s="216">
        <f xml:space="preserve">
IF($A$4&lt;=12,SUMIFS('ON Data'!AI:AI,'ON Data'!$D:$D,$A$4,'ON Data'!$E:$E,6),SUMIFS('ON Data'!AI:AI,'ON Data'!$E:$E,6))</f>
        <v>0</v>
      </c>
      <c r="AE20" s="216">
        <f xml:space="preserve">
IF($A$4&lt;=12,SUMIFS('ON Data'!AJ:AJ,'ON Data'!$D:$D,$A$4,'ON Data'!$E:$E,6),SUMIFS('ON Data'!AJ:AJ,'ON Data'!$E:$E,6))</f>
        <v>0</v>
      </c>
      <c r="AF20" s="216">
        <f xml:space="preserve">
IF($A$4&lt;=12,SUMIFS('ON Data'!AK:AK,'ON Data'!$D:$D,$A$4,'ON Data'!$E:$E,6),SUMIFS('ON Data'!AK:AK,'ON Data'!$E:$E,6))</f>
        <v>0</v>
      </c>
      <c r="AG20" s="407">
        <f xml:space="preserve">
IF($A$4&lt;=12,SUMIFS('ON Data'!AM:AM,'ON Data'!$D:$D,$A$4,'ON Data'!$E:$E,6),SUMIFS('ON Data'!AM:AM,'ON Data'!$E:$E,6))</f>
        <v>0</v>
      </c>
      <c r="AH20" s="413"/>
    </row>
    <row r="21" spans="1:34" ht="15" hidden="1" outlineLevel="1" thickBot="1" x14ac:dyDescent="0.35">
      <c r="A21" s="182" t="s">
        <v>62</v>
      </c>
      <c r="B21" s="202">
        <f xml:space="preserve">
IF($A$4&lt;=12,SUMIFS('ON Data'!F:F,'ON Data'!$D:$D,$A$4,'ON Data'!$E:$E,12),SUMIFS('ON Data'!F:F,'ON Data'!$E:$E,12))</f>
        <v>0</v>
      </c>
      <c r="C21" s="203">
        <f xml:space="preserve">
IF($A$4&lt;=12,SUMIFS('ON Data'!G:G,'ON Data'!$D:$D,$A$4,'ON Data'!$E:$E,12),SUMIFS('ON Data'!G:G,'ON Data'!$E:$E,12))</f>
        <v>0</v>
      </c>
      <c r="D21" s="204">
        <f xml:space="preserve">
IF($A$4&lt;=12,SUMIFS('ON Data'!H:H,'ON Data'!$D:$D,$A$4,'ON Data'!$E:$E,12),SUMIFS('ON Data'!H:H,'ON Data'!$E:$E,12))</f>
        <v>0</v>
      </c>
      <c r="E21" s="204">
        <f xml:space="preserve">
IF($A$4&lt;=12,SUMIFS('ON Data'!I:I,'ON Data'!$D:$D,$A$4,'ON Data'!$E:$E,12),SUMIFS('ON Data'!I:I,'ON Data'!$E:$E,12))</f>
        <v>0</v>
      </c>
      <c r="F21" s="204">
        <f xml:space="preserve">
IF($A$4&lt;=12,SUMIFS('ON Data'!K:K,'ON Data'!$D:$D,$A$4,'ON Data'!$E:$E,12),SUMIFS('ON Data'!K:K,'ON Data'!$E:$E,12))</f>
        <v>0</v>
      </c>
      <c r="G21" s="204">
        <f xml:space="preserve">
IF($A$4&lt;=12,SUMIFS('ON Data'!L:L,'ON Data'!$D:$D,$A$4,'ON Data'!$E:$E,12),SUMIFS('ON Data'!L:L,'ON Data'!$E:$E,12))</f>
        <v>0</v>
      </c>
      <c r="H21" s="204">
        <f xml:space="preserve">
IF($A$4&lt;=12,SUMIFS('ON Data'!M:M,'ON Data'!$D:$D,$A$4,'ON Data'!$E:$E,12),SUMIFS('ON Data'!M:M,'ON Data'!$E:$E,12))</f>
        <v>0</v>
      </c>
      <c r="I21" s="204">
        <f xml:space="preserve">
IF($A$4&lt;=12,SUMIFS('ON Data'!N:N,'ON Data'!$D:$D,$A$4,'ON Data'!$E:$E,12),SUMIFS('ON Data'!N:N,'ON Data'!$E:$E,12))</f>
        <v>0</v>
      </c>
      <c r="J21" s="204">
        <f xml:space="preserve">
IF($A$4&lt;=12,SUMIFS('ON Data'!O:O,'ON Data'!$D:$D,$A$4,'ON Data'!$E:$E,12),SUMIFS('ON Data'!O:O,'ON Data'!$E:$E,12))</f>
        <v>0</v>
      </c>
      <c r="K21" s="204">
        <f xml:space="preserve">
IF($A$4&lt;=12,SUMIFS('ON Data'!P:P,'ON Data'!$D:$D,$A$4,'ON Data'!$E:$E,12),SUMIFS('ON Data'!P:P,'ON Data'!$E:$E,12))</f>
        <v>0</v>
      </c>
      <c r="L21" s="204">
        <f xml:space="preserve">
IF($A$4&lt;=12,SUMIFS('ON Data'!Q:Q,'ON Data'!$D:$D,$A$4,'ON Data'!$E:$E,12),SUMIFS('ON Data'!Q:Q,'ON Data'!$E:$E,12))</f>
        <v>0</v>
      </c>
      <c r="M21" s="204">
        <f xml:space="preserve">
IF($A$4&lt;=12,SUMIFS('ON Data'!R:R,'ON Data'!$D:$D,$A$4,'ON Data'!$E:$E,12),SUMIFS('ON Data'!R:R,'ON Data'!$E:$E,12))</f>
        <v>0</v>
      </c>
      <c r="N21" s="204">
        <f xml:space="preserve">
IF($A$4&lt;=12,SUMIFS('ON Data'!S:S,'ON Data'!$D:$D,$A$4,'ON Data'!$E:$E,12),SUMIFS('ON Data'!S:S,'ON Data'!$E:$E,12))</f>
        <v>0</v>
      </c>
      <c r="O21" s="204">
        <f xml:space="preserve">
IF($A$4&lt;=12,SUMIFS('ON Data'!T:T,'ON Data'!$D:$D,$A$4,'ON Data'!$E:$E,12),SUMIFS('ON Data'!T:T,'ON Data'!$E:$E,12))</f>
        <v>0</v>
      </c>
      <c r="P21" s="204">
        <f xml:space="preserve">
IF($A$4&lt;=12,SUMIFS('ON Data'!U:U,'ON Data'!$D:$D,$A$4,'ON Data'!$E:$E,12),SUMIFS('ON Data'!U:U,'ON Data'!$E:$E,12))</f>
        <v>0</v>
      </c>
      <c r="Q21" s="204">
        <f xml:space="preserve">
IF($A$4&lt;=12,SUMIFS('ON Data'!V:V,'ON Data'!$D:$D,$A$4,'ON Data'!$E:$E,12),SUMIFS('ON Data'!V:V,'ON Data'!$E:$E,12))</f>
        <v>0</v>
      </c>
      <c r="R21" s="204">
        <f xml:space="preserve">
IF($A$4&lt;=12,SUMIFS('ON Data'!W:W,'ON Data'!$D:$D,$A$4,'ON Data'!$E:$E,12),SUMIFS('ON Data'!W:W,'ON Data'!$E:$E,12))</f>
        <v>0</v>
      </c>
      <c r="S21" s="204">
        <f xml:space="preserve">
IF($A$4&lt;=12,SUMIFS('ON Data'!X:X,'ON Data'!$D:$D,$A$4,'ON Data'!$E:$E,12),SUMIFS('ON Data'!X:X,'ON Data'!$E:$E,12))</f>
        <v>0</v>
      </c>
      <c r="T21" s="204">
        <f xml:space="preserve">
IF($A$4&lt;=12,SUMIFS('ON Data'!Y:Y,'ON Data'!$D:$D,$A$4,'ON Data'!$E:$E,12),SUMIFS('ON Data'!Y:Y,'ON Data'!$E:$E,12))</f>
        <v>0</v>
      </c>
      <c r="U21" s="204">
        <f xml:space="preserve">
IF($A$4&lt;=12,SUMIFS('ON Data'!Z:Z,'ON Data'!$D:$D,$A$4,'ON Data'!$E:$E,12),SUMIFS('ON Data'!Z:Z,'ON Data'!$E:$E,12))</f>
        <v>0</v>
      </c>
      <c r="V21" s="204">
        <f xml:space="preserve">
IF($A$4&lt;=12,SUMIFS('ON Data'!AA:AA,'ON Data'!$D:$D,$A$4,'ON Data'!$E:$E,12),SUMIFS('ON Data'!AA:AA,'ON Data'!$E:$E,12))</f>
        <v>0</v>
      </c>
      <c r="W21" s="204">
        <f xml:space="preserve">
IF($A$4&lt;=12,SUMIFS('ON Data'!AB:AB,'ON Data'!$D:$D,$A$4,'ON Data'!$E:$E,12),SUMIFS('ON Data'!AB:AB,'ON Data'!$E:$E,12))</f>
        <v>0</v>
      </c>
      <c r="X21" s="204">
        <f xml:space="preserve">
IF($A$4&lt;=12,SUMIFS('ON Data'!AC:AC,'ON Data'!$D:$D,$A$4,'ON Data'!$E:$E,12),SUMIFS('ON Data'!AC:AC,'ON Data'!$E:$E,12))</f>
        <v>0</v>
      </c>
      <c r="Y21" s="204">
        <f xml:space="preserve">
IF($A$4&lt;=12,SUMIFS('ON Data'!AD:AD,'ON Data'!$D:$D,$A$4,'ON Data'!$E:$E,12),SUMIFS('ON Data'!AD:AD,'ON Data'!$E:$E,12))</f>
        <v>0</v>
      </c>
      <c r="Z21" s="204">
        <f xml:space="preserve">
IF($A$4&lt;=12,SUMIFS('ON Data'!AE:AE,'ON Data'!$D:$D,$A$4,'ON Data'!$E:$E,12),SUMIFS('ON Data'!AE:AE,'ON Data'!$E:$E,12))</f>
        <v>0</v>
      </c>
      <c r="AA21" s="204">
        <f xml:space="preserve">
IF($A$4&lt;=12,SUMIFS('ON Data'!AF:AF,'ON Data'!$D:$D,$A$4,'ON Data'!$E:$E,12),SUMIFS('ON Data'!AF:AF,'ON Data'!$E:$E,12))</f>
        <v>0</v>
      </c>
      <c r="AB21" s="204">
        <f xml:space="preserve">
IF($A$4&lt;=12,SUMIFS('ON Data'!AG:AG,'ON Data'!$D:$D,$A$4,'ON Data'!$E:$E,12),SUMIFS('ON Data'!AG:AG,'ON Data'!$E:$E,12))</f>
        <v>0</v>
      </c>
      <c r="AC21" s="204">
        <f xml:space="preserve">
IF($A$4&lt;=12,SUMIFS('ON Data'!AH:AH,'ON Data'!$D:$D,$A$4,'ON Data'!$E:$E,12),SUMIFS('ON Data'!AH:AH,'ON Data'!$E:$E,12))</f>
        <v>0</v>
      </c>
      <c r="AD21" s="204">
        <f xml:space="preserve">
IF($A$4&lt;=12,SUMIFS('ON Data'!AI:AI,'ON Data'!$D:$D,$A$4,'ON Data'!$E:$E,12),SUMIFS('ON Data'!AI:AI,'ON Data'!$E:$E,12))</f>
        <v>0</v>
      </c>
      <c r="AE21" s="204">
        <f xml:space="preserve">
IF($A$4&lt;=12,SUMIFS('ON Data'!AJ:AJ,'ON Data'!$D:$D,$A$4,'ON Data'!$E:$E,12),SUMIFS('ON Data'!AJ:AJ,'ON Data'!$E:$E,12))</f>
        <v>0</v>
      </c>
      <c r="AF21" s="204">
        <f xml:space="preserve">
IF($A$4&lt;=12,SUMIFS('ON Data'!AK:AK,'ON Data'!$D:$D,$A$4,'ON Data'!$E:$E,12),SUMIFS('ON Data'!AK:AK,'ON Data'!$E:$E,12))</f>
        <v>0</v>
      </c>
      <c r="AG21" s="403">
        <f xml:space="preserve">
IF($A$4&lt;=12,SUMIFS('ON Data'!AM:AM,'ON Data'!$D:$D,$A$4,'ON Data'!$E:$E,12),SUMIFS('ON Data'!AM:AM,'ON Data'!$E:$E,12))</f>
        <v>0</v>
      </c>
      <c r="AH21" s="413"/>
    </row>
    <row r="22" spans="1:34" ht="15" hidden="1" outlineLevel="1" thickBot="1" x14ac:dyDescent="0.35">
      <c r="A22" s="182" t="s">
        <v>57</v>
      </c>
      <c r="B22" s="254" t="str">
        <f xml:space="preserve">
IF(OR(B21="",B21=0),"",B20/B21)</f>
        <v/>
      </c>
      <c r="C22" s="255" t="str">
        <f t="shared" ref="C22:AG22" si="2" xml:space="preserve">
IF(OR(C21="",C21=0),"",C20/C21)</f>
        <v/>
      </c>
      <c r="D22" s="256" t="str">
        <f t="shared" si="2"/>
        <v/>
      </c>
      <c r="E22" s="256" t="str">
        <f t="shared" si="2"/>
        <v/>
      </c>
      <c r="F22" s="256" t="str">
        <f t="shared" si="2"/>
        <v/>
      </c>
      <c r="G22" s="256" t="str">
        <f t="shared" si="2"/>
        <v/>
      </c>
      <c r="H22" s="256" t="str">
        <f t="shared" si="2"/>
        <v/>
      </c>
      <c r="I22" s="256" t="str">
        <f t="shared" si="2"/>
        <v/>
      </c>
      <c r="J22" s="256" t="str">
        <f t="shared" si="2"/>
        <v/>
      </c>
      <c r="K22" s="256" t="str">
        <f t="shared" si="2"/>
        <v/>
      </c>
      <c r="L22" s="256" t="str">
        <f t="shared" si="2"/>
        <v/>
      </c>
      <c r="M22" s="256" t="str">
        <f t="shared" si="2"/>
        <v/>
      </c>
      <c r="N22" s="256" t="str">
        <f t="shared" si="2"/>
        <v/>
      </c>
      <c r="O22" s="256" t="str">
        <f t="shared" si="2"/>
        <v/>
      </c>
      <c r="P22" s="256" t="str">
        <f t="shared" si="2"/>
        <v/>
      </c>
      <c r="Q22" s="256" t="str">
        <f t="shared" si="2"/>
        <v/>
      </c>
      <c r="R22" s="256" t="str">
        <f t="shared" si="2"/>
        <v/>
      </c>
      <c r="S22" s="256" t="str">
        <f t="shared" si="2"/>
        <v/>
      </c>
      <c r="T22" s="256" t="str">
        <f t="shared" si="2"/>
        <v/>
      </c>
      <c r="U22" s="256" t="str">
        <f t="shared" si="2"/>
        <v/>
      </c>
      <c r="V22" s="256" t="str">
        <f t="shared" si="2"/>
        <v/>
      </c>
      <c r="W22" s="256" t="str">
        <f t="shared" si="2"/>
        <v/>
      </c>
      <c r="X22" s="256" t="str">
        <f t="shared" si="2"/>
        <v/>
      </c>
      <c r="Y22" s="256" t="str">
        <f t="shared" si="2"/>
        <v/>
      </c>
      <c r="Z22" s="256" t="str">
        <f t="shared" si="2"/>
        <v/>
      </c>
      <c r="AA22" s="256" t="str">
        <f t="shared" si="2"/>
        <v/>
      </c>
      <c r="AB22" s="256" t="str">
        <f t="shared" si="2"/>
        <v/>
      </c>
      <c r="AC22" s="256" t="str">
        <f t="shared" si="2"/>
        <v/>
      </c>
      <c r="AD22" s="256" t="str">
        <f t="shared" si="2"/>
        <v/>
      </c>
      <c r="AE22" s="256" t="str">
        <f t="shared" si="2"/>
        <v/>
      </c>
      <c r="AF22" s="256" t="str">
        <f t="shared" si="2"/>
        <v/>
      </c>
      <c r="AG22" s="408" t="str">
        <f t="shared" si="2"/>
        <v/>
      </c>
      <c r="AH22" s="413"/>
    </row>
    <row r="23" spans="1:34" ht="15" hidden="1" outlineLevel="1" thickBot="1" x14ac:dyDescent="0.35">
      <c r="A23" s="190" t="s">
        <v>52</v>
      </c>
      <c r="B23" s="205">
        <f xml:space="preserve">
IF(B21="","",B20-B21)</f>
        <v>7008134</v>
      </c>
      <c r="C23" s="206">
        <f t="shared" ref="C23:AG23" si="3" xml:space="preserve">
IF(C21="","",C20-C21)</f>
        <v>0</v>
      </c>
      <c r="D23" s="207">
        <f t="shared" si="3"/>
        <v>0</v>
      </c>
      <c r="E23" s="207">
        <f t="shared" si="3"/>
        <v>0</v>
      </c>
      <c r="F23" s="207">
        <f t="shared" si="3"/>
        <v>4348273</v>
      </c>
      <c r="G23" s="207">
        <f t="shared" si="3"/>
        <v>0</v>
      </c>
      <c r="H23" s="207">
        <f t="shared" si="3"/>
        <v>0</v>
      </c>
      <c r="I23" s="207">
        <f t="shared" si="3"/>
        <v>0</v>
      </c>
      <c r="J23" s="207">
        <f t="shared" si="3"/>
        <v>0</v>
      </c>
      <c r="K23" s="207">
        <f t="shared" si="3"/>
        <v>0</v>
      </c>
      <c r="L23" s="207">
        <f t="shared" si="3"/>
        <v>0</v>
      </c>
      <c r="M23" s="207">
        <f t="shared" si="3"/>
        <v>0</v>
      </c>
      <c r="N23" s="207">
        <f t="shared" si="3"/>
        <v>0</v>
      </c>
      <c r="O23" s="207">
        <f t="shared" si="3"/>
        <v>0</v>
      </c>
      <c r="P23" s="207">
        <f t="shared" si="3"/>
        <v>0</v>
      </c>
      <c r="Q23" s="207">
        <f t="shared" si="3"/>
        <v>0</v>
      </c>
      <c r="R23" s="207">
        <f t="shared" si="3"/>
        <v>0</v>
      </c>
      <c r="S23" s="207">
        <f t="shared" si="3"/>
        <v>0</v>
      </c>
      <c r="T23" s="207">
        <f t="shared" si="3"/>
        <v>0</v>
      </c>
      <c r="U23" s="207">
        <f t="shared" si="3"/>
        <v>0</v>
      </c>
      <c r="V23" s="207">
        <f t="shared" si="3"/>
        <v>0</v>
      </c>
      <c r="W23" s="207">
        <f t="shared" si="3"/>
        <v>0</v>
      </c>
      <c r="X23" s="207">
        <f t="shared" si="3"/>
        <v>772369</v>
      </c>
      <c r="Y23" s="207">
        <f t="shared" si="3"/>
        <v>0</v>
      </c>
      <c r="Z23" s="207">
        <f t="shared" si="3"/>
        <v>0</v>
      </c>
      <c r="AA23" s="207">
        <f t="shared" si="3"/>
        <v>0</v>
      </c>
      <c r="AB23" s="207">
        <f t="shared" si="3"/>
        <v>0</v>
      </c>
      <c r="AC23" s="207">
        <f t="shared" si="3"/>
        <v>1887492</v>
      </c>
      <c r="AD23" s="207">
        <f t="shared" si="3"/>
        <v>0</v>
      </c>
      <c r="AE23" s="207">
        <f t="shared" si="3"/>
        <v>0</v>
      </c>
      <c r="AF23" s="207">
        <f t="shared" si="3"/>
        <v>0</v>
      </c>
      <c r="AG23" s="404">
        <f t="shared" si="3"/>
        <v>0</v>
      </c>
      <c r="AH23" s="413"/>
    </row>
    <row r="24" spans="1:34" x14ac:dyDescent="0.3">
      <c r="A24" s="184" t="s">
        <v>147</v>
      </c>
      <c r="B24" s="231" t="s">
        <v>2</v>
      </c>
      <c r="C24" s="414" t="s">
        <v>158</v>
      </c>
      <c r="D24" s="388"/>
      <c r="E24" s="389"/>
      <c r="F24" s="389" t="s">
        <v>159</v>
      </c>
      <c r="G24" s="389"/>
      <c r="H24" s="389"/>
      <c r="I24" s="389"/>
      <c r="J24" s="389"/>
      <c r="K24" s="389"/>
      <c r="L24" s="389"/>
      <c r="M24" s="389"/>
      <c r="N24" s="389"/>
      <c r="O24" s="389"/>
      <c r="P24" s="389"/>
      <c r="Q24" s="389"/>
      <c r="R24" s="389"/>
      <c r="S24" s="389"/>
      <c r="T24" s="389"/>
      <c r="U24" s="389"/>
      <c r="V24" s="389"/>
      <c r="W24" s="389"/>
      <c r="X24" s="389"/>
      <c r="Y24" s="389"/>
      <c r="Z24" s="389"/>
      <c r="AA24" s="389"/>
      <c r="AB24" s="389"/>
      <c r="AC24" s="389"/>
      <c r="AD24" s="389"/>
      <c r="AE24" s="389"/>
      <c r="AF24" s="389"/>
      <c r="AG24" s="409" t="s">
        <v>160</v>
      </c>
      <c r="AH24" s="413"/>
    </row>
    <row r="25" spans="1:34" x14ac:dyDescent="0.3">
      <c r="A25" s="185" t="s">
        <v>55</v>
      </c>
      <c r="B25" s="202">
        <f xml:space="preserve">
SUM(C25:AG25)</f>
        <v>0</v>
      </c>
      <c r="C25" s="415">
        <f xml:space="preserve">
IF($A$4&lt;=12,SUMIFS('ON Data'!H:H,'ON Data'!$D:$D,$A$4,'ON Data'!$E:$E,10),SUMIFS('ON Data'!H:H,'ON Data'!$E:$E,10))</f>
        <v>0</v>
      </c>
      <c r="D25" s="390"/>
      <c r="E25" s="391"/>
      <c r="F25" s="391">
        <f xml:space="preserve">
IF($A$4&lt;=12,SUMIFS('ON Data'!K:K,'ON Data'!$D:$D,$A$4,'ON Data'!$E:$E,10),SUMIFS('ON Data'!K:K,'ON Data'!$E:$E,10))</f>
        <v>0</v>
      </c>
      <c r="G25" s="391"/>
      <c r="H25" s="391"/>
      <c r="I25" s="391"/>
      <c r="J25" s="391"/>
      <c r="K25" s="391"/>
      <c r="L25" s="391"/>
      <c r="M25" s="391"/>
      <c r="N25" s="391"/>
      <c r="O25" s="391"/>
      <c r="P25" s="391"/>
      <c r="Q25" s="391"/>
      <c r="R25" s="391"/>
      <c r="S25" s="391"/>
      <c r="T25" s="391"/>
      <c r="U25" s="391"/>
      <c r="V25" s="391"/>
      <c r="W25" s="391"/>
      <c r="X25" s="391"/>
      <c r="Y25" s="391"/>
      <c r="Z25" s="391"/>
      <c r="AA25" s="391"/>
      <c r="AB25" s="391"/>
      <c r="AC25" s="391"/>
      <c r="AD25" s="391"/>
      <c r="AE25" s="391"/>
      <c r="AF25" s="391"/>
      <c r="AG25" s="410">
        <f xml:space="preserve">
IF($A$4&lt;=12,SUMIFS('ON Data'!AM:AM,'ON Data'!$D:$D,$A$4,'ON Data'!$E:$E,10),SUMIFS('ON Data'!AM:AM,'ON Data'!$E:$E,10))</f>
        <v>0</v>
      </c>
      <c r="AH25" s="413"/>
    </row>
    <row r="26" spans="1:34" x14ac:dyDescent="0.3">
      <c r="A26" s="191" t="s">
        <v>157</v>
      </c>
      <c r="B26" s="211">
        <f xml:space="preserve">
SUM(C26:AG26)</f>
        <v>0</v>
      </c>
      <c r="C26" s="415">
        <f xml:space="preserve">
IF($A$4&lt;=12,SUMIFS('ON Data'!H:H,'ON Data'!$D:$D,$A$4,'ON Data'!$E:$E,11),SUMIFS('ON Data'!H:H,'ON Data'!$E:$E,11))</f>
        <v>0</v>
      </c>
      <c r="D26" s="390"/>
      <c r="E26" s="391"/>
      <c r="F26" s="392">
        <f xml:space="preserve">
IF($A$4&lt;=12,SUMIFS('ON Data'!K:K,'ON Data'!$D:$D,$A$4,'ON Data'!$E:$E,11),SUMIFS('ON Data'!K:K,'ON Data'!$E:$E,11))</f>
        <v>0</v>
      </c>
      <c r="G26" s="392"/>
      <c r="H26" s="392"/>
      <c r="I26" s="392"/>
      <c r="J26" s="392"/>
      <c r="K26" s="392"/>
      <c r="L26" s="392"/>
      <c r="M26" s="392"/>
      <c r="N26" s="392"/>
      <c r="O26" s="392"/>
      <c r="P26" s="392"/>
      <c r="Q26" s="392"/>
      <c r="R26" s="392"/>
      <c r="S26" s="392"/>
      <c r="T26" s="392"/>
      <c r="U26" s="392"/>
      <c r="V26" s="392"/>
      <c r="W26" s="392"/>
      <c r="X26" s="392"/>
      <c r="Y26" s="392"/>
      <c r="Z26" s="392"/>
      <c r="AA26" s="392"/>
      <c r="AB26" s="392"/>
      <c r="AC26" s="392"/>
      <c r="AD26" s="392"/>
      <c r="AE26" s="392"/>
      <c r="AF26" s="392"/>
      <c r="AG26" s="410">
        <f xml:space="preserve">
IF($A$4&lt;=12,SUMIFS('ON Data'!AM:AM,'ON Data'!$D:$D,$A$4,'ON Data'!$E:$E,11),SUMIFS('ON Data'!AM:AM,'ON Data'!$E:$E,11))</f>
        <v>0</v>
      </c>
      <c r="AH26" s="413"/>
    </row>
    <row r="27" spans="1:34" x14ac:dyDescent="0.3">
      <c r="A27" s="191" t="s">
        <v>57</v>
      </c>
      <c r="B27" s="232">
        <f xml:space="preserve">
IF(B26=0,0,B25/B26)</f>
        <v>0</v>
      </c>
      <c r="C27" s="416">
        <f xml:space="preserve">
IF(C26=0,0,C25/C26)</f>
        <v>0</v>
      </c>
      <c r="D27" s="393"/>
      <c r="E27" s="394"/>
      <c r="F27" s="394">
        <f xml:space="preserve">
IF(F26=0,0,F25/F26)</f>
        <v>0</v>
      </c>
      <c r="G27" s="394"/>
      <c r="H27" s="394"/>
      <c r="I27" s="394"/>
      <c r="J27" s="394"/>
      <c r="K27" s="394"/>
      <c r="L27" s="394"/>
      <c r="M27" s="394"/>
      <c r="N27" s="394"/>
      <c r="O27" s="394"/>
      <c r="P27" s="394"/>
      <c r="Q27" s="394"/>
      <c r="R27" s="394"/>
      <c r="S27" s="394"/>
      <c r="T27" s="394"/>
      <c r="U27" s="394"/>
      <c r="V27" s="394"/>
      <c r="W27" s="394"/>
      <c r="X27" s="394"/>
      <c r="Y27" s="394"/>
      <c r="Z27" s="394"/>
      <c r="AA27" s="394"/>
      <c r="AB27" s="394"/>
      <c r="AC27" s="394"/>
      <c r="AD27" s="394"/>
      <c r="AE27" s="394"/>
      <c r="AF27" s="394"/>
      <c r="AG27" s="411">
        <f xml:space="preserve">
IF(AG26=0,0,AG25/AG26)</f>
        <v>0</v>
      </c>
      <c r="AH27" s="413"/>
    </row>
    <row r="28" spans="1:34" ht="15" thickBot="1" x14ac:dyDescent="0.35">
      <c r="A28" s="191" t="s">
        <v>156</v>
      </c>
      <c r="B28" s="211">
        <f xml:space="preserve">
SUM(C28:AG28)</f>
        <v>0</v>
      </c>
      <c r="C28" s="417">
        <f xml:space="preserve">
C26-C25</f>
        <v>0</v>
      </c>
      <c r="D28" s="395"/>
      <c r="E28" s="396"/>
      <c r="F28" s="396">
        <f xml:space="preserve">
F26-F25</f>
        <v>0</v>
      </c>
      <c r="G28" s="396"/>
      <c r="H28" s="396"/>
      <c r="I28" s="396"/>
      <c r="J28" s="396"/>
      <c r="K28" s="396"/>
      <c r="L28" s="396"/>
      <c r="M28" s="396"/>
      <c r="N28" s="396"/>
      <c r="O28" s="396"/>
      <c r="P28" s="396"/>
      <c r="Q28" s="396"/>
      <c r="R28" s="396"/>
      <c r="S28" s="396"/>
      <c r="T28" s="396"/>
      <c r="U28" s="396"/>
      <c r="V28" s="396"/>
      <c r="W28" s="396"/>
      <c r="X28" s="396"/>
      <c r="Y28" s="396"/>
      <c r="Z28" s="396"/>
      <c r="AA28" s="396"/>
      <c r="AB28" s="396"/>
      <c r="AC28" s="396"/>
      <c r="AD28" s="396"/>
      <c r="AE28" s="396"/>
      <c r="AF28" s="396"/>
      <c r="AG28" s="412">
        <f xml:space="preserve">
AG26-AG25</f>
        <v>0</v>
      </c>
      <c r="AH28" s="413"/>
    </row>
    <row r="29" spans="1:34" x14ac:dyDescent="0.3">
      <c r="A29" s="192"/>
      <c r="B29" s="192"/>
      <c r="C29" s="193"/>
      <c r="D29" s="192"/>
      <c r="E29" s="192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2"/>
      <c r="AF29" s="192"/>
      <c r="AG29" s="192"/>
    </row>
    <row r="30" spans="1:34" x14ac:dyDescent="0.3">
      <c r="A30" s="79" t="s">
        <v>90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114"/>
    </row>
    <row r="31" spans="1:34" x14ac:dyDescent="0.3">
      <c r="A31" s="80" t="s">
        <v>154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114"/>
    </row>
    <row r="32" spans="1:34" ht="14.4" customHeight="1" x14ac:dyDescent="0.3">
      <c r="A32" s="228" t="s">
        <v>151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29"/>
      <c r="AD32" s="229"/>
      <c r="AE32" s="229"/>
      <c r="AF32" s="229"/>
    </row>
    <row r="33" spans="1:1" x14ac:dyDescent="0.3">
      <c r="A33" s="230" t="s">
        <v>161</v>
      </c>
    </row>
    <row r="34" spans="1:1" x14ac:dyDescent="0.3">
      <c r="A34" s="230" t="s">
        <v>162</v>
      </c>
    </row>
    <row r="35" spans="1:1" x14ac:dyDescent="0.3">
      <c r="A35" s="230" t="s">
        <v>163</v>
      </c>
    </row>
    <row r="36" spans="1:1" x14ac:dyDescent="0.3">
      <c r="A36" s="230" t="s">
        <v>164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3" priority="4" operator="greaterThan">
      <formula>1</formula>
    </cfRule>
  </conditionalFormatting>
  <conditionalFormatting sqref="C28 AG28 F28">
    <cfRule type="cellIs" dxfId="2" priority="3" operator="lessThan">
      <formula>0</formula>
    </cfRule>
  </conditionalFormatting>
  <conditionalFormatting sqref="B22:AG22">
    <cfRule type="cellIs" dxfId="1" priority="2" operator="greaterThan">
      <formula>1</formula>
    </cfRule>
  </conditionalFormatting>
  <conditionalFormatting sqref="B23:AG23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46"/>
  <sheetViews>
    <sheetView showGridLines="0" showRowColHeaders="0" workbookViewId="0"/>
  </sheetViews>
  <sheetFormatPr defaultRowHeight="14.4" x14ac:dyDescent="0.3"/>
  <cols>
    <col min="1" max="16384" width="8.88671875" style="171"/>
  </cols>
  <sheetData>
    <row r="1" spans="1:40" x14ac:dyDescent="0.3">
      <c r="A1" s="171" t="s">
        <v>366</v>
      </c>
    </row>
    <row r="2" spans="1:40" x14ac:dyDescent="0.3">
      <c r="A2" s="175" t="s">
        <v>205</v>
      </c>
    </row>
    <row r="3" spans="1:40" x14ac:dyDescent="0.3">
      <c r="A3" s="171" t="s">
        <v>121</v>
      </c>
      <c r="B3" s="196">
        <v>2014</v>
      </c>
      <c r="D3" s="172">
        <f>MAX(D5:D1048576)</f>
        <v>10</v>
      </c>
      <c r="F3" s="172">
        <f>SUMIF($E5:$E1048576,"&lt;10",F5:F1048576)</f>
        <v>7439484.6399999997</v>
      </c>
      <c r="G3" s="172">
        <f t="shared" ref="G3:AN3" si="0">SUMIF($E5:$E1048576,"&lt;10",G5:G1048576)</f>
        <v>0</v>
      </c>
      <c r="H3" s="172">
        <f t="shared" si="0"/>
        <v>0</v>
      </c>
      <c r="I3" s="172">
        <f t="shared" si="0"/>
        <v>0</v>
      </c>
      <c r="J3" s="172">
        <f t="shared" si="0"/>
        <v>0</v>
      </c>
      <c r="K3" s="172">
        <f t="shared" si="0"/>
        <v>4622750.3899999997</v>
      </c>
      <c r="L3" s="172">
        <f t="shared" si="0"/>
        <v>0</v>
      </c>
      <c r="M3" s="172">
        <f t="shared" si="0"/>
        <v>0</v>
      </c>
      <c r="N3" s="172">
        <f t="shared" si="0"/>
        <v>0</v>
      </c>
      <c r="O3" s="172">
        <f t="shared" si="0"/>
        <v>0</v>
      </c>
      <c r="P3" s="172">
        <f t="shared" si="0"/>
        <v>0</v>
      </c>
      <c r="Q3" s="172">
        <f t="shared" si="0"/>
        <v>0</v>
      </c>
      <c r="R3" s="172">
        <f t="shared" si="0"/>
        <v>0</v>
      </c>
      <c r="S3" s="172">
        <f t="shared" si="0"/>
        <v>0</v>
      </c>
      <c r="T3" s="172">
        <f t="shared" si="0"/>
        <v>0</v>
      </c>
      <c r="U3" s="172">
        <f t="shared" si="0"/>
        <v>0</v>
      </c>
      <c r="V3" s="172">
        <f t="shared" si="0"/>
        <v>0</v>
      </c>
      <c r="W3" s="172">
        <f t="shared" si="0"/>
        <v>0</v>
      </c>
      <c r="X3" s="172">
        <f t="shared" si="0"/>
        <v>0</v>
      </c>
      <c r="Y3" s="172">
        <f t="shared" si="0"/>
        <v>0</v>
      </c>
      <c r="Z3" s="172">
        <f t="shared" si="0"/>
        <v>0</v>
      </c>
      <c r="AA3" s="172">
        <f t="shared" si="0"/>
        <v>0</v>
      </c>
      <c r="AB3" s="172">
        <f t="shared" si="0"/>
        <v>0</v>
      </c>
      <c r="AC3" s="172">
        <f t="shared" si="0"/>
        <v>818133.25</v>
      </c>
      <c r="AD3" s="172">
        <f t="shared" si="0"/>
        <v>0</v>
      </c>
      <c r="AE3" s="172">
        <f t="shared" si="0"/>
        <v>0</v>
      </c>
      <c r="AF3" s="172">
        <f t="shared" si="0"/>
        <v>0</v>
      </c>
      <c r="AG3" s="172">
        <f t="shared" si="0"/>
        <v>0</v>
      </c>
      <c r="AH3" s="172">
        <f t="shared" si="0"/>
        <v>1998601</v>
      </c>
      <c r="AI3" s="172">
        <f t="shared" si="0"/>
        <v>0</v>
      </c>
      <c r="AJ3" s="172">
        <f t="shared" si="0"/>
        <v>0</v>
      </c>
      <c r="AK3" s="172">
        <f t="shared" si="0"/>
        <v>0</v>
      </c>
      <c r="AL3" s="172">
        <f t="shared" si="0"/>
        <v>0</v>
      </c>
      <c r="AM3" s="172">
        <f t="shared" si="0"/>
        <v>0</v>
      </c>
      <c r="AN3" s="172">
        <f t="shared" si="0"/>
        <v>0</v>
      </c>
    </row>
    <row r="4" spans="1:40" x14ac:dyDescent="0.3">
      <c r="A4" s="171" t="s">
        <v>122</v>
      </c>
      <c r="B4" s="196">
        <v>1</v>
      </c>
      <c r="C4" s="173" t="s">
        <v>4</v>
      </c>
      <c r="D4" s="174" t="s">
        <v>51</v>
      </c>
      <c r="E4" s="174" t="s">
        <v>116</v>
      </c>
      <c r="F4" s="174" t="s">
        <v>2</v>
      </c>
      <c r="G4" s="174" t="s">
        <v>117</v>
      </c>
      <c r="H4" s="174" t="s">
        <v>118</v>
      </c>
      <c r="I4" s="174" t="s">
        <v>119</v>
      </c>
      <c r="J4" s="174" t="s">
        <v>120</v>
      </c>
      <c r="K4" s="174">
        <v>305</v>
      </c>
      <c r="L4" s="174">
        <v>306</v>
      </c>
      <c r="M4" s="174">
        <v>408</v>
      </c>
      <c r="N4" s="174">
        <v>409</v>
      </c>
      <c r="O4" s="174">
        <v>410</v>
      </c>
      <c r="P4" s="174">
        <v>415</v>
      </c>
      <c r="Q4" s="174">
        <v>416</v>
      </c>
      <c r="R4" s="174">
        <v>418</v>
      </c>
      <c r="S4" s="174">
        <v>419</v>
      </c>
      <c r="T4" s="174">
        <v>420</v>
      </c>
      <c r="U4" s="174">
        <v>421</v>
      </c>
      <c r="V4" s="174">
        <v>522</v>
      </c>
      <c r="W4" s="174">
        <v>523</v>
      </c>
      <c r="X4" s="174">
        <v>524</v>
      </c>
      <c r="Y4" s="174">
        <v>525</v>
      </c>
      <c r="Z4" s="174">
        <v>526</v>
      </c>
      <c r="AA4" s="174">
        <v>527</v>
      </c>
      <c r="AB4" s="174">
        <v>528</v>
      </c>
      <c r="AC4" s="174">
        <v>629</v>
      </c>
      <c r="AD4" s="174">
        <v>630</v>
      </c>
      <c r="AE4" s="174">
        <v>636</v>
      </c>
      <c r="AF4" s="174">
        <v>637</v>
      </c>
      <c r="AG4" s="174">
        <v>640</v>
      </c>
      <c r="AH4" s="174">
        <v>642</v>
      </c>
      <c r="AI4" s="174">
        <v>743</v>
      </c>
      <c r="AJ4" s="174">
        <v>745</v>
      </c>
      <c r="AK4" s="174">
        <v>746</v>
      </c>
      <c r="AL4" s="174">
        <v>747</v>
      </c>
      <c r="AM4" s="174">
        <v>930</v>
      </c>
      <c r="AN4" s="174">
        <v>940</v>
      </c>
    </row>
    <row r="5" spans="1:40" x14ac:dyDescent="0.3">
      <c r="A5" s="171" t="s">
        <v>123</v>
      </c>
      <c r="B5" s="196">
        <v>2</v>
      </c>
      <c r="C5" s="171">
        <v>56</v>
      </c>
      <c r="D5" s="171">
        <v>1</v>
      </c>
      <c r="E5" s="171">
        <v>1</v>
      </c>
      <c r="F5" s="171">
        <v>32.25</v>
      </c>
      <c r="G5" s="171">
        <v>0</v>
      </c>
      <c r="H5" s="171">
        <v>0</v>
      </c>
      <c r="I5" s="171">
        <v>0</v>
      </c>
      <c r="J5" s="171">
        <v>0</v>
      </c>
      <c r="K5" s="171">
        <v>16.25</v>
      </c>
      <c r="L5" s="171">
        <v>0</v>
      </c>
      <c r="M5" s="171">
        <v>0</v>
      </c>
      <c r="N5" s="171">
        <v>0</v>
      </c>
      <c r="O5" s="171">
        <v>0</v>
      </c>
      <c r="P5" s="171">
        <v>0</v>
      </c>
      <c r="Q5" s="171">
        <v>0</v>
      </c>
      <c r="R5" s="171">
        <v>0</v>
      </c>
      <c r="S5" s="171">
        <v>0</v>
      </c>
      <c r="T5" s="171">
        <v>0</v>
      </c>
      <c r="U5" s="171">
        <v>0</v>
      </c>
      <c r="V5" s="171">
        <v>0</v>
      </c>
      <c r="W5" s="171">
        <v>0</v>
      </c>
      <c r="X5" s="171">
        <v>0</v>
      </c>
      <c r="Y5" s="171">
        <v>0</v>
      </c>
      <c r="Z5" s="171">
        <v>0</v>
      </c>
      <c r="AA5" s="171">
        <v>0</v>
      </c>
      <c r="AB5" s="171">
        <v>0</v>
      </c>
      <c r="AC5" s="171">
        <v>4</v>
      </c>
      <c r="AD5" s="171">
        <v>0</v>
      </c>
      <c r="AE5" s="171">
        <v>0</v>
      </c>
      <c r="AF5" s="171">
        <v>0</v>
      </c>
      <c r="AG5" s="171">
        <v>0</v>
      </c>
      <c r="AH5" s="171">
        <v>12</v>
      </c>
      <c r="AI5" s="171">
        <v>0</v>
      </c>
      <c r="AJ5" s="171">
        <v>0</v>
      </c>
      <c r="AK5" s="171">
        <v>0</v>
      </c>
      <c r="AL5" s="171">
        <v>0</v>
      </c>
      <c r="AM5" s="171">
        <v>0</v>
      </c>
      <c r="AN5" s="171">
        <v>0</v>
      </c>
    </row>
    <row r="6" spans="1:40" x14ac:dyDescent="0.3">
      <c r="A6" s="171" t="s">
        <v>124</v>
      </c>
      <c r="B6" s="196">
        <v>3</v>
      </c>
      <c r="C6" s="171">
        <v>56</v>
      </c>
      <c r="D6" s="171">
        <v>1</v>
      </c>
      <c r="E6" s="171">
        <v>2</v>
      </c>
      <c r="F6" s="171">
        <v>5216.88</v>
      </c>
      <c r="G6" s="171">
        <v>0</v>
      </c>
      <c r="H6" s="171">
        <v>0</v>
      </c>
      <c r="I6" s="171">
        <v>0</v>
      </c>
      <c r="J6" s="171">
        <v>0</v>
      </c>
      <c r="K6" s="171">
        <v>2590.13</v>
      </c>
      <c r="L6" s="171">
        <v>0</v>
      </c>
      <c r="M6" s="171">
        <v>0</v>
      </c>
      <c r="N6" s="171">
        <v>0</v>
      </c>
      <c r="O6" s="171">
        <v>0</v>
      </c>
      <c r="P6" s="171">
        <v>0</v>
      </c>
      <c r="Q6" s="171">
        <v>0</v>
      </c>
      <c r="R6" s="171">
        <v>0</v>
      </c>
      <c r="S6" s="171">
        <v>0</v>
      </c>
      <c r="T6" s="171">
        <v>0</v>
      </c>
      <c r="U6" s="171">
        <v>0</v>
      </c>
      <c r="V6" s="171">
        <v>0</v>
      </c>
      <c r="W6" s="171">
        <v>0</v>
      </c>
      <c r="X6" s="171">
        <v>0</v>
      </c>
      <c r="Y6" s="171">
        <v>0</v>
      </c>
      <c r="Z6" s="171">
        <v>0</v>
      </c>
      <c r="AA6" s="171">
        <v>0</v>
      </c>
      <c r="AB6" s="171">
        <v>0</v>
      </c>
      <c r="AC6" s="171">
        <v>690</v>
      </c>
      <c r="AD6" s="171">
        <v>0</v>
      </c>
      <c r="AE6" s="171">
        <v>0</v>
      </c>
      <c r="AF6" s="171">
        <v>0</v>
      </c>
      <c r="AG6" s="171">
        <v>0</v>
      </c>
      <c r="AH6" s="171">
        <v>1936.75</v>
      </c>
      <c r="AI6" s="171">
        <v>0</v>
      </c>
      <c r="AJ6" s="171">
        <v>0</v>
      </c>
      <c r="AK6" s="171">
        <v>0</v>
      </c>
      <c r="AL6" s="171">
        <v>0</v>
      </c>
      <c r="AM6" s="171">
        <v>0</v>
      </c>
      <c r="AN6" s="171">
        <v>0</v>
      </c>
    </row>
    <row r="7" spans="1:40" x14ac:dyDescent="0.3">
      <c r="A7" s="171" t="s">
        <v>125</v>
      </c>
      <c r="B7" s="196">
        <v>4</v>
      </c>
      <c r="C7" s="171">
        <v>56</v>
      </c>
      <c r="D7" s="171">
        <v>1</v>
      </c>
      <c r="E7" s="171">
        <v>6</v>
      </c>
      <c r="F7" s="171">
        <v>680614</v>
      </c>
      <c r="G7" s="171">
        <v>0</v>
      </c>
      <c r="H7" s="171">
        <v>0</v>
      </c>
      <c r="I7" s="171">
        <v>0</v>
      </c>
      <c r="J7" s="171">
        <v>0</v>
      </c>
      <c r="K7" s="171">
        <v>428820</v>
      </c>
      <c r="L7" s="171">
        <v>0</v>
      </c>
      <c r="M7" s="171">
        <v>0</v>
      </c>
      <c r="N7" s="171">
        <v>0</v>
      </c>
      <c r="O7" s="171">
        <v>0</v>
      </c>
      <c r="P7" s="171">
        <v>0</v>
      </c>
      <c r="Q7" s="171">
        <v>0</v>
      </c>
      <c r="R7" s="171">
        <v>0</v>
      </c>
      <c r="S7" s="171">
        <v>0</v>
      </c>
      <c r="T7" s="171">
        <v>0</v>
      </c>
      <c r="U7" s="171">
        <v>0</v>
      </c>
      <c r="V7" s="171">
        <v>0</v>
      </c>
      <c r="W7" s="171">
        <v>0</v>
      </c>
      <c r="X7" s="171">
        <v>0</v>
      </c>
      <c r="Y7" s="171">
        <v>0</v>
      </c>
      <c r="Z7" s="171">
        <v>0</v>
      </c>
      <c r="AA7" s="171">
        <v>0</v>
      </c>
      <c r="AB7" s="171">
        <v>0</v>
      </c>
      <c r="AC7" s="171">
        <v>67324</v>
      </c>
      <c r="AD7" s="171">
        <v>0</v>
      </c>
      <c r="AE7" s="171">
        <v>0</v>
      </c>
      <c r="AF7" s="171">
        <v>0</v>
      </c>
      <c r="AG7" s="171">
        <v>0</v>
      </c>
      <c r="AH7" s="171">
        <v>184470</v>
      </c>
      <c r="AI7" s="171">
        <v>0</v>
      </c>
      <c r="AJ7" s="171">
        <v>0</v>
      </c>
      <c r="AK7" s="171">
        <v>0</v>
      </c>
      <c r="AL7" s="171">
        <v>0</v>
      </c>
      <c r="AM7" s="171">
        <v>0</v>
      </c>
      <c r="AN7" s="171">
        <v>0</v>
      </c>
    </row>
    <row r="8" spans="1:40" x14ac:dyDescent="0.3">
      <c r="A8" s="171" t="s">
        <v>126</v>
      </c>
      <c r="B8" s="196">
        <v>5</v>
      </c>
      <c r="C8" s="171">
        <v>56</v>
      </c>
      <c r="D8" s="171">
        <v>2</v>
      </c>
      <c r="E8" s="171">
        <v>1</v>
      </c>
      <c r="F8" s="171">
        <v>32.25</v>
      </c>
      <c r="G8" s="171">
        <v>0</v>
      </c>
      <c r="H8" s="171">
        <v>0</v>
      </c>
      <c r="I8" s="171">
        <v>0</v>
      </c>
      <c r="J8" s="171">
        <v>0</v>
      </c>
      <c r="K8" s="171">
        <v>16.25</v>
      </c>
      <c r="L8" s="171">
        <v>0</v>
      </c>
      <c r="M8" s="171">
        <v>0</v>
      </c>
      <c r="N8" s="171">
        <v>0</v>
      </c>
      <c r="O8" s="171">
        <v>0</v>
      </c>
      <c r="P8" s="171">
        <v>0</v>
      </c>
      <c r="Q8" s="171">
        <v>0</v>
      </c>
      <c r="R8" s="171">
        <v>0</v>
      </c>
      <c r="S8" s="171">
        <v>0</v>
      </c>
      <c r="T8" s="171">
        <v>0</v>
      </c>
      <c r="U8" s="171">
        <v>0</v>
      </c>
      <c r="V8" s="171">
        <v>0</v>
      </c>
      <c r="W8" s="171">
        <v>0</v>
      </c>
      <c r="X8" s="171">
        <v>0</v>
      </c>
      <c r="Y8" s="171">
        <v>0</v>
      </c>
      <c r="Z8" s="171">
        <v>0</v>
      </c>
      <c r="AA8" s="171">
        <v>0</v>
      </c>
      <c r="AB8" s="171">
        <v>0</v>
      </c>
      <c r="AC8" s="171">
        <v>4</v>
      </c>
      <c r="AD8" s="171">
        <v>0</v>
      </c>
      <c r="AE8" s="171">
        <v>0</v>
      </c>
      <c r="AF8" s="171">
        <v>0</v>
      </c>
      <c r="AG8" s="171">
        <v>0</v>
      </c>
      <c r="AH8" s="171">
        <v>12</v>
      </c>
      <c r="AI8" s="171">
        <v>0</v>
      </c>
      <c r="AJ8" s="171">
        <v>0</v>
      </c>
      <c r="AK8" s="171">
        <v>0</v>
      </c>
      <c r="AL8" s="171">
        <v>0</v>
      </c>
      <c r="AM8" s="171">
        <v>0</v>
      </c>
      <c r="AN8" s="171">
        <v>0</v>
      </c>
    </row>
    <row r="9" spans="1:40" x14ac:dyDescent="0.3">
      <c r="A9" s="171" t="s">
        <v>127</v>
      </c>
      <c r="B9" s="196">
        <v>6</v>
      </c>
      <c r="C9" s="171">
        <v>56</v>
      </c>
      <c r="D9" s="171">
        <v>2</v>
      </c>
      <c r="E9" s="171">
        <v>2</v>
      </c>
      <c r="F9" s="171">
        <v>4360.25</v>
      </c>
      <c r="G9" s="171">
        <v>0</v>
      </c>
      <c r="H9" s="171">
        <v>0</v>
      </c>
      <c r="I9" s="171">
        <v>0</v>
      </c>
      <c r="J9" s="171">
        <v>0</v>
      </c>
      <c r="K9" s="171">
        <v>2186.5</v>
      </c>
      <c r="L9" s="171">
        <v>0</v>
      </c>
      <c r="M9" s="171">
        <v>0</v>
      </c>
      <c r="N9" s="171">
        <v>0</v>
      </c>
      <c r="O9" s="171">
        <v>0</v>
      </c>
      <c r="P9" s="171">
        <v>0</v>
      </c>
      <c r="Q9" s="171">
        <v>0</v>
      </c>
      <c r="R9" s="171">
        <v>0</v>
      </c>
      <c r="S9" s="171">
        <v>0</v>
      </c>
      <c r="T9" s="171">
        <v>0</v>
      </c>
      <c r="U9" s="171">
        <v>0</v>
      </c>
      <c r="V9" s="171">
        <v>0</v>
      </c>
      <c r="W9" s="171">
        <v>0</v>
      </c>
      <c r="X9" s="171">
        <v>0</v>
      </c>
      <c r="Y9" s="171">
        <v>0</v>
      </c>
      <c r="Z9" s="171">
        <v>0</v>
      </c>
      <c r="AA9" s="171">
        <v>0</v>
      </c>
      <c r="AB9" s="171">
        <v>0</v>
      </c>
      <c r="AC9" s="171">
        <v>555</v>
      </c>
      <c r="AD9" s="171">
        <v>0</v>
      </c>
      <c r="AE9" s="171">
        <v>0</v>
      </c>
      <c r="AF9" s="171">
        <v>0</v>
      </c>
      <c r="AG9" s="171">
        <v>0</v>
      </c>
      <c r="AH9" s="171">
        <v>1618.75</v>
      </c>
      <c r="AI9" s="171">
        <v>0</v>
      </c>
      <c r="AJ9" s="171">
        <v>0</v>
      </c>
      <c r="AK9" s="171">
        <v>0</v>
      </c>
      <c r="AL9" s="171">
        <v>0</v>
      </c>
      <c r="AM9" s="171">
        <v>0</v>
      </c>
      <c r="AN9" s="171">
        <v>0</v>
      </c>
    </row>
    <row r="10" spans="1:40" x14ac:dyDescent="0.3">
      <c r="A10" s="171" t="s">
        <v>128</v>
      </c>
      <c r="B10" s="196">
        <v>7</v>
      </c>
      <c r="C10" s="171">
        <v>56</v>
      </c>
      <c r="D10" s="171">
        <v>2</v>
      </c>
      <c r="E10" s="171">
        <v>6</v>
      </c>
      <c r="F10" s="171">
        <v>661078</v>
      </c>
      <c r="G10" s="171">
        <v>0</v>
      </c>
      <c r="H10" s="171">
        <v>0</v>
      </c>
      <c r="I10" s="171">
        <v>0</v>
      </c>
      <c r="J10" s="171">
        <v>0</v>
      </c>
      <c r="K10" s="171">
        <v>411224</v>
      </c>
      <c r="L10" s="171">
        <v>0</v>
      </c>
      <c r="M10" s="171">
        <v>0</v>
      </c>
      <c r="N10" s="171">
        <v>0</v>
      </c>
      <c r="O10" s="171">
        <v>0</v>
      </c>
      <c r="P10" s="171">
        <v>0</v>
      </c>
      <c r="Q10" s="171">
        <v>0</v>
      </c>
      <c r="R10" s="171">
        <v>0</v>
      </c>
      <c r="S10" s="171">
        <v>0</v>
      </c>
      <c r="T10" s="171">
        <v>0</v>
      </c>
      <c r="U10" s="171">
        <v>0</v>
      </c>
      <c r="V10" s="171">
        <v>0</v>
      </c>
      <c r="W10" s="171">
        <v>0</v>
      </c>
      <c r="X10" s="171">
        <v>0</v>
      </c>
      <c r="Y10" s="171">
        <v>0</v>
      </c>
      <c r="Z10" s="171">
        <v>0</v>
      </c>
      <c r="AA10" s="171">
        <v>0</v>
      </c>
      <c r="AB10" s="171">
        <v>0</v>
      </c>
      <c r="AC10" s="171">
        <v>68927</v>
      </c>
      <c r="AD10" s="171">
        <v>0</v>
      </c>
      <c r="AE10" s="171">
        <v>0</v>
      </c>
      <c r="AF10" s="171">
        <v>0</v>
      </c>
      <c r="AG10" s="171">
        <v>0</v>
      </c>
      <c r="AH10" s="171">
        <v>180927</v>
      </c>
      <c r="AI10" s="171">
        <v>0</v>
      </c>
      <c r="AJ10" s="171">
        <v>0</v>
      </c>
      <c r="AK10" s="171">
        <v>0</v>
      </c>
      <c r="AL10" s="171">
        <v>0</v>
      </c>
      <c r="AM10" s="171">
        <v>0</v>
      </c>
      <c r="AN10" s="171">
        <v>0</v>
      </c>
    </row>
    <row r="11" spans="1:40" x14ac:dyDescent="0.3">
      <c r="A11" s="171" t="s">
        <v>129</v>
      </c>
      <c r="B11" s="196">
        <v>8</v>
      </c>
      <c r="C11" s="171">
        <v>56</v>
      </c>
      <c r="D11" s="171">
        <v>2</v>
      </c>
      <c r="E11" s="171">
        <v>9</v>
      </c>
      <c r="F11" s="171">
        <v>7920</v>
      </c>
      <c r="G11" s="171">
        <v>0</v>
      </c>
      <c r="H11" s="171">
        <v>0</v>
      </c>
      <c r="I11" s="171">
        <v>0</v>
      </c>
      <c r="J11" s="171">
        <v>0</v>
      </c>
      <c r="K11" s="171">
        <v>4920</v>
      </c>
      <c r="L11" s="171">
        <v>0</v>
      </c>
      <c r="M11" s="171">
        <v>0</v>
      </c>
      <c r="N11" s="171">
        <v>0</v>
      </c>
      <c r="O11" s="171">
        <v>0</v>
      </c>
      <c r="P11" s="171">
        <v>0</v>
      </c>
      <c r="Q11" s="171">
        <v>0</v>
      </c>
      <c r="R11" s="171">
        <v>0</v>
      </c>
      <c r="S11" s="171">
        <v>0</v>
      </c>
      <c r="T11" s="171">
        <v>0</v>
      </c>
      <c r="U11" s="171">
        <v>0</v>
      </c>
      <c r="V11" s="171">
        <v>0</v>
      </c>
      <c r="W11" s="171">
        <v>0</v>
      </c>
      <c r="X11" s="171">
        <v>0</v>
      </c>
      <c r="Y11" s="171">
        <v>0</v>
      </c>
      <c r="Z11" s="171">
        <v>0</v>
      </c>
      <c r="AA11" s="171">
        <v>0</v>
      </c>
      <c r="AB11" s="171">
        <v>0</v>
      </c>
      <c r="AC11" s="171">
        <v>3000</v>
      </c>
      <c r="AD11" s="171">
        <v>0</v>
      </c>
      <c r="AE11" s="171">
        <v>0</v>
      </c>
      <c r="AF11" s="171">
        <v>0</v>
      </c>
      <c r="AG11" s="171">
        <v>0</v>
      </c>
      <c r="AH11" s="171">
        <v>0</v>
      </c>
      <c r="AI11" s="171">
        <v>0</v>
      </c>
      <c r="AJ11" s="171">
        <v>0</v>
      </c>
      <c r="AK11" s="171">
        <v>0</v>
      </c>
      <c r="AL11" s="171">
        <v>0</v>
      </c>
      <c r="AM11" s="171">
        <v>0</v>
      </c>
      <c r="AN11" s="171">
        <v>0</v>
      </c>
    </row>
    <row r="12" spans="1:40" x14ac:dyDescent="0.3">
      <c r="A12" s="171" t="s">
        <v>130</v>
      </c>
      <c r="B12" s="196">
        <v>9</v>
      </c>
      <c r="C12" s="171">
        <v>56</v>
      </c>
      <c r="D12" s="171">
        <v>3</v>
      </c>
      <c r="E12" s="171">
        <v>1</v>
      </c>
      <c r="F12" s="171">
        <v>32.25</v>
      </c>
      <c r="G12" s="171">
        <v>0</v>
      </c>
      <c r="H12" s="171">
        <v>0</v>
      </c>
      <c r="I12" s="171">
        <v>0</v>
      </c>
      <c r="J12" s="171">
        <v>0</v>
      </c>
      <c r="K12" s="171">
        <v>16.25</v>
      </c>
      <c r="L12" s="171">
        <v>0</v>
      </c>
      <c r="M12" s="171">
        <v>0</v>
      </c>
      <c r="N12" s="171">
        <v>0</v>
      </c>
      <c r="O12" s="171">
        <v>0</v>
      </c>
      <c r="P12" s="171">
        <v>0</v>
      </c>
      <c r="Q12" s="171">
        <v>0</v>
      </c>
      <c r="R12" s="171">
        <v>0</v>
      </c>
      <c r="S12" s="171">
        <v>0</v>
      </c>
      <c r="T12" s="171">
        <v>0</v>
      </c>
      <c r="U12" s="171">
        <v>0</v>
      </c>
      <c r="V12" s="171">
        <v>0</v>
      </c>
      <c r="W12" s="171">
        <v>0</v>
      </c>
      <c r="X12" s="171">
        <v>0</v>
      </c>
      <c r="Y12" s="171">
        <v>0</v>
      </c>
      <c r="Z12" s="171">
        <v>0</v>
      </c>
      <c r="AA12" s="171">
        <v>0</v>
      </c>
      <c r="AB12" s="171">
        <v>0</v>
      </c>
      <c r="AC12" s="171">
        <v>4</v>
      </c>
      <c r="AD12" s="171">
        <v>0</v>
      </c>
      <c r="AE12" s="171">
        <v>0</v>
      </c>
      <c r="AF12" s="171">
        <v>0</v>
      </c>
      <c r="AG12" s="171">
        <v>0</v>
      </c>
      <c r="AH12" s="171">
        <v>12</v>
      </c>
      <c r="AI12" s="171">
        <v>0</v>
      </c>
      <c r="AJ12" s="171">
        <v>0</v>
      </c>
      <c r="AK12" s="171">
        <v>0</v>
      </c>
      <c r="AL12" s="171">
        <v>0</v>
      </c>
      <c r="AM12" s="171">
        <v>0</v>
      </c>
      <c r="AN12" s="171">
        <v>0</v>
      </c>
    </row>
    <row r="13" spans="1:40" x14ac:dyDescent="0.3">
      <c r="A13" s="171" t="s">
        <v>131</v>
      </c>
      <c r="B13" s="196">
        <v>10</v>
      </c>
      <c r="C13" s="171">
        <v>56</v>
      </c>
      <c r="D13" s="171">
        <v>3</v>
      </c>
      <c r="E13" s="171">
        <v>2</v>
      </c>
      <c r="F13" s="171">
        <v>4426.63</v>
      </c>
      <c r="G13" s="171">
        <v>0</v>
      </c>
      <c r="H13" s="171">
        <v>0</v>
      </c>
      <c r="I13" s="171">
        <v>0</v>
      </c>
      <c r="J13" s="171">
        <v>0</v>
      </c>
      <c r="K13" s="171">
        <v>2130.88</v>
      </c>
      <c r="L13" s="171">
        <v>0</v>
      </c>
      <c r="M13" s="171">
        <v>0</v>
      </c>
      <c r="N13" s="171">
        <v>0</v>
      </c>
      <c r="O13" s="171">
        <v>0</v>
      </c>
      <c r="P13" s="171">
        <v>0</v>
      </c>
      <c r="Q13" s="171">
        <v>0</v>
      </c>
      <c r="R13" s="171">
        <v>0</v>
      </c>
      <c r="S13" s="171">
        <v>0</v>
      </c>
      <c r="T13" s="171">
        <v>0</v>
      </c>
      <c r="U13" s="171">
        <v>0</v>
      </c>
      <c r="V13" s="171">
        <v>0</v>
      </c>
      <c r="W13" s="171">
        <v>0</v>
      </c>
      <c r="X13" s="171">
        <v>0</v>
      </c>
      <c r="Y13" s="171">
        <v>0</v>
      </c>
      <c r="Z13" s="171">
        <v>0</v>
      </c>
      <c r="AA13" s="171">
        <v>0</v>
      </c>
      <c r="AB13" s="171">
        <v>0</v>
      </c>
      <c r="AC13" s="171">
        <v>622.5</v>
      </c>
      <c r="AD13" s="171">
        <v>0</v>
      </c>
      <c r="AE13" s="171">
        <v>0</v>
      </c>
      <c r="AF13" s="171">
        <v>0</v>
      </c>
      <c r="AG13" s="171">
        <v>0</v>
      </c>
      <c r="AH13" s="171">
        <v>1673.25</v>
      </c>
      <c r="AI13" s="171">
        <v>0</v>
      </c>
      <c r="AJ13" s="171">
        <v>0</v>
      </c>
      <c r="AK13" s="171">
        <v>0</v>
      </c>
      <c r="AL13" s="171">
        <v>0</v>
      </c>
      <c r="AM13" s="171">
        <v>0</v>
      </c>
      <c r="AN13" s="171">
        <v>0</v>
      </c>
    </row>
    <row r="14" spans="1:40" x14ac:dyDescent="0.3">
      <c r="A14" s="171" t="s">
        <v>132</v>
      </c>
      <c r="B14" s="196">
        <v>11</v>
      </c>
      <c r="C14" s="171">
        <v>56</v>
      </c>
      <c r="D14" s="171">
        <v>3</v>
      </c>
      <c r="E14" s="171">
        <v>6</v>
      </c>
      <c r="F14" s="171">
        <v>640732</v>
      </c>
      <c r="G14" s="171">
        <v>0</v>
      </c>
      <c r="H14" s="171">
        <v>0</v>
      </c>
      <c r="I14" s="171">
        <v>0</v>
      </c>
      <c r="J14" s="171">
        <v>0</v>
      </c>
      <c r="K14" s="171">
        <v>395312</v>
      </c>
      <c r="L14" s="171">
        <v>0</v>
      </c>
      <c r="M14" s="171">
        <v>0</v>
      </c>
      <c r="N14" s="171">
        <v>0</v>
      </c>
      <c r="O14" s="171">
        <v>0</v>
      </c>
      <c r="P14" s="171">
        <v>0</v>
      </c>
      <c r="Q14" s="171">
        <v>0</v>
      </c>
      <c r="R14" s="171">
        <v>0</v>
      </c>
      <c r="S14" s="171">
        <v>0</v>
      </c>
      <c r="T14" s="171">
        <v>0</v>
      </c>
      <c r="U14" s="171">
        <v>0</v>
      </c>
      <c r="V14" s="171">
        <v>0</v>
      </c>
      <c r="W14" s="171">
        <v>0</v>
      </c>
      <c r="X14" s="171">
        <v>0</v>
      </c>
      <c r="Y14" s="171">
        <v>0</v>
      </c>
      <c r="Z14" s="171">
        <v>0</v>
      </c>
      <c r="AA14" s="171">
        <v>0</v>
      </c>
      <c r="AB14" s="171">
        <v>0</v>
      </c>
      <c r="AC14" s="171">
        <v>70057</v>
      </c>
      <c r="AD14" s="171">
        <v>0</v>
      </c>
      <c r="AE14" s="171">
        <v>0</v>
      </c>
      <c r="AF14" s="171">
        <v>0</v>
      </c>
      <c r="AG14" s="171">
        <v>0</v>
      </c>
      <c r="AH14" s="171">
        <v>175363</v>
      </c>
      <c r="AI14" s="171">
        <v>0</v>
      </c>
      <c r="AJ14" s="171">
        <v>0</v>
      </c>
      <c r="AK14" s="171">
        <v>0</v>
      </c>
      <c r="AL14" s="171">
        <v>0</v>
      </c>
      <c r="AM14" s="171">
        <v>0</v>
      </c>
      <c r="AN14" s="171">
        <v>0</v>
      </c>
    </row>
    <row r="15" spans="1:40" x14ac:dyDescent="0.3">
      <c r="A15" s="171" t="s">
        <v>133</v>
      </c>
      <c r="B15" s="196">
        <v>12</v>
      </c>
      <c r="C15" s="171">
        <v>56</v>
      </c>
      <c r="D15" s="171">
        <v>3</v>
      </c>
      <c r="E15" s="171">
        <v>9</v>
      </c>
      <c r="F15" s="171">
        <v>22236</v>
      </c>
      <c r="G15" s="171">
        <v>0</v>
      </c>
      <c r="H15" s="171">
        <v>0</v>
      </c>
      <c r="I15" s="171">
        <v>0</v>
      </c>
      <c r="J15" s="171">
        <v>0</v>
      </c>
      <c r="K15" s="171">
        <v>15560</v>
      </c>
      <c r="L15" s="171">
        <v>0</v>
      </c>
      <c r="M15" s="171">
        <v>0</v>
      </c>
      <c r="N15" s="171">
        <v>0</v>
      </c>
      <c r="O15" s="171">
        <v>0</v>
      </c>
      <c r="P15" s="171">
        <v>0</v>
      </c>
      <c r="Q15" s="171">
        <v>0</v>
      </c>
      <c r="R15" s="171">
        <v>0</v>
      </c>
      <c r="S15" s="171">
        <v>0</v>
      </c>
      <c r="T15" s="171">
        <v>0</v>
      </c>
      <c r="U15" s="171">
        <v>0</v>
      </c>
      <c r="V15" s="171">
        <v>0</v>
      </c>
      <c r="W15" s="171">
        <v>0</v>
      </c>
      <c r="X15" s="171">
        <v>0</v>
      </c>
      <c r="Y15" s="171">
        <v>0</v>
      </c>
      <c r="Z15" s="171">
        <v>0</v>
      </c>
      <c r="AA15" s="171">
        <v>0</v>
      </c>
      <c r="AB15" s="171">
        <v>0</v>
      </c>
      <c r="AC15" s="171">
        <v>1500</v>
      </c>
      <c r="AD15" s="171">
        <v>0</v>
      </c>
      <c r="AE15" s="171">
        <v>0</v>
      </c>
      <c r="AF15" s="171">
        <v>0</v>
      </c>
      <c r="AG15" s="171">
        <v>0</v>
      </c>
      <c r="AH15" s="171">
        <v>5176</v>
      </c>
      <c r="AI15" s="171">
        <v>0</v>
      </c>
      <c r="AJ15" s="171">
        <v>0</v>
      </c>
      <c r="AK15" s="171">
        <v>0</v>
      </c>
      <c r="AL15" s="171">
        <v>0</v>
      </c>
      <c r="AM15" s="171">
        <v>0</v>
      </c>
      <c r="AN15" s="171">
        <v>0</v>
      </c>
    </row>
    <row r="16" spans="1:40" x14ac:dyDescent="0.3">
      <c r="A16" s="171" t="s">
        <v>121</v>
      </c>
      <c r="B16" s="196">
        <v>2014</v>
      </c>
      <c r="C16" s="171">
        <v>56</v>
      </c>
      <c r="D16" s="171">
        <v>4</v>
      </c>
      <c r="E16" s="171">
        <v>1</v>
      </c>
      <c r="F16" s="171">
        <v>33.25</v>
      </c>
      <c r="G16" s="171">
        <v>0</v>
      </c>
      <c r="H16" s="171">
        <v>0</v>
      </c>
      <c r="I16" s="171">
        <v>0</v>
      </c>
      <c r="J16" s="171">
        <v>0</v>
      </c>
      <c r="K16" s="171">
        <v>16.25</v>
      </c>
      <c r="L16" s="171">
        <v>0</v>
      </c>
      <c r="M16" s="171">
        <v>0</v>
      </c>
      <c r="N16" s="171">
        <v>0</v>
      </c>
      <c r="O16" s="171">
        <v>0</v>
      </c>
      <c r="P16" s="171">
        <v>0</v>
      </c>
      <c r="Q16" s="171">
        <v>0</v>
      </c>
      <c r="R16" s="171">
        <v>0</v>
      </c>
      <c r="S16" s="171">
        <v>0</v>
      </c>
      <c r="T16" s="171">
        <v>0</v>
      </c>
      <c r="U16" s="171">
        <v>0</v>
      </c>
      <c r="V16" s="171">
        <v>0</v>
      </c>
      <c r="W16" s="171">
        <v>0</v>
      </c>
      <c r="X16" s="171">
        <v>0</v>
      </c>
      <c r="Y16" s="171">
        <v>0</v>
      </c>
      <c r="Z16" s="171">
        <v>0</v>
      </c>
      <c r="AA16" s="171">
        <v>0</v>
      </c>
      <c r="AB16" s="171">
        <v>0</v>
      </c>
      <c r="AC16" s="171">
        <v>5</v>
      </c>
      <c r="AD16" s="171">
        <v>0</v>
      </c>
      <c r="AE16" s="171">
        <v>0</v>
      </c>
      <c r="AF16" s="171">
        <v>0</v>
      </c>
      <c r="AG16" s="171">
        <v>0</v>
      </c>
      <c r="AH16" s="171">
        <v>12</v>
      </c>
      <c r="AI16" s="171">
        <v>0</v>
      </c>
      <c r="AJ16" s="171">
        <v>0</v>
      </c>
      <c r="AK16" s="171">
        <v>0</v>
      </c>
      <c r="AL16" s="171">
        <v>0</v>
      </c>
      <c r="AM16" s="171">
        <v>0</v>
      </c>
      <c r="AN16" s="171">
        <v>0</v>
      </c>
    </row>
    <row r="17" spans="3:40" x14ac:dyDescent="0.3">
      <c r="C17" s="171">
        <v>56</v>
      </c>
      <c r="D17" s="171">
        <v>4</v>
      </c>
      <c r="E17" s="171">
        <v>2</v>
      </c>
      <c r="F17" s="171">
        <v>4583.5</v>
      </c>
      <c r="G17" s="171">
        <v>0</v>
      </c>
      <c r="H17" s="171">
        <v>0</v>
      </c>
      <c r="I17" s="171">
        <v>0</v>
      </c>
      <c r="J17" s="171">
        <v>0</v>
      </c>
      <c r="K17" s="171">
        <v>2182</v>
      </c>
      <c r="L17" s="171">
        <v>0</v>
      </c>
      <c r="M17" s="171">
        <v>0</v>
      </c>
      <c r="N17" s="171">
        <v>0</v>
      </c>
      <c r="O17" s="171">
        <v>0</v>
      </c>
      <c r="P17" s="171">
        <v>0</v>
      </c>
      <c r="Q17" s="171">
        <v>0</v>
      </c>
      <c r="R17" s="171">
        <v>0</v>
      </c>
      <c r="S17" s="171">
        <v>0</v>
      </c>
      <c r="T17" s="171">
        <v>0</v>
      </c>
      <c r="U17" s="171">
        <v>0</v>
      </c>
      <c r="V17" s="171">
        <v>0</v>
      </c>
      <c r="W17" s="171">
        <v>0</v>
      </c>
      <c r="X17" s="171">
        <v>0</v>
      </c>
      <c r="Y17" s="171">
        <v>0</v>
      </c>
      <c r="Z17" s="171">
        <v>0</v>
      </c>
      <c r="AA17" s="171">
        <v>0</v>
      </c>
      <c r="AB17" s="171">
        <v>0</v>
      </c>
      <c r="AC17" s="171">
        <v>645</v>
      </c>
      <c r="AD17" s="171">
        <v>0</v>
      </c>
      <c r="AE17" s="171">
        <v>0</v>
      </c>
      <c r="AF17" s="171">
        <v>0</v>
      </c>
      <c r="AG17" s="171">
        <v>0</v>
      </c>
      <c r="AH17" s="171">
        <v>1756.5</v>
      </c>
      <c r="AI17" s="171">
        <v>0</v>
      </c>
      <c r="AJ17" s="171">
        <v>0</v>
      </c>
      <c r="AK17" s="171">
        <v>0</v>
      </c>
      <c r="AL17" s="171">
        <v>0</v>
      </c>
      <c r="AM17" s="171">
        <v>0</v>
      </c>
      <c r="AN17" s="171">
        <v>0</v>
      </c>
    </row>
    <row r="18" spans="3:40" x14ac:dyDescent="0.3">
      <c r="C18" s="171">
        <v>56</v>
      </c>
      <c r="D18" s="171">
        <v>4</v>
      </c>
      <c r="E18" s="171">
        <v>6</v>
      </c>
      <c r="F18" s="171">
        <v>644083</v>
      </c>
      <c r="G18" s="171">
        <v>0</v>
      </c>
      <c r="H18" s="171">
        <v>0</v>
      </c>
      <c r="I18" s="171">
        <v>0</v>
      </c>
      <c r="J18" s="171">
        <v>0</v>
      </c>
      <c r="K18" s="171">
        <v>382554</v>
      </c>
      <c r="L18" s="171">
        <v>0</v>
      </c>
      <c r="M18" s="171">
        <v>0</v>
      </c>
      <c r="N18" s="171">
        <v>0</v>
      </c>
      <c r="O18" s="171">
        <v>0</v>
      </c>
      <c r="P18" s="171">
        <v>0</v>
      </c>
      <c r="Q18" s="171">
        <v>0</v>
      </c>
      <c r="R18" s="171">
        <v>0</v>
      </c>
      <c r="S18" s="171">
        <v>0</v>
      </c>
      <c r="T18" s="171">
        <v>0</v>
      </c>
      <c r="U18" s="171">
        <v>0</v>
      </c>
      <c r="V18" s="171">
        <v>0</v>
      </c>
      <c r="W18" s="171">
        <v>0</v>
      </c>
      <c r="X18" s="171">
        <v>0</v>
      </c>
      <c r="Y18" s="171">
        <v>0</v>
      </c>
      <c r="Z18" s="171">
        <v>0</v>
      </c>
      <c r="AA18" s="171">
        <v>0</v>
      </c>
      <c r="AB18" s="171">
        <v>0</v>
      </c>
      <c r="AC18" s="171">
        <v>86041</v>
      </c>
      <c r="AD18" s="171">
        <v>0</v>
      </c>
      <c r="AE18" s="171">
        <v>0</v>
      </c>
      <c r="AF18" s="171">
        <v>0</v>
      </c>
      <c r="AG18" s="171">
        <v>0</v>
      </c>
      <c r="AH18" s="171">
        <v>175488</v>
      </c>
      <c r="AI18" s="171">
        <v>0</v>
      </c>
      <c r="AJ18" s="171">
        <v>0</v>
      </c>
      <c r="AK18" s="171">
        <v>0</v>
      </c>
      <c r="AL18" s="171">
        <v>0</v>
      </c>
      <c r="AM18" s="171">
        <v>0</v>
      </c>
      <c r="AN18" s="171">
        <v>0</v>
      </c>
    </row>
    <row r="19" spans="3:40" x14ac:dyDescent="0.3">
      <c r="C19" s="171">
        <v>56</v>
      </c>
      <c r="D19" s="171">
        <v>4</v>
      </c>
      <c r="E19" s="171">
        <v>9</v>
      </c>
      <c r="F19" s="171">
        <v>15743</v>
      </c>
      <c r="G19" s="171">
        <v>0</v>
      </c>
      <c r="H19" s="171">
        <v>0</v>
      </c>
      <c r="I19" s="171">
        <v>0</v>
      </c>
      <c r="J19" s="171">
        <v>0</v>
      </c>
      <c r="K19" s="171">
        <v>9000</v>
      </c>
      <c r="L19" s="171">
        <v>0</v>
      </c>
      <c r="M19" s="171">
        <v>0</v>
      </c>
      <c r="N19" s="171">
        <v>0</v>
      </c>
      <c r="O19" s="171">
        <v>0</v>
      </c>
      <c r="P19" s="171">
        <v>0</v>
      </c>
      <c r="Q19" s="171">
        <v>0</v>
      </c>
      <c r="R19" s="171">
        <v>0</v>
      </c>
      <c r="S19" s="171">
        <v>0</v>
      </c>
      <c r="T19" s="171">
        <v>0</v>
      </c>
      <c r="U19" s="171">
        <v>0</v>
      </c>
      <c r="V19" s="171">
        <v>0</v>
      </c>
      <c r="W19" s="171">
        <v>0</v>
      </c>
      <c r="X19" s="171">
        <v>0</v>
      </c>
      <c r="Y19" s="171">
        <v>0</v>
      </c>
      <c r="Z19" s="171">
        <v>0</v>
      </c>
      <c r="AA19" s="171">
        <v>0</v>
      </c>
      <c r="AB19" s="171">
        <v>0</v>
      </c>
      <c r="AC19" s="171">
        <v>2763</v>
      </c>
      <c r="AD19" s="171">
        <v>0</v>
      </c>
      <c r="AE19" s="171">
        <v>0</v>
      </c>
      <c r="AF19" s="171">
        <v>0</v>
      </c>
      <c r="AG19" s="171">
        <v>0</v>
      </c>
      <c r="AH19" s="171">
        <v>3980</v>
      </c>
      <c r="AI19" s="171">
        <v>0</v>
      </c>
      <c r="AJ19" s="171">
        <v>0</v>
      </c>
      <c r="AK19" s="171">
        <v>0</v>
      </c>
      <c r="AL19" s="171">
        <v>0</v>
      </c>
      <c r="AM19" s="171">
        <v>0</v>
      </c>
      <c r="AN19" s="171">
        <v>0</v>
      </c>
    </row>
    <row r="20" spans="3:40" x14ac:dyDescent="0.3">
      <c r="C20" s="171">
        <v>56</v>
      </c>
      <c r="D20" s="171">
        <v>5</v>
      </c>
      <c r="E20" s="171">
        <v>1</v>
      </c>
      <c r="F20" s="171">
        <v>33.25</v>
      </c>
      <c r="G20" s="171">
        <v>0</v>
      </c>
      <c r="H20" s="171">
        <v>0</v>
      </c>
      <c r="I20" s="171">
        <v>0</v>
      </c>
      <c r="J20" s="171">
        <v>0</v>
      </c>
      <c r="K20" s="171">
        <v>16.25</v>
      </c>
      <c r="L20" s="171">
        <v>0</v>
      </c>
      <c r="M20" s="171">
        <v>0</v>
      </c>
      <c r="N20" s="171">
        <v>0</v>
      </c>
      <c r="O20" s="171">
        <v>0</v>
      </c>
      <c r="P20" s="171">
        <v>0</v>
      </c>
      <c r="Q20" s="171">
        <v>0</v>
      </c>
      <c r="R20" s="171">
        <v>0</v>
      </c>
      <c r="S20" s="171">
        <v>0</v>
      </c>
      <c r="T20" s="171">
        <v>0</v>
      </c>
      <c r="U20" s="171">
        <v>0</v>
      </c>
      <c r="V20" s="171">
        <v>0</v>
      </c>
      <c r="W20" s="171">
        <v>0</v>
      </c>
      <c r="X20" s="171">
        <v>0</v>
      </c>
      <c r="Y20" s="171">
        <v>0</v>
      </c>
      <c r="Z20" s="171">
        <v>0</v>
      </c>
      <c r="AA20" s="171">
        <v>0</v>
      </c>
      <c r="AB20" s="171">
        <v>0</v>
      </c>
      <c r="AC20" s="171">
        <v>5</v>
      </c>
      <c r="AD20" s="171">
        <v>0</v>
      </c>
      <c r="AE20" s="171">
        <v>0</v>
      </c>
      <c r="AF20" s="171">
        <v>0</v>
      </c>
      <c r="AG20" s="171">
        <v>0</v>
      </c>
      <c r="AH20" s="171">
        <v>12</v>
      </c>
      <c r="AI20" s="171">
        <v>0</v>
      </c>
      <c r="AJ20" s="171">
        <v>0</v>
      </c>
      <c r="AK20" s="171">
        <v>0</v>
      </c>
      <c r="AL20" s="171">
        <v>0</v>
      </c>
      <c r="AM20" s="171">
        <v>0</v>
      </c>
      <c r="AN20" s="171">
        <v>0</v>
      </c>
    </row>
    <row r="21" spans="3:40" x14ac:dyDescent="0.3">
      <c r="C21" s="171">
        <v>56</v>
      </c>
      <c r="D21" s="171">
        <v>5</v>
      </c>
      <c r="E21" s="171">
        <v>2</v>
      </c>
      <c r="F21" s="171">
        <v>4513</v>
      </c>
      <c r="G21" s="171">
        <v>0</v>
      </c>
      <c r="H21" s="171">
        <v>0</v>
      </c>
      <c r="I21" s="171">
        <v>0</v>
      </c>
      <c r="J21" s="171">
        <v>0</v>
      </c>
      <c r="K21" s="171">
        <v>2111.75</v>
      </c>
      <c r="L21" s="171">
        <v>0</v>
      </c>
      <c r="M21" s="171">
        <v>0</v>
      </c>
      <c r="N21" s="171">
        <v>0</v>
      </c>
      <c r="O21" s="171">
        <v>0</v>
      </c>
      <c r="P21" s="171">
        <v>0</v>
      </c>
      <c r="Q21" s="171">
        <v>0</v>
      </c>
      <c r="R21" s="171">
        <v>0</v>
      </c>
      <c r="S21" s="171">
        <v>0</v>
      </c>
      <c r="T21" s="171">
        <v>0</v>
      </c>
      <c r="U21" s="171">
        <v>0</v>
      </c>
      <c r="V21" s="171">
        <v>0</v>
      </c>
      <c r="W21" s="171">
        <v>0</v>
      </c>
      <c r="X21" s="171">
        <v>0</v>
      </c>
      <c r="Y21" s="171">
        <v>0</v>
      </c>
      <c r="Z21" s="171">
        <v>0</v>
      </c>
      <c r="AA21" s="171">
        <v>0</v>
      </c>
      <c r="AB21" s="171">
        <v>0</v>
      </c>
      <c r="AC21" s="171">
        <v>637.5</v>
      </c>
      <c r="AD21" s="171">
        <v>0</v>
      </c>
      <c r="AE21" s="171">
        <v>0</v>
      </c>
      <c r="AF21" s="171">
        <v>0</v>
      </c>
      <c r="AG21" s="171">
        <v>0</v>
      </c>
      <c r="AH21" s="171">
        <v>1763.75</v>
      </c>
      <c r="AI21" s="171">
        <v>0</v>
      </c>
      <c r="AJ21" s="171">
        <v>0</v>
      </c>
      <c r="AK21" s="171">
        <v>0</v>
      </c>
      <c r="AL21" s="171">
        <v>0</v>
      </c>
      <c r="AM21" s="171">
        <v>0</v>
      </c>
      <c r="AN21" s="171">
        <v>0</v>
      </c>
    </row>
    <row r="22" spans="3:40" x14ac:dyDescent="0.3">
      <c r="C22" s="171">
        <v>56</v>
      </c>
      <c r="D22" s="171">
        <v>5</v>
      </c>
      <c r="E22" s="171">
        <v>6</v>
      </c>
      <c r="F22" s="171">
        <v>654008</v>
      </c>
      <c r="G22" s="171">
        <v>0</v>
      </c>
      <c r="H22" s="171">
        <v>0</v>
      </c>
      <c r="I22" s="171">
        <v>0</v>
      </c>
      <c r="J22" s="171">
        <v>0</v>
      </c>
      <c r="K22" s="171">
        <v>380510</v>
      </c>
      <c r="L22" s="171">
        <v>0</v>
      </c>
      <c r="M22" s="171">
        <v>0</v>
      </c>
      <c r="N22" s="171">
        <v>0</v>
      </c>
      <c r="O22" s="171">
        <v>0</v>
      </c>
      <c r="P22" s="171">
        <v>0</v>
      </c>
      <c r="Q22" s="171">
        <v>0</v>
      </c>
      <c r="R22" s="171">
        <v>0</v>
      </c>
      <c r="S22" s="171">
        <v>0</v>
      </c>
      <c r="T22" s="171">
        <v>0</v>
      </c>
      <c r="U22" s="171">
        <v>0</v>
      </c>
      <c r="V22" s="171">
        <v>0</v>
      </c>
      <c r="W22" s="171">
        <v>0</v>
      </c>
      <c r="X22" s="171">
        <v>0</v>
      </c>
      <c r="Y22" s="171">
        <v>0</v>
      </c>
      <c r="Z22" s="171">
        <v>0</v>
      </c>
      <c r="AA22" s="171">
        <v>0</v>
      </c>
      <c r="AB22" s="171">
        <v>0</v>
      </c>
      <c r="AC22" s="171">
        <v>89533</v>
      </c>
      <c r="AD22" s="171">
        <v>0</v>
      </c>
      <c r="AE22" s="171">
        <v>0</v>
      </c>
      <c r="AF22" s="171">
        <v>0</v>
      </c>
      <c r="AG22" s="171">
        <v>0</v>
      </c>
      <c r="AH22" s="171">
        <v>183965</v>
      </c>
      <c r="AI22" s="171">
        <v>0</v>
      </c>
      <c r="AJ22" s="171">
        <v>0</v>
      </c>
      <c r="AK22" s="171">
        <v>0</v>
      </c>
      <c r="AL22" s="171">
        <v>0</v>
      </c>
      <c r="AM22" s="171">
        <v>0</v>
      </c>
      <c r="AN22" s="171">
        <v>0</v>
      </c>
    </row>
    <row r="23" spans="3:40" x14ac:dyDescent="0.3">
      <c r="C23" s="171">
        <v>56</v>
      </c>
      <c r="D23" s="171">
        <v>5</v>
      </c>
      <c r="E23" s="171">
        <v>9</v>
      </c>
      <c r="F23" s="171">
        <v>14316</v>
      </c>
      <c r="G23" s="171">
        <v>0</v>
      </c>
      <c r="H23" s="171">
        <v>0</v>
      </c>
      <c r="I23" s="171">
        <v>0</v>
      </c>
      <c r="J23" s="171">
        <v>0</v>
      </c>
      <c r="K23" s="171">
        <v>7256</v>
      </c>
      <c r="L23" s="171">
        <v>0</v>
      </c>
      <c r="M23" s="171">
        <v>0</v>
      </c>
      <c r="N23" s="171">
        <v>0</v>
      </c>
      <c r="O23" s="171">
        <v>0</v>
      </c>
      <c r="P23" s="171">
        <v>0</v>
      </c>
      <c r="Q23" s="171">
        <v>0</v>
      </c>
      <c r="R23" s="171">
        <v>0</v>
      </c>
      <c r="S23" s="171">
        <v>0</v>
      </c>
      <c r="T23" s="171">
        <v>0</v>
      </c>
      <c r="U23" s="171">
        <v>0</v>
      </c>
      <c r="V23" s="171">
        <v>0</v>
      </c>
      <c r="W23" s="171">
        <v>0</v>
      </c>
      <c r="X23" s="171">
        <v>0</v>
      </c>
      <c r="Y23" s="171">
        <v>0</v>
      </c>
      <c r="Z23" s="171">
        <v>0</v>
      </c>
      <c r="AA23" s="171">
        <v>0</v>
      </c>
      <c r="AB23" s="171">
        <v>0</v>
      </c>
      <c r="AC23" s="171">
        <v>2500</v>
      </c>
      <c r="AD23" s="171">
        <v>0</v>
      </c>
      <c r="AE23" s="171">
        <v>0</v>
      </c>
      <c r="AF23" s="171">
        <v>0</v>
      </c>
      <c r="AG23" s="171">
        <v>0</v>
      </c>
      <c r="AH23" s="171">
        <v>4560</v>
      </c>
      <c r="AI23" s="171">
        <v>0</v>
      </c>
      <c r="AJ23" s="171">
        <v>0</v>
      </c>
      <c r="AK23" s="171">
        <v>0</v>
      </c>
      <c r="AL23" s="171">
        <v>0</v>
      </c>
      <c r="AM23" s="171">
        <v>0</v>
      </c>
      <c r="AN23" s="171">
        <v>0</v>
      </c>
    </row>
    <row r="24" spans="3:40" x14ac:dyDescent="0.3">
      <c r="C24" s="171">
        <v>56</v>
      </c>
      <c r="D24" s="171">
        <v>6</v>
      </c>
      <c r="E24" s="171">
        <v>1</v>
      </c>
      <c r="F24" s="171">
        <v>32.25</v>
      </c>
      <c r="G24" s="171">
        <v>0</v>
      </c>
      <c r="H24" s="171">
        <v>0</v>
      </c>
      <c r="I24" s="171">
        <v>0</v>
      </c>
      <c r="J24" s="171">
        <v>0</v>
      </c>
      <c r="K24" s="171">
        <v>16.25</v>
      </c>
      <c r="L24" s="171">
        <v>0</v>
      </c>
      <c r="M24" s="171">
        <v>0</v>
      </c>
      <c r="N24" s="171">
        <v>0</v>
      </c>
      <c r="O24" s="171">
        <v>0</v>
      </c>
      <c r="P24" s="171">
        <v>0</v>
      </c>
      <c r="Q24" s="171">
        <v>0</v>
      </c>
      <c r="R24" s="171">
        <v>0</v>
      </c>
      <c r="S24" s="171">
        <v>0</v>
      </c>
      <c r="T24" s="171">
        <v>0</v>
      </c>
      <c r="U24" s="171">
        <v>0</v>
      </c>
      <c r="V24" s="171">
        <v>0</v>
      </c>
      <c r="W24" s="171">
        <v>0</v>
      </c>
      <c r="X24" s="171">
        <v>0</v>
      </c>
      <c r="Y24" s="171">
        <v>0</v>
      </c>
      <c r="Z24" s="171">
        <v>0</v>
      </c>
      <c r="AA24" s="171">
        <v>0</v>
      </c>
      <c r="AB24" s="171">
        <v>0</v>
      </c>
      <c r="AC24" s="171">
        <v>4</v>
      </c>
      <c r="AD24" s="171">
        <v>0</v>
      </c>
      <c r="AE24" s="171">
        <v>0</v>
      </c>
      <c r="AF24" s="171">
        <v>0</v>
      </c>
      <c r="AG24" s="171">
        <v>0</v>
      </c>
      <c r="AH24" s="171">
        <v>12</v>
      </c>
      <c r="AI24" s="171">
        <v>0</v>
      </c>
      <c r="AJ24" s="171">
        <v>0</v>
      </c>
      <c r="AK24" s="171">
        <v>0</v>
      </c>
      <c r="AL24" s="171">
        <v>0</v>
      </c>
      <c r="AM24" s="171">
        <v>0</v>
      </c>
      <c r="AN24" s="171">
        <v>0</v>
      </c>
    </row>
    <row r="25" spans="3:40" x14ac:dyDescent="0.3">
      <c r="C25" s="171">
        <v>56</v>
      </c>
      <c r="D25" s="171">
        <v>6</v>
      </c>
      <c r="E25" s="171">
        <v>2</v>
      </c>
      <c r="F25" s="171">
        <v>4256.75</v>
      </c>
      <c r="G25" s="171">
        <v>0</v>
      </c>
      <c r="H25" s="171">
        <v>0</v>
      </c>
      <c r="I25" s="171">
        <v>0</v>
      </c>
      <c r="J25" s="171">
        <v>0</v>
      </c>
      <c r="K25" s="171">
        <v>2116</v>
      </c>
      <c r="L25" s="171">
        <v>0</v>
      </c>
      <c r="M25" s="171">
        <v>0</v>
      </c>
      <c r="N25" s="171">
        <v>0</v>
      </c>
      <c r="O25" s="171">
        <v>0</v>
      </c>
      <c r="P25" s="171">
        <v>0</v>
      </c>
      <c r="Q25" s="171">
        <v>0</v>
      </c>
      <c r="R25" s="171">
        <v>0</v>
      </c>
      <c r="S25" s="171">
        <v>0</v>
      </c>
      <c r="T25" s="171">
        <v>0</v>
      </c>
      <c r="U25" s="171">
        <v>0</v>
      </c>
      <c r="V25" s="171">
        <v>0</v>
      </c>
      <c r="W25" s="171">
        <v>0</v>
      </c>
      <c r="X25" s="171">
        <v>0</v>
      </c>
      <c r="Y25" s="171">
        <v>0</v>
      </c>
      <c r="Z25" s="171">
        <v>0</v>
      </c>
      <c r="AA25" s="171">
        <v>0</v>
      </c>
      <c r="AB25" s="171">
        <v>0</v>
      </c>
      <c r="AC25" s="171">
        <v>397.5</v>
      </c>
      <c r="AD25" s="171">
        <v>0</v>
      </c>
      <c r="AE25" s="171">
        <v>0</v>
      </c>
      <c r="AF25" s="171">
        <v>0</v>
      </c>
      <c r="AG25" s="171">
        <v>0</v>
      </c>
      <c r="AH25" s="171">
        <v>1743.25</v>
      </c>
      <c r="AI25" s="171">
        <v>0</v>
      </c>
      <c r="AJ25" s="171">
        <v>0</v>
      </c>
      <c r="AK25" s="171">
        <v>0</v>
      </c>
      <c r="AL25" s="171">
        <v>0</v>
      </c>
      <c r="AM25" s="171">
        <v>0</v>
      </c>
      <c r="AN25" s="171">
        <v>0</v>
      </c>
    </row>
    <row r="26" spans="3:40" x14ac:dyDescent="0.3">
      <c r="C26" s="171">
        <v>56</v>
      </c>
      <c r="D26" s="171">
        <v>6</v>
      </c>
      <c r="E26" s="171">
        <v>4</v>
      </c>
      <c r="F26" s="171">
        <v>82</v>
      </c>
      <c r="G26" s="171">
        <v>0</v>
      </c>
      <c r="H26" s="171">
        <v>0</v>
      </c>
      <c r="I26" s="171">
        <v>0</v>
      </c>
      <c r="J26" s="171">
        <v>0</v>
      </c>
      <c r="K26" s="171">
        <v>22</v>
      </c>
      <c r="L26" s="171">
        <v>0</v>
      </c>
      <c r="M26" s="171">
        <v>0</v>
      </c>
      <c r="N26" s="171">
        <v>0</v>
      </c>
      <c r="O26" s="171">
        <v>0</v>
      </c>
      <c r="P26" s="171">
        <v>0</v>
      </c>
      <c r="Q26" s="171">
        <v>0</v>
      </c>
      <c r="R26" s="171">
        <v>0</v>
      </c>
      <c r="S26" s="171">
        <v>0</v>
      </c>
      <c r="T26" s="171">
        <v>0</v>
      </c>
      <c r="U26" s="171">
        <v>0</v>
      </c>
      <c r="V26" s="171">
        <v>0</v>
      </c>
      <c r="W26" s="171">
        <v>0</v>
      </c>
      <c r="X26" s="171">
        <v>0</v>
      </c>
      <c r="Y26" s="171">
        <v>0</v>
      </c>
      <c r="Z26" s="171">
        <v>0</v>
      </c>
      <c r="AA26" s="171">
        <v>0</v>
      </c>
      <c r="AB26" s="171">
        <v>0</v>
      </c>
      <c r="AC26" s="171">
        <v>40</v>
      </c>
      <c r="AD26" s="171">
        <v>0</v>
      </c>
      <c r="AE26" s="171">
        <v>0</v>
      </c>
      <c r="AF26" s="171">
        <v>0</v>
      </c>
      <c r="AG26" s="171">
        <v>0</v>
      </c>
      <c r="AH26" s="171">
        <v>20</v>
      </c>
      <c r="AI26" s="171">
        <v>0</v>
      </c>
      <c r="AJ26" s="171">
        <v>0</v>
      </c>
      <c r="AK26" s="171">
        <v>0</v>
      </c>
      <c r="AL26" s="171">
        <v>0</v>
      </c>
      <c r="AM26" s="171">
        <v>0</v>
      </c>
      <c r="AN26" s="171">
        <v>0</v>
      </c>
    </row>
    <row r="27" spans="3:40" x14ac:dyDescent="0.3">
      <c r="C27" s="171">
        <v>56</v>
      </c>
      <c r="D27" s="171">
        <v>6</v>
      </c>
      <c r="E27" s="171">
        <v>6</v>
      </c>
      <c r="F27" s="171">
        <v>658804</v>
      </c>
      <c r="G27" s="171">
        <v>0</v>
      </c>
      <c r="H27" s="171">
        <v>0</v>
      </c>
      <c r="I27" s="171">
        <v>0</v>
      </c>
      <c r="J27" s="171">
        <v>0</v>
      </c>
      <c r="K27" s="171">
        <v>403090</v>
      </c>
      <c r="L27" s="171">
        <v>0</v>
      </c>
      <c r="M27" s="171">
        <v>0</v>
      </c>
      <c r="N27" s="171">
        <v>0</v>
      </c>
      <c r="O27" s="171">
        <v>0</v>
      </c>
      <c r="P27" s="171">
        <v>0</v>
      </c>
      <c r="Q27" s="171">
        <v>0</v>
      </c>
      <c r="R27" s="171">
        <v>0</v>
      </c>
      <c r="S27" s="171">
        <v>0</v>
      </c>
      <c r="T27" s="171">
        <v>0</v>
      </c>
      <c r="U27" s="171">
        <v>0</v>
      </c>
      <c r="V27" s="171">
        <v>0</v>
      </c>
      <c r="W27" s="171">
        <v>0</v>
      </c>
      <c r="X27" s="171">
        <v>0</v>
      </c>
      <c r="Y27" s="171">
        <v>0</v>
      </c>
      <c r="Z27" s="171">
        <v>0</v>
      </c>
      <c r="AA27" s="171">
        <v>0</v>
      </c>
      <c r="AB27" s="171">
        <v>0</v>
      </c>
      <c r="AC27" s="171">
        <v>63316</v>
      </c>
      <c r="AD27" s="171">
        <v>0</v>
      </c>
      <c r="AE27" s="171">
        <v>0</v>
      </c>
      <c r="AF27" s="171">
        <v>0</v>
      </c>
      <c r="AG27" s="171">
        <v>0</v>
      </c>
      <c r="AH27" s="171">
        <v>192398</v>
      </c>
      <c r="AI27" s="171">
        <v>0</v>
      </c>
      <c r="AJ27" s="171">
        <v>0</v>
      </c>
      <c r="AK27" s="171">
        <v>0</v>
      </c>
      <c r="AL27" s="171">
        <v>0</v>
      </c>
      <c r="AM27" s="171">
        <v>0</v>
      </c>
      <c r="AN27" s="171">
        <v>0</v>
      </c>
    </row>
    <row r="28" spans="3:40" x14ac:dyDescent="0.3">
      <c r="C28" s="171">
        <v>56</v>
      </c>
      <c r="D28" s="171">
        <v>6</v>
      </c>
      <c r="E28" s="171">
        <v>9</v>
      </c>
      <c r="F28" s="171">
        <v>13408</v>
      </c>
      <c r="G28" s="171">
        <v>0</v>
      </c>
      <c r="H28" s="171">
        <v>0</v>
      </c>
      <c r="I28" s="171">
        <v>0</v>
      </c>
      <c r="J28" s="171">
        <v>0</v>
      </c>
      <c r="K28" s="171">
        <v>7500</v>
      </c>
      <c r="L28" s="171">
        <v>0</v>
      </c>
      <c r="M28" s="171">
        <v>0</v>
      </c>
      <c r="N28" s="171">
        <v>0</v>
      </c>
      <c r="O28" s="171">
        <v>0</v>
      </c>
      <c r="P28" s="171">
        <v>0</v>
      </c>
      <c r="Q28" s="171">
        <v>0</v>
      </c>
      <c r="R28" s="171">
        <v>0</v>
      </c>
      <c r="S28" s="171">
        <v>0</v>
      </c>
      <c r="T28" s="171">
        <v>0</v>
      </c>
      <c r="U28" s="171">
        <v>0</v>
      </c>
      <c r="V28" s="171">
        <v>0</v>
      </c>
      <c r="W28" s="171">
        <v>0</v>
      </c>
      <c r="X28" s="171">
        <v>0</v>
      </c>
      <c r="Y28" s="171">
        <v>0</v>
      </c>
      <c r="Z28" s="171">
        <v>0</v>
      </c>
      <c r="AA28" s="171">
        <v>0</v>
      </c>
      <c r="AB28" s="171">
        <v>0</v>
      </c>
      <c r="AC28" s="171">
        <v>1000</v>
      </c>
      <c r="AD28" s="171">
        <v>0</v>
      </c>
      <c r="AE28" s="171">
        <v>0</v>
      </c>
      <c r="AF28" s="171">
        <v>0</v>
      </c>
      <c r="AG28" s="171">
        <v>0</v>
      </c>
      <c r="AH28" s="171">
        <v>4908</v>
      </c>
      <c r="AI28" s="171">
        <v>0</v>
      </c>
      <c r="AJ28" s="171">
        <v>0</v>
      </c>
      <c r="AK28" s="171">
        <v>0</v>
      </c>
      <c r="AL28" s="171">
        <v>0</v>
      </c>
      <c r="AM28" s="171">
        <v>0</v>
      </c>
      <c r="AN28" s="171">
        <v>0</v>
      </c>
    </row>
    <row r="29" spans="3:40" x14ac:dyDescent="0.3">
      <c r="C29" s="171">
        <v>56</v>
      </c>
      <c r="D29" s="171">
        <v>7</v>
      </c>
      <c r="E29" s="171">
        <v>1</v>
      </c>
      <c r="F29" s="171">
        <v>33.75</v>
      </c>
      <c r="G29" s="171">
        <v>0</v>
      </c>
      <c r="H29" s="171">
        <v>0</v>
      </c>
      <c r="I29" s="171">
        <v>0</v>
      </c>
      <c r="J29" s="171">
        <v>0</v>
      </c>
      <c r="K29" s="171">
        <v>16.75</v>
      </c>
      <c r="L29" s="171">
        <v>0</v>
      </c>
      <c r="M29" s="171">
        <v>0</v>
      </c>
      <c r="N29" s="171">
        <v>0</v>
      </c>
      <c r="O29" s="171">
        <v>0</v>
      </c>
      <c r="P29" s="171">
        <v>0</v>
      </c>
      <c r="Q29" s="171">
        <v>0</v>
      </c>
      <c r="R29" s="171">
        <v>0</v>
      </c>
      <c r="S29" s="171">
        <v>0</v>
      </c>
      <c r="T29" s="171">
        <v>0</v>
      </c>
      <c r="U29" s="171">
        <v>0</v>
      </c>
      <c r="V29" s="171">
        <v>0</v>
      </c>
      <c r="W29" s="171">
        <v>0</v>
      </c>
      <c r="X29" s="171">
        <v>0</v>
      </c>
      <c r="Y29" s="171">
        <v>0</v>
      </c>
      <c r="Z29" s="171">
        <v>0</v>
      </c>
      <c r="AA29" s="171">
        <v>0</v>
      </c>
      <c r="AB29" s="171">
        <v>0</v>
      </c>
      <c r="AC29" s="171">
        <v>5</v>
      </c>
      <c r="AD29" s="171">
        <v>0</v>
      </c>
      <c r="AE29" s="171">
        <v>0</v>
      </c>
      <c r="AF29" s="171">
        <v>0</v>
      </c>
      <c r="AG29" s="171">
        <v>0</v>
      </c>
      <c r="AH29" s="171">
        <v>12</v>
      </c>
      <c r="AI29" s="171">
        <v>0</v>
      </c>
      <c r="AJ29" s="171">
        <v>0</v>
      </c>
      <c r="AK29" s="171">
        <v>0</v>
      </c>
      <c r="AL29" s="171">
        <v>0</v>
      </c>
      <c r="AM29" s="171">
        <v>0</v>
      </c>
      <c r="AN29" s="171">
        <v>0</v>
      </c>
    </row>
    <row r="30" spans="3:40" x14ac:dyDescent="0.3">
      <c r="C30" s="171">
        <v>56</v>
      </c>
      <c r="D30" s="171">
        <v>7</v>
      </c>
      <c r="E30" s="171">
        <v>2</v>
      </c>
      <c r="F30" s="171">
        <v>3961.25</v>
      </c>
      <c r="G30" s="171">
        <v>0</v>
      </c>
      <c r="H30" s="171">
        <v>0</v>
      </c>
      <c r="I30" s="171">
        <v>0</v>
      </c>
      <c r="J30" s="171">
        <v>0</v>
      </c>
      <c r="K30" s="171">
        <v>2049.75</v>
      </c>
      <c r="L30" s="171">
        <v>0</v>
      </c>
      <c r="M30" s="171">
        <v>0</v>
      </c>
      <c r="N30" s="171">
        <v>0</v>
      </c>
      <c r="O30" s="171">
        <v>0</v>
      </c>
      <c r="P30" s="171">
        <v>0</v>
      </c>
      <c r="Q30" s="171">
        <v>0</v>
      </c>
      <c r="R30" s="171">
        <v>0</v>
      </c>
      <c r="S30" s="171">
        <v>0</v>
      </c>
      <c r="T30" s="171">
        <v>0</v>
      </c>
      <c r="U30" s="171">
        <v>0</v>
      </c>
      <c r="V30" s="171">
        <v>0</v>
      </c>
      <c r="W30" s="171">
        <v>0</v>
      </c>
      <c r="X30" s="171">
        <v>0</v>
      </c>
      <c r="Y30" s="171">
        <v>0</v>
      </c>
      <c r="Z30" s="171">
        <v>0</v>
      </c>
      <c r="AA30" s="171">
        <v>0</v>
      </c>
      <c r="AB30" s="171">
        <v>0</v>
      </c>
      <c r="AC30" s="171">
        <v>375</v>
      </c>
      <c r="AD30" s="171">
        <v>0</v>
      </c>
      <c r="AE30" s="171">
        <v>0</v>
      </c>
      <c r="AF30" s="171">
        <v>0</v>
      </c>
      <c r="AG30" s="171">
        <v>0</v>
      </c>
      <c r="AH30" s="171">
        <v>1536.5</v>
      </c>
      <c r="AI30" s="171">
        <v>0</v>
      </c>
      <c r="AJ30" s="171">
        <v>0</v>
      </c>
      <c r="AK30" s="171">
        <v>0</v>
      </c>
      <c r="AL30" s="171">
        <v>0</v>
      </c>
      <c r="AM30" s="171">
        <v>0</v>
      </c>
      <c r="AN30" s="171">
        <v>0</v>
      </c>
    </row>
    <row r="31" spans="3:40" x14ac:dyDescent="0.3">
      <c r="C31" s="171">
        <v>56</v>
      </c>
      <c r="D31" s="171">
        <v>7</v>
      </c>
      <c r="E31" s="171">
        <v>3</v>
      </c>
      <c r="F31" s="171">
        <v>15</v>
      </c>
      <c r="G31" s="171">
        <v>0</v>
      </c>
      <c r="H31" s="171">
        <v>0</v>
      </c>
      <c r="I31" s="171">
        <v>0</v>
      </c>
      <c r="J31" s="171">
        <v>0</v>
      </c>
      <c r="K31" s="171">
        <v>15</v>
      </c>
      <c r="L31" s="171">
        <v>0</v>
      </c>
      <c r="M31" s="171">
        <v>0</v>
      </c>
      <c r="N31" s="171">
        <v>0</v>
      </c>
      <c r="O31" s="171">
        <v>0</v>
      </c>
      <c r="P31" s="171">
        <v>0</v>
      </c>
      <c r="Q31" s="171">
        <v>0</v>
      </c>
      <c r="R31" s="171">
        <v>0</v>
      </c>
      <c r="S31" s="171">
        <v>0</v>
      </c>
      <c r="T31" s="171">
        <v>0</v>
      </c>
      <c r="U31" s="171">
        <v>0</v>
      </c>
      <c r="V31" s="171">
        <v>0</v>
      </c>
      <c r="W31" s="171">
        <v>0</v>
      </c>
      <c r="X31" s="171">
        <v>0</v>
      </c>
      <c r="Y31" s="171">
        <v>0</v>
      </c>
      <c r="Z31" s="171">
        <v>0</v>
      </c>
      <c r="AA31" s="171">
        <v>0</v>
      </c>
      <c r="AB31" s="171">
        <v>0</v>
      </c>
      <c r="AC31" s="171">
        <v>0</v>
      </c>
      <c r="AD31" s="171">
        <v>0</v>
      </c>
      <c r="AE31" s="171">
        <v>0</v>
      </c>
      <c r="AF31" s="171">
        <v>0</v>
      </c>
      <c r="AG31" s="171">
        <v>0</v>
      </c>
      <c r="AH31" s="171">
        <v>0</v>
      </c>
      <c r="AI31" s="171">
        <v>0</v>
      </c>
      <c r="AJ31" s="171">
        <v>0</v>
      </c>
      <c r="AK31" s="171">
        <v>0</v>
      </c>
      <c r="AL31" s="171">
        <v>0</v>
      </c>
      <c r="AM31" s="171">
        <v>0</v>
      </c>
      <c r="AN31" s="171">
        <v>0</v>
      </c>
    </row>
    <row r="32" spans="3:40" x14ac:dyDescent="0.3">
      <c r="C32" s="171">
        <v>56</v>
      </c>
      <c r="D32" s="171">
        <v>7</v>
      </c>
      <c r="E32" s="171">
        <v>4</v>
      </c>
      <c r="F32" s="171">
        <v>45</v>
      </c>
      <c r="G32" s="171">
        <v>0</v>
      </c>
      <c r="H32" s="171">
        <v>0</v>
      </c>
      <c r="I32" s="171">
        <v>0</v>
      </c>
      <c r="J32" s="171">
        <v>0</v>
      </c>
      <c r="K32" s="171">
        <v>30</v>
      </c>
      <c r="L32" s="171">
        <v>0</v>
      </c>
      <c r="M32" s="171">
        <v>0</v>
      </c>
      <c r="N32" s="171">
        <v>0</v>
      </c>
      <c r="O32" s="171">
        <v>0</v>
      </c>
      <c r="P32" s="171">
        <v>0</v>
      </c>
      <c r="Q32" s="171">
        <v>0</v>
      </c>
      <c r="R32" s="171">
        <v>0</v>
      </c>
      <c r="S32" s="171">
        <v>0</v>
      </c>
      <c r="T32" s="171">
        <v>0</v>
      </c>
      <c r="U32" s="171">
        <v>0</v>
      </c>
      <c r="V32" s="171">
        <v>0</v>
      </c>
      <c r="W32" s="171">
        <v>0</v>
      </c>
      <c r="X32" s="171">
        <v>0</v>
      </c>
      <c r="Y32" s="171">
        <v>0</v>
      </c>
      <c r="Z32" s="171">
        <v>0</v>
      </c>
      <c r="AA32" s="171">
        <v>0</v>
      </c>
      <c r="AB32" s="171">
        <v>0</v>
      </c>
      <c r="AC32" s="171">
        <v>15</v>
      </c>
      <c r="AD32" s="171">
        <v>0</v>
      </c>
      <c r="AE32" s="171">
        <v>0</v>
      </c>
      <c r="AF32" s="171">
        <v>0</v>
      </c>
      <c r="AG32" s="171">
        <v>0</v>
      </c>
      <c r="AH32" s="171">
        <v>0</v>
      </c>
      <c r="AI32" s="171">
        <v>0</v>
      </c>
      <c r="AJ32" s="171">
        <v>0</v>
      </c>
      <c r="AK32" s="171">
        <v>0</v>
      </c>
      <c r="AL32" s="171">
        <v>0</v>
      </c>
      <c r="AM32" s="171">
        <v>0</v>
      </c>
      <c r="AN32" s="171">
        <v>0</v>
      </c>
    </row>
    <row r="33" spans="3:40" x14ac:dyDescent="0.3">
      <c r="C33" s="171">
        <v>56</v>
      </c>
      <c r="D33" s="171">
        <v>7</v>
      </c>
      <c r="E33" s="171">
        <v>6</v>
      </c>
      <c r="F33" s="171">
        <v>982582</v>
      </c>
      <c r="G33" s="171">
        <v>0</v>
      </c>
      <c r="H33" s="171">
        <v>0</v>
      </c>
      <c r="I33" s="171">
        <v>0</v>
      </c>
      <c r="J33" s="171">
        <v>0</v>
      </c>
      <c r="K33" s="171">
        <v>617858</v>
      </c>
      <c r="L33" s="171">
        <v>0</v>
      </c>
      <c r="M33" s="171">
        <v>0</v>
      </c>
      <c r="N33" s="171">
        <v>0</v>
      </c>
      <c r="O33" s="171">
        <v>0</v>
      </c>
      <c r="P33" s="171">
        <v>0</v>
      </c>
      <c r="Q33" s="171">
        <v>0</v>
      </c>
      <c r="R33" s="171">
        <v>0</v>
      </c>
      <c r="S33" s="171">
        <v>0</v>
      </c>
      <c r="T33" s="171">
        <v>0</v>
      </c>
      <c r="U33" s="171">
        <v>0</v>
      </c>
      <c r="V33" s="171">
        <v>0</v>
      </c>
      <c r="W33" s="171">
        <v>0</v>
      </c>
      <c r="X33" s="171">
        <v>0</v>
      </c>
      <c r="Y33" s="171">
        <v>0</v>
      </c>
      <c r="Z33" s="171">
        <v>0</v>
      </c>
      <c r="AA33" s="171">
        <v>0</v>
      </c>
      <c r="AB33" s="171">
        <v>0</v>
      </c>
      <c r="AC33" s="171">
        <v>99948</v>
      </c>
      <c r="AD33" s="171">
        <v>0</v>
      </c>
      <c r="AE33" s="171">
        <v>0</v>
      </c>
      <c r="AF33" s="171">
        <v>0</v>
      </c>
      <c r="AG33" s="171">
        <v>0</v>
      </c>
      <c r="AH33" s="171">
        <v>264776</v>
      </c>
      <c r="AI33" s="171">
        <v>0</v>
      </c>
      <c r="AJ33" s="171">
        <v>0</v>
      </c>
      <c r="AK33" s="171">
        <v>0</v>
      </c>
      <c r="AL33" s="171">
        <v>0</v>
      </c>
      <c r="AM33" s="171">
        <v>0</v>
      </c>
      <c r="AN33" s="171">
        <v>0</v>
      </c>
    </row>
    <row r="34" spans="3:40" x14ac:dyDescent="0.3">
      <c r="C34" s="171">
        <v>56</v>
      </c>
      <c r="D34" s="171">
        <v>7</v>
      </c>
      <c r="E34" s="171">
        <v>9</v>
      </c>
      <c r="F34" s="171">
        <v>293045</v>
      </c>
      <c r="G34" s="171">
        <v>0</v>
      </c>
      <c r="H34" s="171">
        <v>0</v>
      </c>
      <c r="I34" s="171">
        <v>0</v>
      </c>
      <c r="J34" s="171">
        <v>0</v>
      </c>
      <c r="K34" s="171">
        <v>194127</v>
      </c>
      <c r="L34" s="171">
        <v>0</v>
      </c>
      <c r="M34" s="171">
        <v>0</v>
      </c>
      <c r="N34" s="171">
        <v>0</v>
      </c>
      <c r="O34" s="171">
        <v>0</v>
      </c>
      <c r="P34" s="171">
        <v>0</v>
      </c>
      <c r="Q34" s="171">
        <v>0</v>
      </c>
      <c r="R34" s="171">
        <v>0</v>
      </c>
      <c r="S34" s="171">
        <v>0</v>
      </c>
      <c r="T34" s="171">
        <v>0</v>
      </c>
      <c r="U34" s="171">
        <v>0</v>
      </c>
      <c r="V34" s="171">
        <v>0</v>
      </c>
      <c r="W34" s="171">
        <v>0</v>
      </c>
      <c r="X34" s="171">
        <v>0</v>
      </c>
      <c r="Y34" s="171">
        <v>0</v>
      </c>
      <c r="Z34" s="171">
        <v>0</v>
      </c>
      <c r="AA34" s="171">
        <v>0</v>
      </c>
      <c r="AB34" s="171">
        <v>0</v>
      </c>
      <c r="AC34" s="171">
        <v>26246</v>
      </c>
      <c r="AD34" s="171">
        <v>0</v>
      </c>
      <c r="AE34" s="171">
        <v>0</v>
      </c>
      <c r="AF34" s="171">
        <v>0</v>
      </c>
      <c r="AG34" s="171">
        <v>0</v>
      </c>
      <c r="AH34" s="171">
        <v>72672</v>
      </c>
      <c r="AI34" s="171">
        <v>0</v>
      </c>
      <c r="AJ34" s="171">
        <v>0</v>
      </c>
      <c r="AK34" s="171">
        <v>0</v>
      </c>
      <c r="AL34" s="171">
        <v>0</v>
      </c>
      <c r="AM34" s="171">
        <v>0</v>
      </c>
      <c r="AN34" s="171">
        <v>0</v>
      </c>
    </row>
    <row r="35" spans="3:40" x14ac:dyDescent="0.3">
      <c r="C35" s="171">
        <v>56</v>
      </c>
      <c r="D35" s="171">
        <v>8</v>
      </c>
      <c r="E35" s="171">
        <v>1</v>
      </c>
      <c r="F35" s="171">
        <v>33.75</v>
      </c>
      <c r="G35" s="171">
        <v>0</v>
      </c>
      <c r="H35" s="171">
        <v>0</v>
      </c>
      <c r="I35" s="171">
        <v>0</v>
      </c>
      <c r="J35" s="171">
        <v>0</v>
      </c>
      <c r="K35" s="171">
        <v>17.75</v>
      </c>
      <c r="L35" s="171">
        <v>0</v>
      </c>
      <c r="M35" s="171">
        <v>0</v>
      </c>
      <c r="N35" s="171">
        <v>0</v>
      </c>
      <c r="O35" s="171">
        <v>0</v>
      </c>
      <c r="P35" s="171">
        <v>0</v>
      </c>
      <c r="Q35" s="171">
        <v>0</v>
      </c>
      <c r="R35" s="171">
        <v>0</v>
      </c>
      <c r="S35" s="171">
        <v>0</v>
      </c>
      <c r="T35" s="171">
        <v>0</v>
      </c>
      <c r="U35" s="171">
        <v>0</v>
      </c>
      <c r="V35" s="171">
        <v>0</v>
      </c>
      <c r="W35" s="171">
        <v>0</v>
      </c>
      <c r="X35" s="171">
        <v>0</v>
      </c>
      <c r="Y35" s="171">
        <v>0</v>
      </c>
      <c r="Z35" s="171">
        <v>0</v>
      </c>
      <c r="AA35" s="171">
        <v>0</v>
      </c>
      <c r="AB35" s="171">
        <v>0</v>
      </c>
      <c r="AC35" s="171">
        <v>4</v>
      </c>
      <c r="AD35" s="171">
        <v>0</v>
      </c>
      <c r="AE35" s="171">
        <v>0</v>
      </c>
      <c r="AF35" s="171">
        <v>0</v>
      </c>
      <c r="AG35" s="171">
        <v>0</v>
      </c>
      <c r="AH35" s="171">
        <v>12</v>
      </c>
      <c r="AI35" s="171">
        <v>0</v>
      </c>
      <c r="AJ35" s="171">
        <v>0</v>
      </c>
      <c r="AK35" s="171">
        <v>0</v>
      </c>
      <c r="AL35" s="171">
        <v>0</v>
      </c>
      <c r="AM35" s="171">
        <v>0</v>
      </c>
      <c r="AN35" s="171">
        <v>0</v>
      </c>
    </row>
    <row r="36" spans="3:40" x14ac:dyDescent="0.3">
      <c r="C36" s="171">
        <v>56</v>
      </c>
      <c r="D36" s="171">
        <v>8</v>
      </c>
      <c r="E36" s="171">
        <v>2</v>
      </c>
      <c r="F36" s="171">
        <v>3601.25</v>
      </c>
      <c r="G36" s="171">
        <v>0</v>
      </c>
      <c r="H36" s="171">
        <v>0</v>
      </c>
      <c r="I36" s="171">
        <v>0</v>
      </c>
      <c r="J36" s="171">
        <v>0</v>
      </c>
      <c r="K36" s="171">
        <v>1860.75</v>
      </c>
      <c r="L36" s="171">
        <v>0</v>
      </c>
      <c r="M36" s="171">
        <v>0</v>
      </c>
      <c r="N36" s="171">
        <v>0</v>
      </c>
      <c r="O36" s="171">
        <v>0</v>
      </c>
      <c r="P36" s="171">
        <v>0</v>
      </c>
      <c r="Q36" s="171">
        <v>0</v>
      </c>
      <c r="R36" s="171">
        <v>0</v>
      </c>
      <c r="S36" s="171">
        <v>0</v>
      </c>
      <c r="T36" s="171">
        <v>0</v>
      </c>
      <c r="U36" s="171">
        <v>0</v>
      </c>
      <c r="V36" s="171">
        <v>0</v>
      </c>
      <c r="W36" s="171">
        <v>0</v>
      </c>
      <c r="X36" s="171">
        <v>0</v>
      </c>
      <c r="Y36" s="171">
        <v>0</v>
      </c>
      <c r="Z36" s="171">
        <v>0</v>
      </c>
      <c r="AA36" s="171">
        <v>0</v>
      </c>
      <c r="AB36" s="171">
        <v>0</v>
      </c>
      <c r="AC36" s="171">
        <v>367.5</v>
      </c>
      <c r="AD36" s="171">
        <v>0</v>
      </c>
      <c r="AE36" s="171">
        <v>0</v>
      </c>
      <c r="AF36" s="171">
        <v>0</v>
      </c>
      <c r="AG36" s="171">
        <v>0</v>
      </c>
      <c r="AH36" s="171">
        <v>1373</v>
      </c>
      <c r="AI36" s="171">
        <v>0</v>
      </c>
      <c r="AJ36" s="171">
        <v>0</v>
      </c>
      <c r="AK36" s="171">
        <v>0</v>
      </c>
      <c r="AL36" s="171">
        <v>0</v>
      </c>
      <c r="AM36" s="171">
        <v>0</v>
      </c>
      <c r="AN36" s="171">
        <v>0</v>
      </c>
    </row>
    <row r="37" spans="3:40" x14ac:dyDescent="0.3">
      <c r="C37" s="171">
        <v>56</v>
      </c>
      <c r="D37" s="171">
        <v>8</v>
      </c>
      <c r="E37" s="171">
        <v>4</v>
      </c>
      <c r="F37" s="171">
        <v>175</v>
      </c>
      <c r="G37" s="171">
        <v>0</v>
      </c>
      <c r="H37" s="171">
        <v>0</v>
      </c>
      <c r="I37" s="171">
        <v>0</v>
      </c>
      <c r="J37" s="171">
        <v>0</v>
      </c>
      <c r="K37" s="171">
        <v>120</v>
      </c>
      <c r="L37" s="171">
        <v>0</v>
      </c>
      <c r="M37" s="171">
        <v>0</v>
      </c>
      <c r="N37" s="171">
        <v>0</v>
      </c>
      <c r="O37" s="171">
        <v>0</v>
      </c>
      <c r="P37" s="171">
        <v>0</v>
      </c>
      <c r="Q37" s="171">
        <v>0</v>
      </c>
      <c r="R37" s="171">
        <v>0</v>
      </c>
      <c r="S37" s="171">
        <v>0</v>
      </c>
      <c r="T37" s="171">
        <v>0</v>
      </c>
      <c r="U37" s="171">
        <v>0</v>
      </c>
      <c r="V37" s="171">
        <v>0</v>
      </c>
      <c r="W37" s="171">
        <v>0</v>
      </c>
      <c r="X37" s="171">
        <v>0</v>
      </c>
      <c r="Y37" s="171">
        <v>0</v>
      </c>
      <c r="Z37" s="171">
        <v>0</v>
      </c>
      <c r="AA37" s="171">
        <v>0</v>
      </c>
      <c r="AB37" s="171">
        <v>0</v>
      </c>
      <c r="AC37" s="171">
        <v>20</v>
      </c>
      <c r="AD37" s="171">
        <v>0</v>
      </c>
      <c r="AE37" s="171">
        <v>0</v>
      </c>
      <c r="AF37" s="171">
        <v>0</v>
      </c>
      <c r="AG37" s="171">
        <v>0</v>
      </c>
      <c r="AH37" s="171">
        <v>35</v>
      </c>
      <c r="AI37" s="171">
        <v>0</v>
      </c>
      <c r="AJ37" s="171">
        <v>0</v>
      </c>
      <c r="AK37" s="171">
        <v>0</v>
      </c>
      <c r="AL37" s="171">
        <v>0</v>
      </c>
      <c r="AM37" s="171">
        <v>0</v>
      </c>
      <c r="AN37" s="171">
        <v>0</v>
      </c>
    </row>
    <row r="38" spans="3:40" x14ac:dyDescent="0.3">
      <c r="C38" s="171">
        <v>56</v>
      </c>
      <c r="D38" s="171">
        <v>8</v>
      </c>
      <c r="E38" s="171">
        <v>6</v>
      </c>
      <c r="F38" s="171">
        <v>700243</v>
      </c>
      <c r="G38" s="171">
        <v>0</v>
      </c>
      <c r="H38" s="171">
        <v>0</v>
      </c>
      <c r="I38" s="171">
        <v>0</v>
      </c>
      <c r="J38" s="171">
        <v>0</v>
      </c>
      <c r="K38" s="171">
        <v>453247</v>
      </c>
      <c r="L38" s="171">
        <v>0</v>
      </c>
      <c r="M38" s="171">
        <v>0</v>
      </c>
      <c r="N38" s="171">
        <v>0</v>
      </c>
      <c r="O38" s="171">
        <v>0</v>
      </c>
      <c r="P38" s="171">
        <v>0</v>
      </c>
      <c r="Q38" s="171">
        <v>0</v>
      </c>
      <c r="R38" s="171">
        <v>0</v>
      </c>
      <c r="S38" s="171">
        <v>0</v>
      </c>
      <c r="T38" s="171">
        <v>0</v>
      </c>
      <c r="U38" s="171">
        <v>0</v>
      </c>
      <c r="V38" s="171">
        <v>0</v>
      </c>
      <c r="W38" s="171">
        <v>0</v>
      </c>
      <c r="X38" s="171">
        <v>0</v>
      </c>
      <c r="Y38" s="171">
        <v>0</v>
      </c>
      <c r="Z38" s="171">
        <v>0</v>
      </c>
      <c r="AA38" s="171">
        <v>0</v>
      </c>
      <c r="AB38" s="171">
        <v>0</v>
      </c>
      <c r="AC38" s="171">
        <v>70452</v>
      </c>
      <c r="AD38" s="171">
        <v>0</v>
      </c>
      <c r="AE38" s="171">
        <v>0</v>
      </c>
      <c r="AF38" s="171">
        <v>0</v>
      </c>
      <c r="AG38" s="171">
        <v>0</v>
      </c>
      <c r="AH38" s="171">
        <v>176544</v>
      </c>
      <c r="AI38" s="171">
        <v>0</v>
      </c>
      <c r="AJ38" s="171">
        <v>0</v>
      </c>
      <c r="AK38" s="171">
        <v>0</v>
      </c>
      <c r="AL38" s="171">
        <v>0</v>
      </c>
      <c r="AM38" s="171">
        <v>0</v>
      </c>
      <c r="AN38" s="171">
        <v>0</v>
      </c>
    </row>
    <row r="39" spans="3:40" x14ac:dyDescent="0.3">
      <c r="C39" s="171">
        <v>56</v>
      </c>
      <c r="D39" s="171">
        <v>9</v>
      </c>
      <c r="E39" s="171">
        <v>1</v>
      </c>
      <c r="F39" s="171">
        <v>33</v>
      </c>
      <c r="G39" s="171">
        <v>0</v>
      </c>
      <c r="H39" s="171">
        <v>0</v>
      </c>
      <c r="I39" s="171">
        <v>0</v>
      </c>
      <c r="J39" s="171">
        <v>0</v>
      </c>
      <c r="K39" s="171">
        <v>17</v>
      </c>
      <c r="L39" s="171">
        <v>0</v>
      </c>
      <c r="M39" s="171">
        <v>0</v>
      </c>
      <c r="N39" s="171">
        <v>0</v>
      </c>
      <c r="O39" s="171">
        <v>0</v>
      </c>
      <c r="P39" s="171">
        <v>0</v>
      </c>
      <c r="Q39" s="171">
        <v>0</v>
      </c>
      <c r="R39" s="171">
        <v>0</v>
      </c>
      <c r="S39" s="171">
        <v>0</v>
      </c>
      <c r="T39" s="171">
        <v>0</v>
      </c>
      <c r="U39" s="171">
        <v>0</v>
      </c>
      <c r="V39" s="171">
        <v>0</v>
      </c>
      <c r="W39" s="171">
        <v>0</v>
      </c>
      <c r="X39" s="171">
        <v>0</v>
      </c>
      <c r="Y39" s="171">
        <v>0</v>
      </c>
      <c r="Z39" s="171">
        <v>0</v>
      </c>
      <c r="AA39" s="171">
        <v>0</v>
      </c>
      <c r="AB39" s="171">
        <v>0</v>
      </c>
      <c r="AC39" s="171">
        <v>4</v>
      </c>
      <c r="AD39" s="171">
        <v>0</v>
      </c>
      <c r="AE39" s="171">
        <v>0</v>
      </c>
      <c r="AF39" s="171">
        <v>0</v>
      </c>
      <c r="AG39" s="171">
        <v>0</v>
      </c>
      <c r="AH39" s="171">
        <v>12</v>
      </c>
      <c r="AI39" s="171">
        <v>0</v>
      </c>
      <c r="AJ39" s="171">
        <v>0</v>
      </c>
      <c r="AK39" s="171">
        <v>0</v>
      </c>
      <c r="AL39" s="171">
        <v>0</v>
      </c>
      <c r="AM39" s="171">
        <v>0</v>
      </c>
      <c r="AN39" s="171">
        <v>0</v>
      </c>
    </row>
    <row r="40" spans="3:40" x14ac:dyDescent="0.3">
      <c r="C40" s="171">
        <v>56</v>
      </c>
      <c r="D40" s="171">
        <v>9</v>
      </c>
      <c r="E40" s="171">
        <v>2</v>
      </c>
      <c r="F40" s="171">
        <v>4441.5</v>
      </c>
      <c r="G40" s="171">
        <v>0</v>
      </c>
      <c r="H40" s="171">
        <v>0</v>
      </c>
      <c r="I40" s="171">
        <v>0</v>
      </c>
      <c r="J40" s="171">
        <v>0</v>
      </c>
      <c r="K40" s="171">
        <v>2346.75</v>
      </c>
      <c r="L40" s="171">
        <v>0</v>
      </c>
      <c r="M40" s="171">
        <v>0</v>
      </c>
      <c r="N40" s="171">
        <v>0</v>
      </c>
      <c r="O40" s="171">
        <v>0</v>
      </c>
      <c r="P40" s="171">
        <v>0</v>
      </c>
      <c r="Q40" s="171">
        <v>0</v>
      </c>
      <c r="R40" s="171">
        <v>0</v>
      </c>
      <c r="S40" s="171">
        <v>0</v>
      </c>
      <c r="T40" s="171">
        <v>0</v>
      </c>
      <c r="U40" s="171">
        <v>0</v>
      </c>
      <c r="V40" s="171">
        <v>0</v>
      </c>
      <c r="W40" s="171">
        <v>0</v>
      </c>
      <c r="X40" s="171">
        <v>0</v>
      </c>
      <c r="Y40" s="171">
        <v>0</v>
      </c>
      <c r="Z40" s="171">
        <v>0</v>
      </c>
      <c r="AA40" s="171">
        <v>0</v>
      </c>
      <c r="AB40" s="171">
        <v>0</v>
      </c>
      <c r="AC40" s="171">
        <v>581.25</v>
      </c>
      <c r="AD40" s="171">
        <v>0</v>
      </c>
      <c r="AE40" s="171">
        <v>0</v>
      </c>
      <c r="AF40" s="171">
        <v>0</v>
      </c>
      <c r="AG40" s="171">
        <v>0</v>
      </c>
      <c r="AH40" s="171">
        <v>1513.5</v>
      </c>
      <c r="AI40" s="171">
        <v>0</v>
      </c>
      <c r="AJ40" s="171">
        <v>0</v>
      </c>
      <c r="AK40" s="171">
        <v>0</v>
      </c>
      <c r="AL40" s="171">
        <v>0</v>
      </c>
      <c r="AM40" s="171">
        <v>0</v>
      </c>
      <c r="AN40" s="171">
        <v>0</v>
      </c>
    </row>
    <row r="41" spans="3:40" x14ac:dyDescent="0.3">
      <c r="C41" s="171">
        <v>56</v>
      </c>
      <c r="D41" s="171">
        <v>9</v>
      </c>
      <c r="E41" s="171">
        <v>6</v>
      </c>
      <c r="F41" s="171">
        <v>691136</v>
      </c>
      <c r="G41" s="171">
        <v>0</v>
      </c>
      <c r="H41" s="171">
        <v>0</v>
      </c>
      <c r="I41" s="171">
        <v>0</v>
      </c>
      <c r="J41" s="171">
        <v>0</v>
      </c>
      <c r="K41" s="171">
        <v>443691</v>
      </c>
      <c r="L41" s="171">
        <v>0</v>
      </c>
      <c r="M41" s="171">
        <v>0</v>
      </c>
      <c r="N41" s="171">
        <v>0</v>
      </c>
      <c r="O41" s="171">
        <v>0</v>
      </c>
      <c r="P41" s="171">
        <v>0</v>
      </c>
      <c r="Q41" s="171">
        <v>0</v>
      </c>
      <c r="R41" s="171">
        <v>0</v>
      </c>
      <c r="S41" s="171">
        <v>0</v>
      </c>
      <c r="T41" s="171">
        <v>0</v>
      </c>
      <c r="U41" s="171">
        <v>0</v>
      </c>
      <c r="V41" s="171">
        <v>0</v>
      </c>
      <c r="W41" s="171">
        <v>0</v>
      </c>
      <c r="X41" s="171">
        <v>0</v>
      </c>
      <c r="Y41" s="171">
        <v>0</v>
      </c>
      <c r="Z41" s="171">
        <v>0</v>
      </c>
      <c r="AA41" s="171">
        <v>0</v>
      </c>
      <c r="AB41" s="171">
        <v>0</v>
      </c>
      <c r="AC41" s="171">
        <v>70860</v>
      </c>
      <c r="AD41" s="171">
        <v>0</v>
      </c>
      <c r="AE41" s="171">
        <v>0</v>
      </c>
      <c r="AF41" s="171">
        <v>0</v>
      </c>
      <c r="AG41" s="171">
        <v>0</v>
      </c>
      <c r="AH41" s="171">
        <v>176585</v>
      </c>
      <c r="AI41" s="171">
        <v>0</v>
      </c>
      <c r="AJ41" s="171">
        <v>0</v>
      </c>
      <c r="AK41" s="171">
        <v>0</v>
      </c>
      <c r="AL41" s="171">
        <v>0</v>
      </c>
      <c r="AM41" s="171">
        <v>0</v>
      </c>
      <c r="AN41" s="171">
        <v>0</v>
      </c>
    </row>
    <row r="42" spans="3:40" x14ac:dyDescent="0.3">
      <c r="C42" s="171">
        <v>56</v>
      </c>
      <c r="D42" s="171">
        <v>9</v>
      </c>
      <c r="E42" s="171">
        <v>9</v>
      </c>
      <c r="F42" s="171">
        <v>18100</v>
      </c>
      <c r="G42" s="171">
        <v>0</v>
      </c>
      <c r="H42" s="171">
        <v>0</v>
      </c>
      <c r="I42" s="171">
        <v>0</v>
      </c>
      <c r="J42" s="171">
        <v>0</v>
      </c>
      <c r="K42" s="171">
        <v>12100</v>
      </c>
      <c r="L42" s="171">
        <v>0</v>
      </c>
      <c r="M42" s="171">
        <v>0</v>
      </c>
      <c r="N42" s="171">
        <v>0</v>
      </c>
      <c r="O42" s="171">
        <v>0</v>
      </c>
      <c r="P42" s="171">
        <v>0</v>
      </c>
      <c r="Q42" s="171">
        <v>0</v>
      </c>
      <c r="R42" s="171">
        <v>0</v>
      </c>
      <c r="S42" s="171">
        <v>0</v>
      </c>
      <c r="T42" s="171">
        <v>0</v>
      </c>
      <c r="U42" s="171">
        <v>0</v>
      </c>
      <c r="V42" s="171">
        <v>0</v>
      </c>
      <c r="W42" s="171">
        <v>0</v>
      </c>
      <c r="X42" s="171">
        <v>0</v>
      </c>
      <c r="Y42" s="171">
        <v>0</v>
      </c>
      <c r="Z42" s="171">
        <v>0</v>
      </c>
      <c r="AA42" s="171">
        <v>0</v>
      </c>
      <c r="AB42" s="171">
        <v>0</v>
      </c>
      <c r="AC42" s="171">
        <v>3000</v>
      </c>
      <c r="AD42" s="171">
        <v>0</v>
      </c>
      <c r="AE42" s="171">
        <v>0</v>
      </c>
      <c r="AF42" s="171">
        <v>0</v>
      </c>
      <c r="AG42" s="171">
        <v>0</v>
      </c>
      <c r="AH42" s="171">
        <v>3000</v>
      </c>
      <c r="AI42" s="171">
        <v>0</v>
      </c>
      <c r="AJ42" s="171">
        <v>0</v>
      </c>
      <c r="AK42" s="171">
        <v>0</v>
      </c>
      <c r="AL42" s="171">
        <v>0</v>
      </c>
      <c r="AM42" s="171">
        <v>0</v>
      </c>
      <c r="AN42" s="171">
        <v>0</v>
      </c>
    </row>
    <row r="43" spans="3:40" x14ac:dyDescent="0.3">
      <c r="C43" s="171">
        <v>56</v>
      </c>
      <c r="D43" s="171">
        <v>10</v>
      </c>
      <c r="E43" s="171">
        <v>1</v>
      </c>
      <c r="F43" s="171">
        <v>33.75</v>
      </c>
      <c r="G43" s="171">
        <v>0</v>
      </c>
      <c r="H43" s="171">
        <v>0</v>
      </c>
      <c r="I43" s="171">
        <v>0</v>
      </c>
      <c r="J43" s="171">
        <v>0</v>
      </c>
      <c r="K43" s="171">
        <v>16.75</v>
      </c>
      <c r="L43" s="171">
        <v>0</v>
      </c>
      <c r="M43" s="171">
        <v>0</v>
      </c>
      <c r="N43" s="171">
        <v>0</v>
      </c>
      <c r="O43" s="171">
        <v>0</v>
      </c>
      <c r="P43" s="171">
        <v>0</v>
      </c>
      <c r="Q43" s="171">
        <v>0</v>
      </c>
      <c r="R43" s="171">
        <v>0</v>
      </c>
      <c r="S43" s="171">
        <v>0</v>
      </c>
      <c r="T43" s="171">
        <v>0</v>
      </c>
      <c r="U43" s="171">
        <v>0</v>
      </c>
      <c r="V43" s="171">
        <v>0</v>
      </c>
      <c r="W43" s="171">
        <v>0</v>
      </c>
      <c r="X43" s="171">
        <v>0</v>
      </c>
      <c r="Y43" s="171">
        <v>0</v>
      </c>
      <c r="Z43" s="171">
        <v>0</v>
      </c>
      <c r="AA43" s="171">
        <v>0</v>
      </c>
      <c r="AB43" s="171">
        <v>0</v>
      </c>
      <c r="AC43" s="171">
        <v>5</v>
      </c>
      <c r="AD43" s="171">
        <v>0</v>
      </c>
      <c r="AE43" s="171">
        <v>0</v>
      </c>
      <c r="AF43" s="171">
        <v>0</v>
      </c>
      <c r="AG43" s="171">
        <v>0</v>
      </c>
      <c r="AH43" s="171">
        <v>12</v>
      </c>
      <c r="AI43" s="171">
        <v>0</v>
      </c>
      <c r="AJ43" s="171">
        <v>0</v>
      </c>
      <c r="AK43" s="171">
        <v>0</v>
      </c>
      <c r="AL43" s="171">
        <v>0</v>
      </c>
      <c r="AM43" s="171">
        <v>0</v>
      </c>
      <c r="AN43" s="171">
        <v>0</v>
      </c>
    </row>
    <row r="44" spans="3:40" x14ac:dyDescent="0.3">
      <c r="C44" s="171">
        <v>56</v>
      </c>
      <c r="D44" s="171">
        <v>10</v>
      </c>
      <c r="E44" s="171">
        <v>2</v>
      </c>
      <c r="F44" s="171">
        <v>5074.88</v>
      </c>
      <c r="G44" s="171">
        <v>0</v>
      </c>
      <c r="H44" s="171">
        <v>0</v>
      </c>
      <c r="I44" s="171">
        <v>0</v>
      </c>
      <c r="J44" s="171">
        <v>0</v>
      </c>
      <c r="K44" s="171">
        <v>2587.13</v>
      </c>
      <c r="L44" s="171">
        <v>0</v>
      </c>
      <c r="M44" s="171">
        <v>0</v>
      </c>
      <c r="N44" s="171">
        <v>0</v>
      </c>
      <c r="O44" s="171">
        <v>0</v>
      </c>
      <c r="P44" s="171">
        <v>0</v>
      </c>
      <c r="Q44" s="171">
        <v>0</v>
      </c>
      <c r="R44" s="171">
        <v>0</v>
      </c>
      <c r="S44" s="171">
        <v>0</v>
      </c>
      <c r="T44" s="171">
        <v>0</v>
      </c>
      <c r="U44" s="171">
        <v>0</v>
      </c>
      <c r="V44" s="171">
        <v>0</v>
      </c>
      <c r="W44" s="171">
        <v>0</v>
      </c>
      <c r="X44" s="171">
        <v>0</v>
      </c>
      <c r="Y44" s="171">
        <v>0</v>
      </c>
      <c r="Z44" s="171">
        <v>0</v>
      </c>
      <c r="AA44" s="171">
        <v>0</v>
      </c>
      <c r="AB44" s="171">
        <v>0</v>
      </c>
      <c r="AC44" s="171">
        <v>765</v>
      </c>
      <c r="AD44" s="171">
        <v>0</v>
      </c>
      <c r="AE44" s="171">
        <v>0</v>
      </c>
      <c r="AF44" s="171">
        <v>0</v>
      </c>
      <c r="AG44" s="171">
        <v>0</v>
      </c>
      <c r="AH44" s="171">
        <v>1722.75</v>
      </c>
      <c r="AI44" s="171">
        <v>0</v>
      </c>
      <c r="AJ44" s="171">
        <v>0</v>
      </c>
      <c r="AK44" s="171">
        <v>0</v>
      </c>
      <c r="AL44" s="171">
        <v>0</v>
      </c>
      <c r="AM44" s="171">
        <v>0</v>
      </c>
      <c r="AN44" s="171">
        <v>0</v>
      </c>
    </row>
    <row r="45" spans="3:40" x14ac:dyDescent="0.3">
      <c r="C45" s="171">
        <v>56</v>
      </c>
      <c r="D45" s="171">
        <v>10</v>
      </c>
      <c r="E45" s="171">
        <v>6</v>
      </c>
      <c r="F45" s="171">
        <v>694854</v>
      </c>
      <c r="G45" s="171">
        <v>0</v>
      </c>
      <c r="H45" s="171">
        <v>0</v>
      </c>
      <c r="I45" s="171">
        <v>0</v>
      </c>
      <c r="J45" s="171">
        <v>0</v>
      </c>
      <c r="K45" s="171">
        <v>431967</v>
      </c>
      <c r="L45" s="171">
        <v>0</v>
      </c>
      <c r="M45" s="171">
        <v>0</v>
      </c>
      <c r="N45" s="171">
        <v>0</v>
      </c>
      <c r="O45" s="171">
        <v>0</v>
      </c>
      <c r="P45" s="171">
        <v>0</v>
      </c>
      <c r="Q45" s="171">
        <v>0</v>
      </c>
      <c r="R45" s="171">
        <v>0</v>
      </c>
      <c r="S45" s="171">
        <v>0</v>
      </c>
      <c r="T45" s="171">
        <v>0</v>
      </c>
      <c r="U45" s="171">
        <v>0</v>
      </c>
      <c r="V45" s="171">
        <v>0</v>
      </c>
      <c r="W45" s="171">
        <v>0</v>
      </c>
      <c r="X45" s="171">
        <v>0</v>
      </c>
      <c r="Y45" s="171">
        <v>0</v>
      </c>
      <c r="Z45" s="171">
        <v>0</v>
      </c>
      <c r="AA45" s="171">
        <v>0</v>
      </c>
      <c r="AB45" s="171">
        <v>0</v>
      </c>
      <c r="AC45" s="171">
        <v>85911</v>
      </c>
      <c r="AD45" s="171">
        <v>0</v>
      </c>
      <c r="AE45" s="171">
        <v>0</v>
      </c>
      <c r="AF45" s="171">
        <v>0</v>
      </c>
      <c r="AG45" s="171">
        <v>0</v>
      </c>
      <c r="AH45" s="171">
        <v>176976</v>
      </c>
      <c r="AI45" s="171">
        <v>0</v>
      </c>
      <c r="AJ45" s="171">
        <v>0</v>
      </c>
      <c r="AK45" s="171">
        <v>0</v>
      </c>
      <c r="AL45" s="171">
        <v>0</v>
      </c>
      <c r="AM45" s="171">
        <v>0</v>
      </c>
      <c r="AN45" s="171">
        <v>0</v>
      </c>
    </row>
    <row r="46" spans="3:40" x14ac:dyDescent="0.3">
      <c r="C46" s="171">
        <v>56</v>
      </c>
      <c r="D46" s="171">
        <v>10</v>
      </c>
      <c r="E46" s="171">
        <v>9</v>
      </c>
      <c r="F46" s="171">
        <v>1500</v>
      </c>
      <c r="G46" s="171">
        <v>0</v>
      </c>
      <c r="H46" s="171">
        <v>0</v>
      </c>
      <c r="I46" s="171">
        <v>0</v>
      </c>
      <c r="J46" s="171">
        <v>0</v>
      </c>
      <c r="K46" s="171">
        <v>1500</v>
      </c>
      <c r="L46" s="171">
        <v>0</v>
      </c>
      <c r="M46" s="171">
        <v>0</v>
      </c>
      <c r="N46" s="171">
        <v>0</v>
      </c>
      <c r="O46" s="171">
        <v>0</v>
      </c>
      <c r="P46" s="171">
        <v>0</v>
      </c>
      <c r="Q46" s="171">
        <v>0</v>
      </c>
      <c r="R46" s="171">
        <v>0</v>
      </c>
      <c r="S46" s="171">
        <v>0</v>
      </c>
      <c r="T46" s="171">
        <v>0</v>
      </c>
      <c r="U46" s="171">
        <v>0</v>
      </c>
      <c r="V46" s="171">
        <v>0</v>
      </c>
      <c r="W46" s="171">
        <v>0</v>
      </c>
      <c r="X46" s="171">
        <v>0</v>
      </c>
      <c r="Y46" s="171">
        <v>0</v>
      </c>
      <c r="Z46" s="171">
        <v>0</v>
      </c>
      <c r="AA46" s="171">
        <v>0</v>
      </c>
      <c r="AB46" s="171">
        <v>0</v>
      </c>
      <c r="AC46" s="171">
        <v>0</v>
      </c>
      <c r="AD46" s="171">
        <v>0</v>
      </c>
      <c r="AE46" s="171">
        <v>0</v>
      </c>
      <c r="AF46" s="171">
        <v>0</v>
      </c>
      <c r="AG46" s="171">
        <v>0</v>
      </c>
      <c r="AH46" s="171">
        <v>0</v>
      </c>
      <c r="AI46" s="171">
        <v>0</v>
      </c>
      <c r="AJ46" s="171">
        <v>0</v>
      </c>
      <c r="AK46" s="171">
        <v>0</v>
      </c>
      <c r="AL46" s="171">
        <v>0</v>
      </c>
      <c r="AM46" s="171">
        <v>0</v>
      </c>
      <c r="AN46" s="17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61" t="s">
        <v>73</v>
      </c>
      <c r="B1" s="261"/>
      <c r="C1" s="262"/>
      <c r="D1" s="262"/>
      <c r="E1" s="262"/>
    </row>
    <row r="2" spans="1:5" ht="14.4" customHeight="1" thickBot="1" x14ac:dyDescent="0.35">
      <c r="A2" s="175" t="s">
        <v>205</v>
      </c>
      <c r="B2" s="115"/>
    </row>
    <row r="3" spans="1:5" ht="14.4" customHeight="1" thickBot="1" x14ac:dyDescent="0.35">
      <c r="A3" s="118"/>
      <c r="C3" s="119" t="s">
        <v>62</v>
      </c>
      <c r="D3" s="120" t="s">
        <v>55</v>
      </c>
      <c r="E3" s="121" t="s">
        <v>57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22168.020218558471</v>
      </c>
      <c r="D4" s="124">
        <f ca="1">IF(ISERROR(VLOOKUP("Náklady celkem",INDIRECT("HI!$A:$G"),5,0)),0,VLOOKUP("Náklady celkem",INDIRECT("HI!$A:$G"),5,0))</f>
        <v>21037.603020000017</v>
      </c>
      <c r="E4" s="125">
        <f ca="1">IF(C4=0,0,D4/C4)</f>
        <v>0.94900684917220979</v>
      </c>
    </row>
    <row r="5" spans="1:5" ht="14.4" customHeight="1" x14ac:dyDescent="0.3">
      <c r="A5" s="126" t="s">
        <v>82</v>
      </c>
      <c r="B5" s="127"/>
      <c r="C5" s="128"/>
      <c r="D5" s="128"/>
      <c r="E5" s="129"/>
    </row>
    <row r="6" spans="1:5" ht="14.4" customHeight="1" x14ac:dyDescent="0.3">
      <c r="A6" s="130" t="s">
        <v>87</v>
      </c>
      <c r="B6" s="131"/>
      <c r="C6" s="132"/>
      <c r="D6" s="132"/>
      <c r="E6" s="129"/>
    </row>
    <row r="7" spans="1:5" ht="14.4" customHeight="1" x14ac:dyDescent="0.3">
      <c r="A7" s="13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66</v>
      </c>
      <c r="C7" s="132">
        <f>IF(ISERROR(HI!F5),"",HI!F5)</f>
        <v>47.743829797406669</v>
      </c>
      <c r="D7" s="132">
        <f>IF(ISERROR(HI!E5),"",HI!E5)</f>
        <v>45.203299999999992</v>
      </c>
      <c r="E7" s="129">
        <f t="shared" ref="E7:E12" si="0">IF(C7=0,0,D7/C7)</f>
        <v>0.94678831153288268</v>
      </c>
    </row>
    <row r="8" spans="1:5" ht="14.4" customHeight="1" x14ac:dyDescent="0.3">
      <c r="A8" s="252" t="str">
        <f>HYPERLINK("#'LŽ Statim'!A1","% podíl statimových žádanek")</f>
        <v>% podíl statimových žádanek</v>
      </c>
      <c r="B8" s="250" t="s">
        <v>203</v>
      </c>
      <c r="C8" s="251">
        <v>0.3</v>
      </c>
      <c r="D8" s="251">
        <f>IF('LŽ Statim'!G3="",0,'LŽ Statim'!G3)</f>
        <v>0</v>
      </c>
      <c r="E8" s="129">
        <f>IF(C8=0,0,D8/C8)</f>
        <v>0</v>
      </c>
    </row>
    <row r="9" spans="1:5" ht="14.4" customHeight="1" x14ac:dyDescent="0.3">
      <c r="A9" s="134" t="s">
        <v>83</v>
      </c>
      <c r="B9" s="131"/>
      <c r="C9" s="132"/>
      <c r="D9" s="132"/>
      <c r="E9" s="129"/>
    </row>
    <row r="10" spans="1:5" ht="14.4" customHeight="1" x14ac:dyDescent="0.3">
      <c r="A10" s="134" t="s">
        <v>84</v>
      </c>
      <c r="B10" s="131"/>
      <c r="C10" s="132"/>
      <c r="D10" s="132"/>
      <c r="E10" s="129"/>
    </row>
    <row r="11" spans="1:5" ht="14.4" customHeight="1" x14ac:dyDescent="0.3">
      <c r="A11" s="135" t="s">
        <v>88</v>
      </c>
      <c r="B11" s="131"/>
      <c r="C11" s="128"/>
      <c r="D11" s="128"/>
      <c r="E11" s="129"/>
    </row>
    <row r="12" spans="1:5" ht="14.4" customHeight="1" x14ac:dyDescent="0.3">
      <c r="A12" s="13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1" t="s">
        <v>66</v>
      </c>
      <c r="C12" s="132">
        <f>IF(ISERROR(HI!F6),"",HI!F6)</f>
        <v>9.2456718886724989</v>
      </c>
      <c r="D12" s="132">
        <f>IF(ISERROR(HI!E6),"",HI!E6)</f>
        <v>7.2399999999999993</v>
      </c>
      <c r="E12" s="129">
        <f t="shared" si="0"/>
        <v>0.78306910381172146</v>
      </c>
    </row>
    <row r="13" spans="1:5" ht="14.4" customHeight="1" thickBot="1" x14ac:dyDescent="0.35">
      <c r="A13" s="137" t="str">
        <f>HYPERLINK("#HI!A1","Osobní náklady")</f>
        <v>Osobní náklady</v>
      </c>
      <c r="B13" s="131"/>
      <c r="C13" s="128">
        <f ca="1">IF(ISERROR(VLOOKUP("Osobní náklady (Kč) *",INDIRECT("HI!$A:$G"),6,0)),0,VLOOKUP("Osobní náklady (Kč) *",INDIRECT("HI!$A:$G"),6,0))</f>
        <v>9765.0482831285808</v>
      </c>
      <c r="D13" s="128">
        <f ca="1">IF(ISERROR(VLOOKUP("Osobní náklady (Kč) *",INDIRECT("HI!$A:$G"),5,0)),0,VLOOKUP("Osobní náklady (Kč) *",INDIRECT("HI!$A:$G"),5,0))</f>
        <v>9449.2538900000054</v>
      </c>
      <c r="E13" s="129">
        <f ca="1">IF(C13=0,0,D13/C13)</f>
        <v>0.9676607443227716</v>
      </c>
    </row>
    <row r="14" spans="1:5" ht="14.4" customHeight="1" thickBot="1" x14ac:dyDescent="0.35">
      <c r="A14" s="141"/>
      <c r="B14" s="142"/>
      <c r="C14" s="143"/>
      <c r="D14" s="143"/>
      <c r="E14" s="144"/>
    </row>
    <row r="15" spans="1:5" ht="14.4" customHeight="1" thickBot="1" x14ac:dyDescent="0.35">
      <c r="A15" s="145" t="str">
        <f>HYPERLINK("#HI!A1","VÝNOSY CELKEM (v tisících)")</f>
        <v>VÝNOSY CELKEM (v tisících)</v>
      </c>
      <c r="B15" s="146"/>
      <c r="C15" s="147">
        <f ca="1">IF(ISERROR(VLOOKUP("Výnosy celkem",INDIRECT("HI!$A:$G"),6,0)),0,VLOOKUP("Výnosy celkem",INDIRECT("HI!$A:$G"),6,0))</f>
        <v>0</v>
      </c>
      <c r="D15" s="147">
        <f ca="1">IF(ISERROR(VLOOKUP("Výnosy celkem",INDIRECT("HI!$A:$G"),5,0)),0,VLOOKUP("Výnosy celkem",INDIRECT("HI!$A:$G"),5,0))</f>
        <v>0</v>
      </c>
      <c r="E15" s="148">
        <f t="shared" ref="E15:E16" ca="1" si="1">IF(C15=0,0,D15/C15)</f>
        <v>0</v>
      </c>
    </row>
    <row r="16" spans="1:5" ht="14.4" customHeight="1" x14ac:dyDescent="0.3">
      <c r="A16" s="149" t="str">
        <f>HYPERLINK("#HI!A1","Ambulance (body za výkony + Kč za ZUM a ZULP)")</f>
        <v>Ambulance (body za výkony + Kč za ZUM a ZULP)</v>
      </c>
      <c r="B16" s="127"/>
      <c r="C16" s="128">
        <f ca="1">IF(ISERROR(VLOOKUP("Ambulance *",INDIRECT("HI!$A:$G"),6,0)),0,VLOOKUP("Ambulance *",INDIRECT("HI!$A:$G"),6,0))</f>
        <v>0</v>
      </c>
      <c r="D16" s="128">
        <f ca="1">IF(ISERROR(VLOOKUP("Ambulance *",INDIRECT("HI!$A:$G"),5,0)),0,VLOOKUP("Ambulance *",INDIRECT("HI!$A:$G"),5,0))</f>
        <v>0</v>
      </c>
      <c r="E16" s="129">
        <f t="shared" ca="1" si="1"/>
        <v>0</v>
      </c>
    </row>
    <row r="17" spans="1:5" ht="14.4" customHeight="1" x14ac:dyDescent="0.3">
      <c r="A17" s="150" t="str">
        <f>HYPERLINK("#HI!A1","Hospitalizace (casemix * 30000)")</f>
        <v>Hospitalizace (casemix * 30000)</v>
      </c>
      <c r="B17" s="131"/>
      <c r="C17" s="128">
        <f ca="1">IF(ISERROR(VLOOKUP("Hospitalizace *",INDIRECT("HI!$A:$G"),6,0)),0,VLOOKUP("Hospitalizace *",INDIRECT("HI!$A:$G"),6,0))</f>
        <v>0</v>
      </c>
      <c r="D17" s="128">
        <f ca="1">IF(ISERROR(VLOOKUP("Hospitalizace *",INDIRECT("HI!$A:$G"),5,0)),0,VLOOKUP("Hospitalizace *",INDIRECT("HI!$A:$G"),5,0))</f>
        <v>0</v>
      </c>
      <c r="E17" s="129">
        <f ca="1">IF(C17=0,0,D17/C17)</f>
        <v>0</v>
      </c>
    </row>
    <row r="18" spans="1:5" ht="14.4" customHeight="1" thickBot="1" x14ac:dyDescent="0.35">
      <c r="A18" s="151" t="s">
        <v>85</v>
      </c>
      <c r="B18" s="138"/>
      <c r="C18" s="139"/>
      <c r="D18" s="139"/>
      <c r="E18" s="140"/>
    </row>
    <row r="19" spans="1:5" ht="14.4" customHeight="1" thickBot="1" x14ac:dyDescent="0.35">
      <c r="A19" s="152"/>
      <c r="B19" s="153"/>
      <c r="C19" s="154"/>
      <c r="D19" s="154"/>
      <c r="E19" s="155"/>
    </row>
    <row r="20" spans="1:5" ht="14.4" customHeight="1" thickBot="1" x14ac:dyDescent="0.35">
      <c r="A20" s="156" t="s">
        <v>86</v>
      </c>
      <c r="B20" s="157"/>
      <c r="C20" s="158"/>
      <c r="D20" s="158"/>
      <c r="E20" s="159"/>
    </row>
  </sheetData>
  <mergeCells count="1">
    <mergeCell ref="A1:E1"/>
  </mergeCells>
  <conditionalFormatting sqref="E5">
    <cfRule type="cellIs" dxfId="4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7">
    <cfRule type="cellIs" dxfId="4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3" priority="20" operator="lessThan">
      <formula>1</formula>
    </cfRule>
  </conditionalFormatting>
  <conditionalFormatting sqref="E8">
    <cfRule type="cellIs" dxfId="4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1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61" t="s">
        <v>76</v>
      </c>
      <c r="B1" s="261"/>
      <c r="C1" s="261"/>
      <c r="D1" s="261"/>
      <c r="E1" s="261"/>
      <c r="F1" s="261"/>
      <c r="G1" s="262"/>
      <c r="H1" s="262"/>
    </row>
    <row r="2" spans="1:8" ht="14.4" customHeight="1" thickBot="1" x14ac:dyDescent="0.35">
      <c r="A2" s="175" t="s">
        <v>205</v>
      </c>
      <c r="B2" s="77"/>
      <c r="C2" s="77"/>
      <c r="D2" s="77"/>
      <c r="E2" s="77"/>
      <c r="F2" s="77"/>
    </row>
    <row r="3" spans="1:8" ht="14.4" customHeight="1" x14ac:dyDescent="0.3">
      <c r="A3" s="263"/>
      <c r="B3" s="73">
        <v>2012</v>
      </c>
      <c r="C3" s="40">
        <v>2013</v>
      </c>
      <c r="D3" s="7"/>
      <c r="E3" s="267">
        <v>2014</v>
      </c>
      <c r="F3" s="268"/>
      <c r="G3" s="268"/>
      <c r="H3" s="269"/>
    </row>
    <row r="4" spans="1:8" ht="14.4" customHeight="1" thickBot="1" x14ac:dyDescent="0.35">
      <c r="A4" s="264"/>
      <c r="B4" s="265" t="s">
        <v>55</v>
      </c>
      <c r="C4" s="266"/>
      <c r="D4" s="7"/>
      <c r="E4" s="94" t="s">
        <v>55</v>
      </c>
      <c r="F4" s="75" t="s">
        <v>56</v>
      </c>
      <c r="G4" s="75" t="s">
        <v>52</v>
      </c>
      <c r="H4" s="76" t="s">
        <v>57</v>
      </c>
    </row>
    <row r="5" spans="1:8" ht="14.4" customHeight="1" x14ac:dyDescent="0.3">
      <c r="A5" s="78" t="str">
        <f>HYPERLINK("#'Léky Žádanky'!A1","Léky (Kč)")</f>
        <v>Léky (Kč)</v>
      </c>
      <c r="B5" s="27">
        <v>64.704239999999999</v>
      </c>
      <c r="C5" s="29">
        <v>50.422519999999004</v>
      </c>
      <c r="D5" s="8"/>
      <c r="E5" s="83">
        <v>45.203299999999992</v>
      </c>
      <c r="F5" s="28">
        <v>47.743829797406669</v>
      </c>
      <c r="G5" s="82">
        <f>E5-F5</f>
        <v>-2.5405297974066769</v>
      </c>
      <c r="H5" s="88">
        <f>IF(F5&lt;0.00000001,"",E5/F5)</f>
        <v>0.94678831153288268</v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11.780000000000001</v>
      </c>
      <c r="C6" s="31">
        <v>9.3399999999989998</v>
      </c>
      <c r="D6" s="8"/>
      <c r="E6" s="84">
        <v>7.2399999999999993</v>
      </c>
      <c r="F6" s="30">
        <v>9.2456718886724989</v>
      </c>
      <c r="G6" s="85">
        <f>E6-F6</f>
        <v>-2.0056718886724996</v>
      </c>
      <c r="H6" s="89">
        <f>IF(F6&lt;0.00000001,"",E6/F6)</f>
        <v>0.78306910381172146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9670.8031099999989</v>
      </c>
      <c r="C7" s="31">
        <v>9838.8934999999965</v>
      </c>
      <c r="D7" s="8"/>
      <c r="E7" s="84">
        <v>9449.2538900000054</v>
      </c>
      <c r="F7" s="30">
        <v>9765.0482831285808</v>
      </c>
      <c r="G7" s="85">
        <f>E7-F7</f>
        <v>-315.79439312857539</v>
      </c>
      <c r="H7" s="89">
        <f>IF(F7&lt;0.00000001,"",E7/F7)</f>
        <v>0.9676607443227716</v>
      </c>
    </row>
    <row r="8" spans="1:8" ht="14.4" customHeight="1" thickBot="1" x14ac:dyDescent="0.35">
      <c r="A8" s="1" t="s">
        <v>58</v>
      </c>
      <c r="B8" s="11">
        <v>11334.13898</v>
      </c>
      <c r="C8" s="33">
        <v>11716.928740000008</v>
      </c>
      <c r="D8" s="8"/>
      <c r="E8" s="86">
        <v>11535.905830000009</v>
      </c>
      <c r="F8" s="32">
        <v>12345.982433743811</v>
      </c>
      <c r="G8" s="87">
        <f>E8-F8</f>
        <v>-810.07660374380248</v>
      </c>
      <c r="H8" s="90">
        <f>IF(F8&lt;0.00000001,"",E8/F8)</f>
        <v>0.93438540771532963</v>
      </c>
    </row>
    <row r="9" spans="1:8" ht="14.4" customHeight="1" thickBot="1" x14ac:dyDescent="0.35">
      <c r="A9" s="2" t="s">
        <v>59</v>
      </c>
      <c r="B9" s="3">
        <v>21081.426329999998</v>
      </c>
      <c r="C9" s="35">
        <v>21615.584760000005</v>
      </c>
      <c r="D9" s="8"/>
      <c r="E9" s="3">
        <v>21037.603020000017</v>
      </c>
      <c r="F9" s="34">
        <v>22168.020218558471</v>
      </c>
      <c r="G9" s="34">
        <f>E9-F9</f>
        <v>-1130.4171985584544</v>
      </c>
      <c r="H9" s="91">
        <f>IF(F9&lt;0.00000001,"",E9/F9)</f>
        <v>0.94900684917220979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28" t="s">
        <v>150</v>
      </c>
      <c r="B18" s="229"/>
      <c r="C18" s="229"/>
      <c r="D18" s="229"/>
      <c r="E18" s="229"/>
      <c r="F18" s="229"/>
      <c r="G18" s="229"/>
      <c r="H18" s="229"/>
    </row>
    <row r="19" spans="1:8" x14ac:dyDescent="0.3">
      <c r="A19" s="227" t="s">
        <v>149</v>
      </c>
      <c r="B19" s="229"/>
      <c r="C19" s="229"/>
      <c r="D19" s="229"/>
      <c r="E19" s="229"/>
      <c r="F19" s="229"/>
      <c r="G19" s="229"/>
      <c r="H19" s="229"/>
    </row>
    <row r="20" spans="1:8" ht="14.4" customHeight="1" x14ac:dyDescent="0.3">
      <c r="A20" s="80" t="s">
        <v>204</v>
      </c>
    </row>
    <row r="21" spans="1:8" ht="14.4" customHeight="1" x14ac:dyDescent="0.3">
      <c r="A21" s="80" t="s">
        <v>91</v>
      </c>
    </row>
    <row r="22" spans="1:8" ht="14.4" customHeight="1" x14ac:dyDescent="0.3">
      <c r="A22" s="81" t="s">
        <v>92</v>
      </c>
    </row>
    <row r="23" spans="1:8" ht="14.4" customHeight="1" x14ac:dyDescent="0.3">
      <c r="A23" s="81" t="s">
        <v>93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0" priority="4" operator="greaterThan">
      <formula>0</formula>
    </cfRule>
  </conditionalFormatting>
  <conditionalFormatting sqref="G11:G13 G15">
    <cfRule type="cellIs" dxfId="39" priority="3" operator="lessThan">
      <formula>0</formula>
    </cfRule>
  </conditionalFormatting>
  <conditionalFormatting sqref="H5:H9">
    <cfRule type="cellIs" dxfId="38" priority="2" operator="greaterThan">
      <formula>1</formula>
    </cfRule>
  </conditionalFormatting>
  <conditionalFormatting sqref="H11:H13 H15">
    <cfRule type="cellIs" dxfId="3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60" customFormat="1" ht="18.600000000000001" customHeight="1" thickBot="1" x14ac:dyDescent="0.4">
      <c r="A1" s="270" t="s">
        <v>207</v>
      </c>
      <c r="B1" s="270"/>
      <c r="C1" s="270"/>
      <c r="D1" s="270"/>
      <c r="E1" s="270"/>
      <c r="F1" s="270"/>
      <c r="G1" s="270"/>
      <c r="H1" s="261"/>
      <c r="I1" s="261"/>
      <c r="J1" s="261"/>
      <c r="K1" s="261"/>
      <c r="L1" s="261"/>
      <c r="M1" s="261"/>
      <c r="N1" s="261"/>
      <c r="O1" s="261"/>
      <c r="P1" s="261"/>
      <c r="Q1" s="261"/>
    </row>
    <row r="2" spans="1:17" s="160" customFormat="1" ht="14.4" customHeight="1" thickBot="1" x14ac:dyDescent="0.3">
      <c r="A2" s="175" t="s">
        <v>205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</row>
    <row r="3" spans="1:17" ht="14.4" customHeight="1" x14ac:dyDescent="0.3">
      <c r="A3" s="58"/>
      <c r="B3" s="271" t="s">
        <v>13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104"/>
      <c r="Q3" s="106"/>
    </row>
    <row r="4" spans="1:17" ht="14.4" customHeight="1" x14ac:dyDescent="0.3">
      <c r="A4" s="59"/>
      <c r="B4" s="20">
        <v>2014</v>
      </c>
      <c r="C4" s="105" t="s">
        <v>14</v>
      </c>
      <c r="D4" s="95" t="s">
        <v>95</v>
      </c>
      <c r="E4" s="95" t="s">
        <v>96</v>
      </c>
      <c r="F4" s="95" t="s">
        <v>97</v>
      </c>
      <c r="G4" s="95" t="s">
        <v>98</v>
      </c>
      <c r="H4" s="95" t="s">
        <v>99</v>
      </c>
      <c r="I4" s="95" t="s">
        <v>100</v>
      </c>
      <c r="J4" s="95" t="s">
        <v>101</v>
      </c>
      <c r="K4" s="95" t="s">
        <v>102</v>
      </c>
      <c r="L4" s="95" t="s">
        <v>103</v>
      </c>
      <c r="M4" s="95" t="s">
        <v>104</v>
      </c>
      <c r="N4" s="95" t="s">
        <v>105</v>
      </c>
      <c r="O4" s="95" t="s">
        <v>106</v>
      </c>
      <c r="P4" s="273" t="s">
        <v>2</v>
      </c>
      <c r="Q4" s="274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206</v>
      </c>
    </row>
    <row r="7" spans="1:17" ht="14.4" customHeight="1" x14ac:dyDescent="0.3">
      <c r="A7" s="15" t="s">
        <v>19</v>
      </c>
      <c r="B7" s="46">
        <v>57.292595756889</v>
      </c>
      <c r="C7" s="47">
        <v>4.7743829797400004</v>
      </c>
      <c r="D7" s="47">
        <v>4.74899</v>
      </c>
      <c r="E7" s="47">
        <v>2.4322400000000002</v>
      </c>
      <c r="F7" s="47">
        <v>4.7904999999999998</v>
      </c>
      <c r="G7" s="47">
        <v>7.30267</v>
      </c>
      <c r="H7" s="47">
        <v>0.20607</v>
      </c>
      <c r="I7" s="47">
        <v>2.4166300000000001</v>
      </c>
      <c r="J7" s="47">
        <v>10.88598</v>
      </c>
      <c r="K7" s="47">
        <v>9.7757799999999992</v>
      </c>
      <c r="L7" s="47">
        <v>0.22506000000000001</v>
      </c>
      <c r="M7" s="47">
        <v>2.4193799999999999</v>
      </c>
      <c r="N7" s="47">
        <v>0</v>
      </c>
      <c r="O7" s="47">
        <v>0</v>
      </c>
      <c r="P7" s="48">
        <v>45.203299999999999</v>
      </c>
      <c r="Q7" s="68">
        <v>0.94678831153200005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206</v>
      </c>
    </row>
    <row r="9" spans="1:17" ht="14.4" customHeight="1" x14ac:dyDescent="0.3">
      <c r="A9" s="15" t="s">
        <v>21</v>
      </c>
      <c r="B9" s="46">
        <v>11.094806266407</v>
      </c>
      <c r="C9" s="47">
        <v>0.92456718886699996</v>
      </c>
      <c r="D9" s="47">
        <v>0.77</v>
      </c>
      <c r="E9" s="47">
        <v>0.77</v>
      </c>
      <c r="F9" s="47">
        <v>1.238</v>
      </c>
      <c r="G9" s="47">
        <v>0.77</v>
      </c>
      <c r="H9" s="47">
        <v>0.99399999999999999</v>
      </c>
      <c r="I9" s="47">
        <v>0.71</v>
      </c>
      <c r="J9" s="47">
        <v>0</v>
      </c>
      <c r="K9" s="47">
        <v>0.99399999999999999</v>
      </c>
      <c r="L9" s="47">
        <v>0.99399999999999999</v>
      </c>
      <c r="M9" s="47">
        <v>0</v>
      </c>
      <c r="N9" s="47">
        <v>0</v>
      </c>
      <c r="O9" s="47">
        <v>0</v>
      </c>
      <c r="P9" s="48">
        <v>7.24</v>
      </c>
      <c r="Q9" s="68">
        <v>0.78306910381100003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206</v>
      </c>
    </row>
    <row r="11" spans="1:17" ht="14.4" customHeight="1" x14ac:dyDescent="0.3">
      <c r="A11" s="15" t="s">
        <v>23</v>
      </c>
      <c r="B11" s="46">
        <v>2622.85112687532</v>
      </c>
      <c r="C11" s="47">
        <v>218.57092723961</v>
      </c>
      <c r="D11" s="47">
        <v>212.209900000001</v>
      </c>
      <c r="E11" s="47">
        <v>107.25915999999999</v>
      </c>
      <c r="F11" s="47">
        <v>293.31954000000002</v>
      </c>
      <c r="G11" s="47">
        <v>196.86276000000001</v>
      </c>
      <c r="H11" s="47">
        <v>234.28650999999999</v>
      </c>
      <c r="I11" s="47">
        <v>233.12806</v>
      </c>
      <c r="J11" s="47">
        <v>230.98817</v>
      </c>
      <c r="K11" s="47">
        <v>198.17191</v>
      </c>
      <c r="L11" s="47">
        <v>184.93237999999999</v>
      </c>
      <c r="M11" s="47">
        <v>252.50683000000001</v>
      </c>
      <c r="N11" s="47">
        <v>0</v>
      </c>
      <c r="O11" s="47">
        <v>0</v>
      </c>
      <c r="P11" s="48">
        <v>2143.6652199999999</v>
      </c>
      <c r="Q11" s="68">
        <v>0.98076411491299997</v>
      </c>
    </row>
    <row r="12" spans="1:17" ht="14.4" customHeight="1" x14ac:dyDescent="0.3">
      <c r="A12" s="15" t="s">
        <v>24</v>
      </c>
      <c r="B12" s="46">
        <v>26.249634226066</v>
      </c>
      <c r="C12" s="47">
        <v>2.1874695188379998</v>
      </c>
      <c r="D12" s="47">
        <v>6.0040000000000003E-2</v>
      </c>
      <c r="E12" s="47">
        <v>0</v>
      </c>
      <c r="F12" s="47">
        <v>0.14230000000000001</v>
      </c>
      <c r="G12" s="47">
        <v>0</v>
      </c>
      <c r="H12" s="47">
        <v>0</v>
      </c>
      <c r="I12" s="47">
        <v>0</v>
      </c>
      <c r="J12" s="47">
        <v>0.29749999999999999</v>
      </c>
      <c r="K12" s="47">
        <v>0</v>
      </c>
      <c r="L12" s="47">
        <v>9.5000000000000001E-2</v>
      </c>
      <c r="M12" s="47">
        <v>1.9</v>
      </c>
      <c r="N12" s="47">
        <v>0</v>
      </c>
      <c r="O12" s="47">
        <v>0</v>
      </c>
      <c r="P12" s="48">
        <v>2.4948399999999999</v>
      </c>
      <c r="Q12" s="68">
        <v>0.114051417791</v>
      </c>
    </row>
    <row r="13" spans="1:17" ht="14.4" customHeight="1" x14ac:dyDescent="0.3">
      <c r="A13" s="15" t="s">
        <v>25</v>
      </c>
      <c r="B13" s="46">
        <v>192.942887513806</v>
      </c>
      <c r="C13" s="47">
        <v>16.078573959482998</v>
      </c>
      <c r="D13" s="47">
        <v>5.1784800000000004</v>
      </c>
      <c r="E13" s="47">
        <v>1.2208600000000001</v>
      </c>
      <c r="F13" s="47">
        <v>0.47205000000000003</v>
      </c>
      <c r="G13" s="47">
        <v>0.85812999999999995</v>
      </c>
      <c r="H13" s="47">
        <v>21.833739999999999</v>
      </c>
      <c r="I13" s="47">
        <v>22.251439999999999</v>
      </c>
      <c r="J13" s="47">
        <v>13.53243</v>
      </c>
      <c r="K13" s="47">
        <v>8.8103200000000008</v>
      </c>
      <c r="L13" s="47">
        <v>18.737020000000001</v>
      </c>
      <c r="M13" s="47">
        <v>6.28512</v>
      </c>
      <c r="N13" s="47">
        <v>0</v>
      </c>
      <c r="O13" s="47">
        <v>0</v>
      </c>
      <c r="P13" s="48">
        <v>99.179590000000005</v>
      </c>
      <c r="Q13" s="68">
        <v>0.61684319921599995</v>
      </c>
    </row>
    <row r="14" spans="1:17" ht="14.4" customHeight="1" x14ac:dyDescent="0.3">
      <c r="A14" s="15" t="s">
        <v>26</v>
      </c>
      <c r="B14" s="46">
        <v>6296.8140740747504</v>
      </c>
      <c r="C14" s="47">
        <v>524.73450617289598</v>
      </c>
      <c r="D14" s="47">
        <v>787.49500000000398</v>
      </c>
      <c r="E14" s="47">
        <v>644.57799999999997</v>
      </c>
      <c r="F14" s="47">
        <v>553.952</v>
      </c>
      <c r="G14" s="47">
        <v>474.74200000000002</v>
      </c>
      <c r="H14" s="47">
        <v>380.11700000000002</v>
      </c>
      <c r="I14" s="47">
        <v>296.52999999999997</v>
      </c>
      <c r="J14" s="47">
        <v>291.54300000000001</v>
      </c>
      <c r="K14" s="47">
        <v>269.98099999999999</v>
      </c>
      <c r="L14" s="47">
        <v>315.42</v>
      </c>
      <c r="M14" s="47">
        <v>497.94499999999999</v>
      </c>
      <c r="N14" s="47">
        <v>0</v>
      </c>
      <c r="O14" s="47">
        <v>0</v>
      </c>
      <c r="P14" s="48">
        <v>4512.3029999999999</v>
      </c>
      <c r="Q14" s="68">
        <v>0.85992115001299996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206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206</v>
      </c>
    </row>
    <row r="17" spans="1:17" ht="14.4" customHeight="1" x14ac:dyDescent="0.3">
      <c r="A17" s="15" t="s">
        <v>29</v>
      </c>
      <c r="B17" s="46">
        <v>417.76085662435202</v>
      </c>
      <c r="C17" s="47">
        <v>34.813404718695999</v>
      </c>
      <c r="D17" s="47">
        <v>11.62804</v>
      </c>
      <c r="E17" s="47">
        <v>85.285570000000007</v>
      </c>
      <c r="F17" s="47">
        <v>23.235900000000001</v>
      </c>
      <c r="G17" s="47">
        <v>15.391</v>
      </c>
      <c r="H17" s="47">
        <v>25.24334</v>
      </c>
      <c r="I17" s="47">
        <v>32.225470000000001</v>
      </c>
      <c r="J17" s="47">
        <v>48.443089999999998</v>
      </c>
      <c r="K17" s="47">
        <v>26.51972</v>
      </c>
      <c r="L17" s="47">
        <v>44.829909999999998</v>
      </c>
      <c r="M17" s="47">
        <v>37.252740000000003</v>
      </c>
      <c r="N17" s="47">
        <v>0</v>
      </c>
      <c r="O17" s="47">
        <v>0</v>
      </c>
      <c r="P17" s="48">
        <v>350.05477999999999</v>
      </c>
      <c r="Q17" s="68">
        <v>1.005517221968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0.61899999999999999</v>
      </c>
      <c r="E18" s="47">
        <v>0</v>
      </c>
      <c r="F18" s="47">
        <v>2.7069999999999999</v>
      </c>
      <c r="G18" s="47">
        <v>0</v>
      </c>
      <c r="H18" s="47">
        <v>2.3839999999999999</v>
      </c>
      <c r="I18" s="47">
        <v>0</v>
      </c>
      <c r="J18" s="47">
        <v>0</v>
      </c>
      <c r="K18" s="47">
        <v>0</v>
      </c>
      <c r="L18" s="47">
        <v>0</v>
      </c>
      <c r="M18" s="47">
        <v>1.0429999999999999</v>
      </c>
      <c r="N18" s="47">
        <v>0</v>
      </c>
      <c r="O18" s="47">
        <v>0</v>
      </c>
      <c r="P18" s="48">
        <v>6.7530000000000001</v>
      </c>
      <c r="Q18" s="68" t="s">
        <v>206</v>
      </c>
    </row>
    <row r="19" spans="1:17" ht="14.4" customHeight="1" x14ac:dyDescent="0.3">
      <c r="A19" s="15" t="s">
        <v>31</v>
      </c>
      <c r="B19" s="46">
        <v>1805.92746227265</v>
      </c>
      <c r="C19" s="47">
        <v>150.49395518938701</v>
      </c>
      <c r="D19" s="47">
        <v>54.595440000000004</v>
      </c>
      <c r="E19" s="47">
        <v>48.01576</v>
      </c>
      <c r="F19" s="47">
        <v>69.304040000000001</v>
      </c>
      <c r="G19" s="47">
        <v>109.98762000000001</v>
      </c>
      <c r="H19" s="47">
        <v>79.974000000000004</v>
      </c>
      <c r="I19" s="47">
        <v>97.963759999999994</v>
      </c>
      <c r="J19" s="47">
        <v>265.08487000000002</v>
      </c>
      <c r="K19" s="47">
        <v>310.48723000000001</v>
      </c>
      <c r="L19" s="47">
        <v>282.37610999999998</v>
      </c>
      <c r="M19" s="47">
        <v>92.433130000000006</v>
      </c>
      <c r="N19" s="47">
        <v>0</v>
      </c>
      <c r="O19" s="47">
        <v>0</v>
      </c>
      <c r="P19" s="48">
        <v>1410.2219600000001</v>
      </c>
      <c r="Q19" s="68">
        <v>0.93706219510599997</v>
      </c>
    </row>
    <row r="20" spans="1:17" ht="14.4" customHeight="1" x14ac:dyDescent="0.3">
      <c r="A20" s="15" t="s">
        <v>32</v>
      </c>
      <c r="B20" s="46">
        <v>11718.057939754301</v>
      </c>
      <c r="C20" s="47">
        <v>976.50482831286195</v>
      </c>
      <c r="D20" s="47">
        <v>917.70652000000496</v>
      </c>
      <c r="E20" s="47">
        <v>890.26679999999999</v>
      </c>
      <c r="F20" s="47">
        <v>861.78781000000004</v>
      </c>
      <c r="G20" s="47">
        <v>868.78678000000002</v>
      </c>
      <c r="H20" s="47">
        <v>881.26113999999995</v>
      </c>
      <c r="I20" s="47">
        <v>888.58700999999996</v>
      </c>
      <c r="J20" s="47">
        <v>1326.1242400000001</v>
      </c>
      <c r="K20" s="47">
        <v>944.78808000000004</v>
      </c>
      <c r="L20" s="47">
        <v>932.24444000000005</v>
      </c>
      <c r="M20" s="47">
        <v>937.70106999999996</v>
      </c>
      <c r="N20" s="47">
        <v>0</v>
      </c>
      <c r="O20" s="47">
        <v>0</v>
      </c>
      <c r="P20" s="48">
        <v>9449.25389</v>
      </c>
      <c r="Q20" s="68">
        <v>0.967660744322</v>
      </c>
    </row>
    <row r="21" spans="1:17" ht="14.4" customHeight="1" x14ac:dyDescent="0.3">
      <c r="A21" s="16" t="s">
        <v>33</v>
      </c>
      <c r="B21" s="46">
        <v>3452.6328789055901</v>
      </c>
      <c r="C21" s="47">
        <v>287.719406575466</v>
      </c>
      <c r="D21" s="47">
        <v>300.58000000000101</v>
      </c>
      <c r="E21" s="47">
        <v>300.58</v>
      </c>
      <c r="F21" s="47">
        <v>300.58</v>
      </c>
      <c r="G21" s="47">
        <v>300.57900000000001</v>
      </c>
      <c r="H21" s="47">
        <v>300.66699999999997</v>
      </c>
      <c r="I21" s="47">
        <v>300.66199999999998</v>
      </c>
      <c r="J21" s="47">
        <v>300.66000000000003</v>
      </c>
      <c r="K21" s="47">
        <v>300.65699999999998</v>
      </c>
      <c r="L21" s="47">
        <v>300.67700000000002</v>
      </c>
      <c r="M21" s="47">
        <v>300.673</v>
      </c>
      <c r="N21" s="47">
        <v>0</v>
      </c>
      <c r="O21" s="47">
        <v>0</v>
      </c>
      <c r="P21" s="48">
        <v>3006.3150000000001</v>
      </c>
      <c r="Q21" s="68">
        <v>1.0448773809809999</v>
      </c>
    </row>
    <row r="22" spans="1:17" ht="14.4" customHeight="1" x14ac:dyDescent="0.3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-7.2759576141834308E-15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-7.2759576141834308E-15</v>
      </c>
      <c r="Q22" s="68" t="s">
        <v>206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206</v>
      </c>
    </row>
    <row r="24" spans="1:17" ht="14.4" customHeight="1" x14ac:dyDescent="0.3">
      <c r="A24" s="16" t="s">
        <v>36</v>
      </c>
      <c r="B24" s="46">
        <v>7.2759576141834308E-12</v>
      </c>
      <c r="C24" s="47">
        <v>4.5474735088646402E-13</v>
      </c>
      <c r="D24" s="47">
        <v>9.0949470177292804E-13</v>
      </c>
      <c r="E24" s="47">
        <v>0</v>
      </c>
      <c r="F24" s="47">
        <v>-4.5474735088646402E-13</v>
      </c>
      <c r="G24" s="47">
        <v>0</v>
      </c>
      <c r="H24" s="47">
        <v>0</v>
      </c>
      <c r="I24" s="47">
        <v>3.76844</v>
      </c>
      <c r="J24" s="47">
        <v>1.3642420526593899E-12</v>
      </c>
      <c r="K24" s="47">
        <v>4.5474735088646402E-13</v>
      </c>
      <c r="L24" s="47">
        <v>0</v>
      </c>
      <c r="M24" s="47">
        <v>1.149999999999</v>
      </c>
      <c r="N24" s="47">
        <v>0</v>
      </c>
      <c r="O24" s="47">
        <v>0</v>
      </c>
      <c r="P24" s="48">
        <v>4.9184400000009996</v>
      </c>
      <c r="Q24" s="68"/>
    </row>
    <row r="25" spans="1:17" ht="14.4" customHeight="1" x14ac:dyDescent="0.3">
      <c r="A25" s="17" t="s">
        <v>37</v>
      </c>
      <c r="B25" s="49">
        <v>26601.624262270201</v>
      </c>
      <c r="C25" s="50">
        <v>2216.8020218558499</v>
      </c>
      <c r="D25" s="50">
        <v>2295.59141000001</v>
      </c>
      <c r="E25" s="50">
        <v>2080.4083900000001</v>
      </c>
      <c r="F25" s="50">
        <v>2111.5291400000001</v>
      </c>
      <c r="G25" s="50">
        <v>1975.2799600000001</v>
      </c>
      <c r="H25" s="50">
        <v>1926.9667999999999</v>
      </c>
      <c r="I25" s="50">
        <v>1878.24281</v>
      </c>
      <c r="J25" s="50">
        <v>2487.5592799999999</v>
      </c>
      <c r="K25" s="50">
        <v>2070.1850399999998</v>
      </c>
      <c r="L25" s="50">
        <v>2080.5309200000002</v>
      </c>
      <c r="M25" s="50">
        <v>2131.3092700000002</v>
      </c>
      <c r="N25" s="50">
        <v>0</v>
      </c>
      <c r="O25" s="50">
        <v>0</v>
      </c>
      <c r="P25" s="51">
        <v>21037.603019999999</v>
      </c>
      <c r="Q25" s="69">
        <v>0.94900684917199996</v>
      </c>
    </row>
    <row r="26" spans="1:17" ht="14.4" customHeight="1" x14ac:dyDescent="0.3">
      <c r="A26" s="15" t="s">
        <v>38</v>
      </c>
      <c r="B26" s="46">
        <v>2114.0038276155401</v>
      </c>
      <c r="C26" s="47">
        <v>176.16698563462799</v>
      </c>
      <c r="D26" s="47">
        <v>156.99177</v>
      </c>
      <c r="E26" s="47">
        <v>146.16618</v>
      </c>
      <c r="F26" s="47">
        <v>148.08079000000001</v>
      </c>
      <c r="G26" s="47">
        <v>141.35647</v>
      </c>
      <c r="H26" s="47">
        <v>148.88233</v>
      </c>
      <c r="I26" s="47">
        <v>123.86559</v>
      </c>
      <c r="J26" s="47">
        <v>217.20806999999999</v>
      </c>
      <c r="K26" s="47">
        <v>128.88614999999999</v>
      </c>
      <c r="L26" s="47">
        <v>135.91206</v>
      </c>
      <c r="M26" s="47">
        <v>159.68107000000001</v>
      </c>
      <c r="N26" s="47">
        <v>0</v>
      </c>
      <c r="O26" s="47">
        <v>0</v>
      </c>
      <c r="P26" s="48">
        <v>1507.0304799999999</v>
      </c>
      <c r="Q26" s="68">
        <v>0.85545567722000004</v>
      </c>
    </row>
    <row r="27" spans="1:17" ht="14.4" customHeight="1" x14ac:dyDescent="0.3">
      <c r="A27" s="18" t="s">
        <v>39</v>
      </c>
      <c r="B27" s="49">
        <v>28715.6280898857</v>
      </c>
      <c r="C27" s="50">
        <v>2392.9690074904802</v>
      </c>
      <c r="D27" s="50">
        <v>2452.5831800000101</v>
      </c>
      <c r="E27" s="50">
        <v>2226.5745700000002</v>
      </c>
      <c r="F27" s="50">
        <v>2259.6099300000001</v>
      </c>
      <c r="G27" s="50">
        <v>2116.63643</v>
      </c>
      <c r="H27" s="50">
        <v>2075.8491300000001</v>
      </c>
      <c r="I27" s="50">
        <v>2002.1084000000001</v>
      </c>
      <c r="J27" s="50">
        <v>2704.7673500000001</v>
      </c>
      <c r="K27" s="50">
        <v>2199.0711900000001</v>
      </c>
      <c r="L27" s="50">
        <v>2216.4429799999998</v>
      </c>
      <c r="M27" s="50">
        <v>2290.9903399999998</v>
      </c>
      <c r="N27" s="50">
        <v>0</v>
      </c>
      <c r="O27" s="50">
        <v>0</v>
      </c>
      <c r="P27" s="51">
        <v>22544.6335</v>
      </c>
      <c r="Q27" s="69">
        <v>0.94211974452699998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206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206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90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115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2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70" t="s">
        <v>45</v>
      </c>
      <c r="B1" s="270"/>
      <c r="C1" s="270"/>
      <c r="D1" s="270"/>
      <c r="E1" s="270"/>
      <c r="F1" s="270"/>
      <c r="G1" s="270"/>
      <c r="H1" s="275"/>
      <c r="I1" s="275"/>
      <c r="J1" s="275"/>
      <c r="K1" s="275"/>
    </row>
    <row r="2" spans="1:11" s="55" customFormat="1" ht="14.4" customHeight="1" thickBot="1" x14ac:dyDescent="0.35">
      <c r="A2" s="175" t="s">
        <v>205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71" t="s">
        <v>46</v>
      </c>
      <c r="C3" s="272"/>
      <c r="D3" s="272"/>
      <c r="E3" s="272"/>
      <c r="F3" s="278" t="s">
        <v>47</v>
      </c>
      <c r="G3" s="272"/>
      <c r="H3" s="272"/>
      <c r="I3" s="272"/>
      <c r="J3" s="272"/>
      <c r="K3" s="279"/>
    </row>
    <row r="4" spans="1:11" ht="14.4" customHeight="1" x14ac:dyDescent="0.3">
      <c r="A4" s="59"/>
      <c r="B4" s="276"/>
      <c r="C4" s="277"/>
      <c r="D4" s="277"/>
      <c r="E4" s="277"/>
      <c r="F4" s="280" t="s">
        <v>111</v>
      </c>
      <c r="G4" s="282" t="s">
        <v>48</v>
      </c>
      <c r="H4" s="107" t="s">
        <v>80</v>
      </c>
      <c r="I4" s="280" t="s">
        <v>49</v>
      </c>
      <c r="J4" s="282" t="s">
        <v>113</v>
      </c>
      <c r="K4" s="283" t="s">
        <v>114</v>
      </c>
    </row>
    <row r="5" spans="1:11" ht="42" thickBot="1" x14ac:dyDescent="0.35">
      <c r="A5" s="60"/>
      <c r="B5" s="24" t="s">
        <v>107</v>
      </c>
      <c r="C5" s="25" t="s">
        <v>108</v>
      </c>
      <c r="D5" s="26" t="s">
        <v>109</v>
      </c>
      <c r="E5" s="26" t="s">
        <v>110</v>
      </c>
      <c r="F5" s="281"/>
      <c r="G5" s="281"/>
      <c r="H5" s="25" t="s">
        <v>112</v>
      </c>
      <c r="I5" s="281"/>
      <c r="J5" s="281"/>
      <c r="K5" s="284"/>
    </row>
    <row r="6" spans="1:11" ht="14.4" customHeight="1" thickBot="1" x14ac:dyDescent="0.35">
      <c r="A6" s="326" t="s">
        <v>208</v>
      </c>
      <c r="B6" s="308">
        <v>26165.909701217301</v>
      </c>
      <c r="C6" s="308">
        <v>26439.60038</v>
      </c>
      <c r="D6" s="309">
        <v>273.69067878270698</v>
      </c>
      <c r="E6" s="310">
        <v>1.0104598189739999</v>
      </c>
      <c r="F6" s="308">
        <v>26601.624262270201</v>
      </c>
      <c r="G6" s="309">
        <v>22168.0202185585</v>
      </c>
      <c r="H6" s="311">
        <v>2131.3092700000002</v>
      </c>
      <c r="I6" s="308">
        <v>21037.603019999999</v>
      </c>
      <c r="J6" s="309">
        <v>-1130.4171985584701</v>
      </c>
      <c r="K6" s="312">
        <v>0.790839040976</v>
      </c>
    </row>
    <row r="7" spans="1:11" ht="14.4" customHeight="1" thickBot="1" x14ac:dyDescent="0.35">
      <c r="A7" s="327" t="s">
        <v>209</v>
      </c>
      <c r="B7" s="308">
        <v>8677.4838045757606</v>
      </c>
      <c r="C7" s="308">
        <v>8589.0464699999993</v>
      </c>
      <c r="D7" s="309">
        <v>-88.437334575761</v>
      </c>
      <c r="E7" s="310">
        <v>0.98980841260300001</v>
      </c>
      <c r="F7" s="308">
        <v>9207.2451247132394</v>
      </c>
      <c r="G7" s="309">
        <v>7672.7042705943604</v>
      </c>
      <c r="H7" s="311">
        <v>761.05633</v>
      </c>
      <c r="I7" s="308">
        <v>6810.0859500000097</v>
      </c>
      <c r="J7" s="309">
        <v>-862.61832059435801</v>
      </c>
      <c r="K7" s="312">
        <v>0.73964425381900001</v>
      </c>
    </row>
    <row r="8" spans="1:11" ht="14.4" customHeight="1" thickBot="1" x14ac:dyDescent="0.35">
      <c r="A8" s="328" t="s">
        <v>210</v>
      </c>
      <c r="B8" s="308">
        <v>2352.53728075551</v>
      </c>
      <c r="C8" s="308">
        <v>2470.0824699999998</v>
      </c>
      <c r="D8" s="309">
        <v>117.54518924448899</v>
      </c>
      <c r="E8" s="310">
        <v>1.0499652822529999</v>
      </c>
      <c r="F8" s="308">
        <v>2910.43105063849</v>
      </c>
      <c r="G8" s="309">
        <v>2425.35920886541</v>
      </c>
      <c r="H8" s="311">
        <v>263.11133000000001</v>
      </c>
      <c r="I8" s="308">
        <v>2297.7829499999998</v>
      </c>
      <c r="J8" s="309">
        <v>-127.57625886540499</v>
      </c>
      <c r="K8" s="312">
        <v>0.78949918758399995</v>
      </c>
    </row>
    <row r="9" spans="1:11" ht="14.4" customHeight="1" thickBot="1" x14ac:dyDescent="0.35">
      <c r="A9" s="329" t="s">
        <v>211</v>
      </c>
      <c r="B9" s="313">
        <v>71.951522474913006</v>
      </c>
      <c r="C9" s="313">
        <v>57.249229999999997</v>
      </c>
      <c r="D9" s="314">
        <v>-14.702292474913</v>
      </c>
      <c r="E9" s="315">
        <v>0.79566391412899995</v>
      </c>
      <c r="F9" s="313">
        <v>57.292595756889</v>
      </c>
      <c r="G9" s="314">
        <v>47.743829797407997</v>
      </c>
      <c r="H9" s="316">
        <v>2.4193799999999999</v>
      </c>
      <c r="I9" s="313">
        <v>45.203299999999999</v>
      </c>
      <c r="J9" s="314">
        <v>-2.5405297974079999</v>
      </c>
      <c r="K9" s="317">
        <v>0.78899025961000002</v>
      </c>
    </row>
    <row r="10" spans="1:11" ht="14.4" customHeight="1" thickBot="1" x14ac:dyDescent="0.35">
      <c r="A10" s="330" t="s">
        <v>212</v>
      </c>
      <c r="B10" s="308">
        <v>71.951522474913006</v>
      </c>
      <c r="C10" s="308">
        <v>57.249229999999997</v>
      </c>
      <c r="D10" s="309">
        <v>-14.702292474913</v>
      </c>
      <c r="E10" s="310">
        <v>0.79566391412899995</v>
      </c>
      <c r="F10" s="308">
        <v>57.292595756889</v>
      </c>
      <c r="G10" s="309">
        <v>47.743829797407997</v>
      </c>
      <c r="H10" s="311">
        <v>2.4193799999999999</v>
      </c>
      <c r="I10" s="308">
        <v>45.203299999999999</v>
      </c>
      <c r="J10" s="309">
        <v>-2.5405297974079999</v>
      </c>
      <c r="K10" s="312">
        <v>0.78899025961000002</v>
      </c>
    </row>
    <row r="11" spans="1:11" ht="14.4" customHeight="1" thickBot="1" x14ac:dyDescent="0.35">
      <c r="A11" s="329" t="s">
        <v>213</v>
      </c>
      <c r="B11" s="313">
        <v>10.451205002133999</v>
      </c>
      <c r="C11" s="313">
        <v>10.94</v>
      </c>
      <c r="D11" s="314">
        <v>0.48879499786500002</v>
      </c>
      <c r="E11" s="315">
        <v>1.0467692479249999</v>
      </c>
      <c r="F11" s="313">
        <v>11.094806266407</v>
      </c>
      <c r="G11" s="314">
        <v>9.2456718886719997</v>
      </c>
      <c r="H11" s="316">
        <v>0</v>
      </c>
      <c r="I11" s="313">
        <v>7.24</v>
      </c>
      <c r="J11" s="314">
        <v>-2.005671888672</v>
      </c>
      <c r="K11" s="317">
        <v>0.65255758650899998</v>
      </c>
    </row>
    <row r="12" spans="1:11" ht="14.4" customHeight="1" thickBot="1" x14ac:dyDescent="0.35">
      <c r="A12" s="330" t="s">
        <v>214</v>
      </c>
      <c r="B12" s="308">
        <v>9.5012437837460002</v>
      </c>
      <c r="C12" s="308">
        <v>10.94</v>
      </c>
      <c r="D12" s="309">
        <v>1.4387562162530001</v>
      </c>
      <c r="E12" s="310">
        <v>1.1514281970860001</v>
      </c>
      <c r="F12" s="308">
        <v>11.094806266407</v>
      </c>
      <c r="G12" s="309">
        <v>9.2456718886719997</v>
      </c>
      <c r="H12" s="311">
        <v>0</v>
      </c>
      <c r="I12" s="308">
        <v>7.24</v>
      </c>
      <c r="J12" s="309">
        <v>-2.005671888672</v>
      </c>
      <c r="K12" s="312">
        <v>0.65255758650899998</v>
      </c>
    </row>
    <row r="13" spans="1:11" ht="14.4" customHeight="1" thickBot="1" x14ac:dyDescent="0.35">
      <c r="A13" s="329" t="s">
        <v>215</v>
      </c>
      <c r="B13" s="313">
        <v>2242.7200061942599</v>
      </c>
      <c r="C13" s="313">
        <v>2356.31288</v>
      </c>
      <c r="D13" s="314">
        <v>113.592873805743</v>
      </c>
      <c r="E13" s="315">
        <v>1.0506496011499999</v>
      </c>
      <c r="F13" s="313">
        <v>2622.85112687532</v>
      </c>
      <c r="G13" s="314">
        <v>2185.7092723961</v>
      </c>
      <c r="H13" s="316">
        <v>252.50683000000001</v>
      </c>
      <c r="I13" s="313">
        <v>2143.6652199999999</v>
      </c>
      <c r="J13" s="314">
        <v>-42.044052396095999</v>
      </c>
      <c r="K13" s="317">
        <v>0.817303429094</v>
      </c>
    </row>
    <row r="14" spans="1:11" ht="14.4" customHeight="1" thickBot="1" x14ac:dyDescent="0.35">
      <c r="A14" s="330" t="s">
        <v>216</v>
      </c>
      <c r="B14" s="308">
        <v>91.810384390671004</v>
      </c>
      <c r="C14" s="308">
        <v>-3.5527136788005001E-15</v>
      </c>
      <c r="D14" s="309">
        <v>-91.810384390671004</v>
      </c>
      <c r="E14" s="310">
        <v>-3.8696207432080701E-17</v>
      </c>
      <c r="F14" s="308">
        <v>5.5511151231256802E-16</v>
      </c>
      <c r="G14" s="309">
        <v>4.6259292692714001E-16</v>
      </c>
      <c r="H14" s="311">
        <v>0</v>
      </c>
      <c r="I14" s="308">
        <v>1.385</v>
      </c>
      <c r="J14" s="309">
        <v>1.385</v>
      </c>
      <c r="K14" s="312">
        <v>0</v>
      </c>
    </row>
    <row r="15" spans="1:11" ht="14.4" customHeight="1" thickBot="1" x14ac:dyDescent="0.35">
      <c r="A15" s="330" t="s">
        <v>217</v>
      </c>
      <c r="B15" s="308">
        <v>153.39494422104201</v>
      </c>
      <c r="C15" s="308">
        <v>149.80883</v>
      </c>
      <c r="D15" s="309">
        <v>-3.586114221041</v>
      </c>
      <c r="E15" s="310">
        <v>0.97662169219899997</v>
      </c>
      <c r="F15" s="308">
        <v>146.98604755354401</v>
      </c>
      <c r="G15" s="309">
        <v>122.488372961287</v>
      </c>
      <c r="H15" s="311">
        <v>21.798780000000001</v>
      </c>
      <c r="I15" s="308">
        <v>92.304670000000002</v>
      </c>
      <c r="J15" s="309">
        <v>-30.183702961285999</v>
      </c>
      <c r="K15" s="312">
        <v>0.62798252988100001</v>
      </c>
    </row>
    <row r="16" spans="1:11" ht="14.4" customHeight="1" thickBot="1" x14ac:dyDescent="0.35">
      <c r="A16" s="330" t="s">
        <v>218</v>
      </c>
      <c r="B16" s="308">
        <v>47.048905774684997</v>
      </c>
      <c r="C16" s="308">
        <v>118.18474000000001</v>
      </c>
      <c r="D16" s="309">
        <v>71.135834225314994</v>
      </c>
      <c r="E16" s="310">
        <v>2.511955125289</v>
      </c>
      <c r="F16" s="308">
        <v>121.57051425101</v>
      </c>
      <c r="G16" s="309">
        <v>101.308761875841</v>
      </c>
      <c r="H16" s="311">
        <v>0</v>
      </c>
      <c r="I16" s="308">
        <v>87.101200000000006</v>
      </c>
      <c r="J16" s="309">
        <v>-14.207561875841</v>
      </c>
      <c r="K16" s="312">
        <v>0.71646649301900001</v>
      </c>
    </row>
    <row r="17" spans="1:11" ht="14.4" customHeight="1" thickBot="1" x14ac:dyDescent="0.35">
      <c r="A17" s="330" t="s">
        <v>219</v>
      </c>
      <c r="B17" s="308">
        <v>38.534958504644003</v>
      </c>
      <c r="C17" s="308">
        <v>40.36598</v>
      </c>
      <c r="D17" s="309">
        <v>1.8310214953549999</v>
      </c>
      <c r="E17" s="310">
        <v>1.0475158548600001</v>
      </c>
      <c r="F17" s="308">
        <v>41.885422907102999</v>
      </c>
      <c r="G17" s="309">
        <v>34.904519089253</v>
      </c>
      <c r="H17" s="311">
        <v>10.5656</v>
      </c>
      <c r="I17" s="308">
        <v>33.304369999999999</v>
      </c>
      <c r="J17" s="309">
        <v>-1.6001490892529999</v>
      </c>
      <c r="K17" s="312">
        <v>0.79513032669700001</v>
      </c>
    </row>
    <row r="18" spans="1:11" ht="14.4" customHeight="1" thickBot="1" x14ac:dyDescent="0.35">
      <c r="A18" s="330" t="s">
        <v>220</v>
      </c>
      <c r="B18" s="308">
        <v>7.0886445361100003</v>
      </c>
      <c r="C18" s="308">
        <v>8.0571300000000008</v>
      </c>
      <c r="D18" s="309">
        <v>0.96848546388900003</v>
      </c>
      <c r="E18" s="310">
        <v>1.1366249159420001</v>
      </c>
      <c r="F18" s="308">
        <v>4.9995948694530004</v>
      </c>
      <c r="G18" s="309">
        <v>4.1663290578770003</v>
      </c>
      <c r="H18" s="311">
        <v>0.14616999999999999</v>
      </c>
      <c r="I18" s="308">
        <v>8.1337499999999991</v>
      </c>
      <c r="J18" s="309">
        <v>3.9674209421220001</v>
      </c>
      <c r="K18" s="312">
        <v>1.626881819904</v>
      </c>
    </row>
    <row r="19" spans="1:11" ht="14.4" customHeight="1" thickBot="1" x14ac:dyDescent="0.35">
      <c r="A19" s="330" t="s">
        <v>221</v>
      </c>
      <c r="B19" s="308">
        <v>13.2826650277</v>
      </c>
      <c r="C19" s="308">
        <v>14.882899999999999</v>
      </c>
      <c r="D19" s="309">
        <v>1.6002349722989999</v>
      </c>
      <c r="E19" s="310">
        <v>1.12047544442</v>
      </c>
      <c r="F19" s="308">
        <v>25.844705392689001</v>
      </c>
      <c r="G19" s="309">
        <v>21.537254493908002</v>
      </c>
      <c r="H19" s="311">
        <v>1.9843</v>
      </c>
      <c r="I19" s="308">
        <v>11.90582</v>
      </c>
      <c r="J19" s="309">
        <v>-9.6314344939079994</v>
      </c>
      <c r="K19" s="312">
        <v>0.46066766167700002</v>
      </c>
    </row>
    <row r="20" spans="1:11" ht="14.4" customHeight="1" thickBot="1" x14ac:dyDescent="0.35">
      <c r="A20" s="330" t="s">
        <v>222</v>
      </c>
      <c r="B20" s="308">
        <v>0</v>
      </c>
      <c r="C20" s="308">
        <v>5.8079999999999998</v>
      </c>
      <c r="D20" s="309">
        <v>5.8079999999999998</v>
      </c>
      <c r="E20" s="318" t="s">
        <v>206</v>
      </c>
      <c r="F20" s="308">
        <v>3.2421465354589998</v>
      </c>
      <c r="G20" s="309">
        <v>2.7017887795490001</v>
      </c>
      <c r="H20" s="311">
        <v>0</v>
      </c>
      <c r="I20" s="308">
        <v>0</v>
      </c>
      <c r="J20" s="309">
        <v>-2.7017887795490001</v>
      </c>
      <c r="K20" s="312">
        <v>0</v>
      </c>
    </row>
    <row r="21" spans="1:11" ht="14.4" customHeight="1" thickBot="1" x14ac:dyDescent="0.35">
      <c r="A21" s="330" t="s">
        <v>223</v>
      </c>
      <c r="B21" s="308">
        <v>1885.01052632759</v>
      </c>
      <c r="C21" s="308">
        <v>1937.94965</v>
      </c>
      <c r="D21" s="309">
        <v>52.939123672415</v>
      </c>
      <c r="E21" s="310">
        <v>1.028084258911</v>
      </c>
      <c r="F21" s="308">
        <v>2207.7965431248099</v>
      </c>
      <c r="G21" s="309">
        <v>1839.8304526040099</v>
      </c>
      <c r="H21" s="311">
        <v>208.16824</v>
      </c>
      <c r="I21" s="308">
        <v>1838.40074</v>
      </c>
      <c r="J21" s="309">
        <v>-1.4297126040050001</v>
      </c>
      <c r="K21" s="312">
        <v>0.83268575889600005</v>
      </c>
    </row>
    <row r="22" spans="1:11" ht="14.4" customHeight="1" thickBot="1" x14ac:dyDescent="0.35">
      <c r="A22" s="330" t="s">
        <v>224</v>
      </c>
      <c r="B22" s="308">
        <v>6.548977411818</v>
      </c>
      <c r="C22" s="308">
        <v>7.1336500000000003</v>
      </c>
      <c r="D22" s="309">
        <v>0.58467258818099999</v>
      </c>
      <c r="E22" s="310">
        <v>1.0892769285049999</v>
      </c>
      <c r="F22" s="308">
        <v>7.9760689197470001</v>
      </c>
      <c r="G22" s="309">
        <v>6.646724099789</v>
      </c>
      <c r="H22" s="311">
        <v>0.21779999999999999</v>
      </c>
      <c r="I22" s="308">
        <v>5.3906200000000002</v>
      </c>
      <c r="J22" s="309">
        <v>-1.2561040997890001</v>
      </c>
      <c r="K22" s="312">
        <v>0.675849225256</v>
      </c>
    </row>
    <row r="23" spans="1:11" ht="14.4" customHeight="1" thickBot="1" x14ac:dyDescent="0.35">
      <c r="A23" s="330" t="s">
        <v>225</v>
      </c>
      <c r="B23" s="308">
        <v>0</v>
      </c>
      <c r="C23" s="308">
        <v>6.6960000000000006E-2</v>
      </c>
      <c r="D23" s="309">
        <v>6.6960000000000006E-2</v>
      </c>
      <c r="E23" s="318" t="s">
        <v>226</v>
      </c>
      <c r="F23" s="308">
        <v>6.8091065877999998E-2</v>
      </c>
      <c r="G23" s="309">
        <v>5.6742554898000001E-2</v>
      </c>
      <c r="H23" s="311">
        <v>0</v>
      </c>
      <c r="I23" s="308">
        <v>0</v>
      </c>
      <c r="J23" s="309">
        <v>-5.6742554898000001E-2</v>
      </c>
      <c r="K23" s="312">
        <v>0</v>
      </c>
    </row>
    <row r="24" spans="1:11" ht="14.4" customHeight="1" thickBot="1" x14ac:dyDescent="0.35">
      <c r="A24" s="330" t="s">
        <v>227</v>
      </c>
      <c r="B24" s="308">
        <v>0</v>
      </c>
      <c r="C24" s="308">
        <v>74.055040000000005</v>
      </c>
      <c r="D24" s="309">
        <v>74.055040000000005</v>
      </c>
      <c r="E24" s="318" t="s">
        <v>226</v>
      </c>
      <c r="F24" s="308">
        <v>62.481992255622004</v>
      </c>
      <c r="G24" s="309">
        <v>52.068326879685003</v>
      </c>
      <c r="H24" s="311">
        <v>9.6259399999999999</v>
      </c>
      <c r="I24" s="308">
        <v>65.739050000000006</v>
      </c>
      <c r="J24" s="309">
        <v>13.670723120313999</v>
      </c>
      <c r="K24" s="312">
        <v>1.052127943216</v>
      </c>
    </row>
    <row r="25" spans="1:11" ht="14.4" customHeight="1" thickBot="1" x14ac:dyDescent="0.35">
      <c r="A25" s="329" t="s">
        <v>228</v>
      </c>
      <c r="B25" s="313">
        <v>14.843623635603</v>
      </c>
      <c r="C25" s="313">
        <v>28.64697</v>
      </c>
      <c r="D25" s="314">
        <v>13.803346364396001</v>
      </c>
      <c r="E25" s="315">
        <v>1.9299175661720001</v>
      </c>
      <c r="F25" s="313">
        <v>26.249634226066</v>
      </c>
      <c r="G25" s="314">
        <v>21.874695188387999</v>
      </c>
      <c r="H25" s="316">
        <v>1.9</v>
      </c>
      <c r="I25" s="313">
        <v>2.4948399999999999</v>
      </c>
      <c r="J25" s="314">
        <v>-19.379855188387999</v>
      </c>
      <c r="K25" s="317">
        <v>9.5042848159000007E-2</v>
      </c>
    </row>
    <row r="26" spans="1:11" ht="14.4" customHeight="1" thickBot="1" x14ac:dyDescent="0.35">
      <c r="A26" s="330" t="s">
        <v>229</v>
      </c>
      <c r="B26" s="308">
        <v>0</v>
      </c>
      <c r="C26" s="308">
        <v>27.466000000000001</v>
      </c>
      <c r="D26" s="309">
        <v>27.466000000000001</v>
      </c>
      <c r="E26" s="318" t="s">
        <v>206</v>
      </c>
      <c r="F26" s="308">
        <v>22.248888234005999</v>
      </c>
      <c r="G26" s="309">
        <v>18.540740195005</v>
      </c>
      <c r="H26" s="311">
        <v>0</v>
      </c>
      <c r="I26" s="308">
        <v>0</v>
      </c>
      <c r="J26" s="309">
        <v>-18.540740195005</v>
      </c>
      <c r="K26" s="312">
        <v>0</v>
      </c>
    </row>
    <row r="27" spans="1:11" ht="14.4" customHeight="1" thickBot="1" x14ac:dyDescent="0.35">
      <c r="A27" s="330" t="s">
        <v>230</v>
      </c>
      <c r="B27" s="308">
        <v>1.7362008503590001</v>
      </c>
      <c r="C27" s="308">
        <v>1.1809700000000001</v>
      </c>
      <c r="D27" s="309">
        <v>-0.55523085035899999</v>
      </c>
      <c r="E27" s="310">
        <v>0.68020356040899999</v>
      </c>
      <c r="F27" s="308">
        <v>4.0007459920589996</v>
      </c>
      <c r="G27" s="309">
        <v>3.3339549933830002</v>
      </c>
      <c r="H27" s="311">
        <v>1.9</v>
      </c>
      <c r="I27" s="308">
        <v>2.4948399999999999</v>
      </c>
      <c r="J27" s="309">
        <v>-0.839114993383</v>
      </c>
      <c r="K27" s="312">
        <v>0.62359370101199996</v>
      </c>
    </row>
    <row r="28" spans="1:11" ht="14.4" customHeight="1" thickBot="1" x14ac:dyDescent="0.35">
      <c r="A28" s="329" t="s">
        <v>231</v>
      </c>
      <c r="B28" s="313">
        <v>12.570923448602001</v>
      </c>
      <c r="C28" s="313">
        <v>16.933389999999999</v>
      </c>
      <c r="D28" s="314">
        <v>4.3624665513969996</v>
      </c>
      <c r="E28" s="315">
        <v>1.3470283284460001</v>
      </c>
      <c r="F28" s="313">
        <v>192.942887513806</v>
      </c>
      <c r="G28" s="314">
        <v>160.78573959483799</v>
      </c>
      <c r="H28" s="316">
        <v>6.28512</v>
      </c>
      <c r="I28" s="313">
        <v>99.179590000000005</v>
      </c>
      <c r="J28" s="314">
        <v>-61.606149594838001</v>
      </c>
      <c r="K28" s="317">
        <v>0.51403599934599997</v>
      </c>
    </row>
    <row r="29" spans="1:11" ht="14.4" customHeight="1" thickBot="1" x14ac:dyDescent="0.35">
      <c r="A29" s="330" t="s">
        <v>232</v>
      </c>
      <c r="B29" s="308">
        <v>6.6964171649660003</v>
      </c>
      <c r="C29" s="308">
        <v>11.115399999999999</v>
      </c>
      <c r="D29" s="309">
        <v>4.4189828350329998</v>
      </c>
      <c r="E29" s="310">
        <v>1.659902560753</v>
      </c>
      <c r="F29" s="308">
        <v>9.9430631404270002</v>
      </c>
      <c r="G29" s="309">
        <v>8.2858859503560005</v>
      </c>
      <c r="H29" s="311">
        <v>0.39029999999999998</v>
      </c>
      <c r="I29" s="308">
        <v>9.7897999999999996</v>
      </c>
      <c r="J29" s="309">
        <v>1.5039140496429999</v>
      </c>
      <c r="K29" s="312">
        <v>0.98458592304299997</v>
      </c>
    </row>
    <row r="30" spans="1:11" ht="14.4" customHeight="1" thickBot="1" x14ac:dyDescent="0.35">
      <c r="A30" s="330" t="s">
        <v>233</v>
      </c>
      <c r="B30" s="308">
        <v>5.8745062836360002</v>
      </c>
      <c r="C30" s="308">
        <v>5.81799</v>
      </c>
      <c r="D30" s="309">
        <v>-5.6516283636000003E-2</v>
      </c>
      <c r="E30" s="310">
        <v>0.99037939855500001</v>
      </c>
      <c r="F30" s="308">
        <v>0</v>
      </c>
      <c r="G30" s="309">
        <v>0</v>
      </c>
      <c r="H30" s="311">
        <v>0</v>
      </c>
      <c r="I30" s="308">
        <v>0</v>
      </c>
      <c r="J30" s="309">
        <v>0</v>
      </c>
      <c r="K30" s="319" t="s">
        <v>206</v>
      </c>
    </row>
    <row r="31" spans="1:11" ht="14.4" customHeight="1" thickBot="1" x14ac:dyDescent="0.35">
      <c r="A31" s="330" t="s">
        <v>234</v>
      </c>
      <c r="B31" s="308">
        <v>0</v>
      </c>
      <c r="C31" s="308">
        <v>0</v>
      </c>
      <c r="D31" s="309">
        <v>0</v>
      </c>
      <c r="E31" s="310">
        <v>1</v>
      </c>
      <c r="F31" s="308">
        <v>181.00009619405699</v>
      </c>
      <c r="G31" s="309">
        <v>150.83341349504801</v>
      </c>
      <c r="H31" s="311">
        <v>5.8948200000000002</v>
      </c>
      <c r="I31" s="308">
        <v>89.087289999999996</v>
      </c>
      <c r="J31" s="309">
        <v>-61.746123495047001</v>
      </c>
      <c r="K31" s="312">
        <v>0.49219471079400001</v>
      </c>
    </row>
    <row r="32" spans="1:11" ht="14.4" customHeight="1" thickBot="1" x14ac:dyDescent="0.35">
      <c r="A32" s="330" t="s">
        <v>235</v>
      </c>
      <c r="B32" s="308">
        <v>0</v>
      </c>
      <c r="C32" s="308">
        <v>0</v>
      </c>
      <c r="D32" s="309">
        <v>0</v>
      </c>
      <c r="E32" s="310">
        <v>1</v>
      </c>
      <c r="F32" s="308">
        <v>1.999728179321</v>
      </c>
      <c r="G32" s="309">
        <v>1.666440149434</v>
      </c>
      <c r="H32" s="311">
        <v>0</v>
      </c>
      <c r="I32" s="308">
        <v>0.30249999999999999</v>
      </c>
      <c r="J32" s="309">
        <v>-1.363940149434</v>
      </c>
      <c r="K32" s="312">
        <v>0.15127055923300001</v>
      </c>
    </row>
    <row r="33" spans="1:11" ht="14.4" customHeight="1" thickBot="1" x14ac:dyDescent="0.35">
      <c r="A33" s="328" t="s">
        <v>26</v>
      </c>
      <c r="B33" s="308">
        <v>6324.9465238202501</v>
      </c>
      <c r="C33" s="308">
        <v>6118.9639999999999</v>
      </c>
      <c r="D33" s="309">
        <v>-205.98252382024901</v>
      </c>
      <c r="E33" s="310">
        <v>0.96743331772899999</v>
      </c>
      <c r="F33" s="308">
        <v>6296.8140740747504</v>
      </c>
      <c r="G33" s="309">
        <v>5247.34506172896</v>
      </c>
      <c r="H33" s="311">
        <v>497.94499999999999</v>
      </c>
      <c r="I33" s="308">
        <v>4512.3029999999999</v>
      </c>
      <c r="J33" s="309">
        <v>-735.04206172895294</v>
      </c>
      <c r="K33" s="312">
        <v>0.71660095834399995</v>
      </c>
    </row>
    <row r="34" spans="1:11" ht="14.4" customHeight="1" thickBot="1" x14ac:dyDescent="0.35">
      <c r="A34" s="329" t="s">
        <v>236</v>
      </c>
      <c r="B34" s="313">
        <v>6324.9465238202501</v>
      </c>
      <c r="C34" s="313">
        <v>6118.9639999999999</v>
      </c>
      <c r="D34" s="314">
        <v>-205.98252382024901</v>
      </c>
      <c r="E34" s="315">
        <v>0.96743331772899999</v>
      </c>
      <c r="F34" s="313">
        <v>6296.8140740747504</v>
      </c>
      <c r="G34" s="314">
        <v>5247.34506172896</v>
      </c>
      <c r="H34" s="316">
        <v>497.94499999999999</v>
      </c>
      <c r="I34" s="313">
        <v>4512.3029999999999</v>
      </c>
      <c r="J34" s="314">
        <v>-735.04206172895294</v>
      </c>
      <c r="K34" s="317">
        <v>0.71660095834399995</v>
      </c>
    </row>
    <row r="35" spans="1:11" ht="14.4" customHeight="1" thickBot="1" x14ac:dyDescent="0.35">
      <c r="A35" s="330" t="s">
        <v>237</v>
      </c>
      <c r="B35" s="308">
        <v>429.54577246679702</v>
      </c>
      <c r="C35" s="308">
        <v>434.30500000000001</v>
      </c>
      <c r="D35" s="309">
        <v>4.7592275332030001</v>
      </c>
      <c r="E35" s="310">
        <v>1.011079674945</v>
      </c>
      <c r="F35" s="308">
        <v>431.05909626782301</v>
      </c>
      <c r="G35" s="309">
        <v>359.21591355651901</v>
      </c>
      <c r="H35" s="311">
        <v>30.417000000000002</v>
      </c>
      <c r="I35" s="308">
        <v>301.70800000000003</v>
      </c>
      <c r="J35" s="309">
        <v>-57.507913556519</v>
      </c>
      <c r="K35" s="312">
        <v>0.69992259208100005</v>
      </c>
    </row>
    <row r="36" spans="1:11" ht="14.4" customHeight="1" thickBot="1" x14ac:dyDescent="0.35">
      <c r="A36" s="330" t="s">
        <v>238</v>
      </c>
      <c r="B36" s="308">
        <v>1500.06446991748</v>
      </c>
      <c r="C36" s="308">
        <v>1477.7339999999999</v>
      </c>
      <c r="D36" s="309">
        <v>-22.330469917477</v>
      </c>
      <c r="E36" s="310">
        <v>0.98511365986900001</v>
      </c>
      <c r="F36" s="308">
        <v>1600.01083824902</v>
      </c>
      <c r="G36" s="309">
        <v>1333.3423652075101</v>
      </c>
      <c r="H36" s="311">
        <v>133.36600000000001</v>
      </c>
      <c r="I36" s="308">
        <v>1259.9259999999999</v>
      </c>
      <c r="J36" s="309">
        <v>-73.416365207511006</v>
      </c>
      <c r="K36" s="312">
        <v>0.78744841589799996</v>
      </c>
    </row>
    <row r="37" spans="1:11" ht="14.4" customHeight="1" thickBot="1" x14ac:dyDescent="0.35">
      <c r="A37" s="330" t="s">
        <v>239</v>
      </c>
      <c r="B37" s="308">
        <v>4395.3362814359798</v>
      </c>
      <c r="C37" s="308">
        <v>4206.9250000000002</v>
      </c>
      <c r="D37" s="309">
        <v>-188.411281435977</v>
      </c>
      <c r="E37" s="310">
        <v>0.95713381880799997</v>
      </c>
      <c r="F37" s="308">
        <v>4265.7441395579099</v>
      </c>
      <c r="G37" s="309">
        <v>3554.7867829649299</v>
      </c>
      <c r="H37" s="311">
        <v>334.16199999999998</v>
      </c>
      <c r="I37" s="308">
        <v>2950.6689999999999</v>
      </c>
      <c r="J37" s="309">
        <v>-604.117782964924</v>
      </c>
      <c r="K37" s="312">
        <v>0.69171260710100002</v>
      </c>
    </row>
    <row r="38" spans="1:11" ht="14.4" customHeight="1" thickBot="1" x14ac:dyDescent="0.35">
      <c r="A38" s="331" t="s">
        <v>240</v>
      </c>
      <c r="B38" s="313">
        <v>1996.4291706919</v>
      </c>
      <c r="C38" s="313">
        <v>2185.0361800000001</v>
      </c>
      <c r="D38" s="314">
        <v>188.6070093081</v>
      </c>
      <c r="E38" s="315">
        <v>1.094472176662</v>
      </c>
      <c r="F38" s="313">
        <v>2223.688318897</v>
      </c>
      <c r="G38" s="314">
        <v>1853.07359908083</v>
      </c>
      <c r="H38" s="316">
        <v>130.72887</v>
      </c>
      <c r="I38" s="313">
        <v>1767.0297399999999</v>
      </c>
      <c r="J38" s="314">
        <v>-86.043859080833997</v>
      </c>
      <c r="K38" s="317">
        <v>0.79463912499900002</v>
      </c>
    </row>
    <row r="39" spans="1:11" ht="14.4" customHeight="1" thickBot="1" x14ac:dyDescent="0.35">
      <c r="A39" s="328" t="s">
        <v>29</v>
      </c>
      <c r="B39" s="308">
        <v>445.58252755720298</v>
      </c>
      <c r="C39" s="308">
        <v>420.15024</v>
      </c>
      <c r="D39" s="309">
        <v>-25.432287557201999</v>
      </c>
      <c r="E39" s="310">
        <v>0.94292350802699998</v>
      </c>
      <c r="F39" s="308">
        <v>417.76085662435202</v>
      </c>
      <c r="G39" s="309">
        <v>348.13404718696</v>
      </c>
      <c r="H39" s="311">
        <v>37.252740000000003</v>
      </c>
      <c r="I39" s="308">
        <v>350.05477999999999</v>
      </c>
      <c r="J39" s="309">
        <v>1.9207328130400001</v>
      </c>
      <c r="K39" s="312">
        <v>0.83793101830600003</v>
      </c>
    </row>
    <row r="40" spans="1:11" ht="14.4" customHeight="1" thickBot="1" x14ac:dyDescent="0.35">
      <c r="A40" s="332" t="s">
        <v>241</v>
      </c>
      <c r="B40" s="308">
        <v>445.58252755720298</v>
      </c>
      <c r="C40" s="308">
        <v>420.15024</v>
      </c>
      <c r="D40" s="309">
        <v>-25.432287557201999</v>
      </c>
      <c r="E40" s="310">
        <v>0.94292350802699998</v>
      </c>
      <c r="F40" s="308">
        <v>417.76085662435202</v>
      </c>
      <c r="G40" s="309">
        <v>348.13404718696</v>
      </c>
      <c r="H40" s="311">
        <v>37.252740000000003</v>
      </c>
      <c r="I40" s="308">
        <v>350.05477999999999</v>
      </c>
      <c r="J40" s="309">
        <v>1.9207328130400001</v>
      </c>
      <c r="K40" s="312">
        <v>0.83793101830600003</v>
      </c>
    </row>
    <row r="41" spans="1:11" ht="14.4" customHeight="1" thickBot="1" x14ac:dyDescent="0.35">
      <c r="A41" s="330" t="s">
        <v>242</v>
      </c>
      <c r="B41" s="308">
        <v>392.88719394795697</v>
      </c>
      <c r="C41" s="308">
        <v>388.80799999999999</v>
      </c>
      <c r="D41" s="309">
        <v>-4.079193947956</v>
      </c>
      <c r="E41" s="310">
        <v>0.989617391427</v>
      </c>
      <c r="F41" s="308">
        <v>358.53535537244397</v>
      </c>
      <c r="G41" s="309">
        <v>298.77946281036998</v>
      </c>
      <c r="H41" s="311">
        <v>36.412999999999997</v>
      </c>
      <c r="I41" s="308">
        <v>321.84303999999997</v>
      </c>
      <c r="J41" s="309">
        <v>23.063577189629999</v>
      </c>
      <c r="K41" s="312">
        <v>0.89766053801199996</v>
      </c>
    </row>
    <row r="42" spans="1:11" ht="14.4" customHeight="1" thickBot="1" x14ac:dyDescent="0.35">
      <c r="A42" s="330" t="s">
        <v>243</v>
      </c>
      <c r="B42" s="308">
        <v>18.697875841894</v>
      </c>
      <c r="C42" s="308">
        <v>14.081</v>
      </c>
      <c r="D42" s="309">
        <v>-4.6168758418940001</v>
      </c>
      <c r="E42" s="310">
        <v>0.75308019579600005</v>
      </c>
      <c r="F42" s="308">
        <v>18.309451919876</v>
      </c>
      <c r="G42" s="309">
        <v>15.257876599896999</v>
      </c>
      <c r="H42" s="311">
        <v>0</v>
      </c>
      <c r="I42" s="308">
        <v>0</v>
      </c>
      <c r="J42" s="309">
        <v>-15.257876599896999</v>
      </c>
      <c r="K42" s="312">
        <v>0</v>
      </c>
    </row>
    <row r="43" spans="1:11" ht="14.4" customHeight="1" thickBot="1" x14ac:dyDescent="0.35">
      <c r="A43" s="330" t="s">
        <v>244</v>
      </c>
      <c r="B43" s="308">
        <v>4.9995967953439999</v>
      </c>
      <c r="C43" s="308">
        <v>1.0705100000000001</v>
      </c>
      <c r="D43" s="309">
        <v>-3.9290867953439998</v>
      </c>
      <c r="E43" s="310">
        <v>0.21411926677699999</v>
      </c>
      <c r="F43" s="308">
        <v>24.999957792414001</v>
      </c>
      <c r="G43" s="309">
        <v>20.833298160344999</v>
      </c>
      <c r="H43" s="311">
        <v>0</v>
      </c>
      <c r="I43" s="308">
        <v>14.72589</v>
      </c>
      <c r="J43" s="309">
        <v>-6.1074081603449999</v>
      </c>
      <c r="K43" s="312">
        <v>0.58903659447199996</v>
      </c>
    </row>
    <row r="44" spans="1:11" ht="14.4" customHeight="1" thickBot="1" x14ac:dyDescent="0.35">
      <c r="A44" s="330" t="s">
        <v>245</v>
      </c>
      <c r="B44" s="308">
        <v>28.997860972007</v>
      </c>
      <c r="C44" s="308">
        <v>16.190729999999999</v>
      </c>
      <c r="D44" s="309">
        <v>-12.807130972007</v>
      </c>
      <c r="E44" s="310">
        <v>0.55834221757299995</v>
      </c>
      <c r="F44" s="308">
        <v>15.916091539616</v>
      </c>
      <c r="G44" s="309">
        <v>13.263409616346999</v>
      </c>
      <c r="H44" s="311">
        <v>0.83974000000000004</v>
      </c>
      <c r="I44" s="308">
        <v>13.485849999999999</v>
      </c>
      <c r="J44" s="309">
        <v>0.22244038365300001</v>
      </c>
      <c r="K44" s="312">
        <v>0.84730915039200005</v>
      </c>
    </row>
    <row r="45" spans="1:11" ht="14.4" customHeight="1" thickBot="1" x14ac:dyDescent="0.35">
      <c r="A45" s="333" t="s">
        <v>30</v>
      </c>
      <c r="B45" s="313">
        <v>0</v>
      </c>
      <c r="C45" s="313">
        <v>2.536</v>
      </c>
      <c r="D45" s="314">
        <v>2.536</v>
      </c>
      <c r="E45" s="320" t="s">
        <v>206</v>
      </c>
      <c r="F45" s="313">
        <v>0</v>
      </c>
      <c r="G45" s="314">
        <v>0</v>
      </c>
      <c r="H45" s="316">
        <v>1.0429999999999999</v>
      </c>
      <c r="I45" s="313">
        <v>6.7530000000000001</v>
      </c>
      <c r="J45" s="314">
        <v>6.7530000000000001</v>
      </c>
      <c r="K45" s="321" t="s">
        <v>206</v>
      </c>
    </row>
    <row r="46" spans="1:11" ht="14.4" customHeight="1" thickBot="1" x14ac:dyDescent="0.35">
      <c r="A46" s="329" t="s">
        <v>246</v>
      </c>
      <c r="B46" s="313">
        <v>0</v>
      </c>
      <c r="C46" s="313">
        <v>2.536</v>
      </c>
      <c r="D46" s="314">
        <v>2.536</v>
      </c>
      <c r="E46" s="320" t="s">
        <v>206</v>
      </c>
      <c r="F46" s="313">
        <v>0</v>
      </c>
      <c r="G46" s="314">
        <v>0</v>
      </c>
      <c r="H46" s="316">
        <v>1.0429999999999999</v>
      </c>
      <c r="I46" s="313">
        <v>4.3689999999999998</v>
      </c>
      <c r="J46" s="314">
        <v>4.3689999999999998</v>
      </c>
      <c r="K46" s="321" t="s">
        <v>206</v>
      </c>
    </row>
    <row r="47" spans="1:11" ht="14.4" customHeight="1" thickBot="1" x14ac:dyDescent="0.35">
      <c r="A47" s="330" t="s">
        <v>247</v>
      </c>
      <c r="B47" s="308">
        <v>0</v>
      </c>
      <c r="C47" s="308">
        <v>2.536</v>
      </c>
      <c r="D47" s="309">
        <v>2.536</v>
      </c>
      <c r="E47" s="318" t="s">
        <v>206</v>
      </c>
      <c r="F47" s="308">
        <v>0</v>
      </c>
      <c r="G47" s="309">
        <v>0</v>
      </c>
      <c r="H47" s="311">
        <v>1.0429999999999999</v>
      </c>
      <c r="I47" s="308">
        <v>4.3689999999999998</v>
      </c>
      <c r="J47" s="309">
        <v>4.3689999999999998</v>
      </c>
      <c r="K47" s="319" t="s">
        <v>206</v>
      </c>
    </row>
    <row r="48" spans="1:11" ht="14.4" customHeight="1" thickBot="1" x14ac:dyDescent="0.35">
      <c r="A48" s="329" t="s">
        <v>248</v>
      </c>
      <c r="B48" s="313">
        <v>0</v>
      </c>
      <c r="C48" s="313">
        <v>0</v>
      </c>
      <c r="D48" s="314">
        <v>0</v>
      </c>
      <c r="E48" s="315">
        <v>1</v>
      </c>
      <c r="F48" s="313">
        <v>0</v>
      </c>
      <c r="G48" s="314">
        <v>0</v>
      </c>
      <c r="H48" s="316">
        <v>0</v>
      </c>
      <c r="I48" s="313">
        <v>2.3839999999999999</v>
      </c>
      <c r="J48" s="314">
        <v>2.3839999999999999</v>
      </c>
      <c r="K48" s="321" t="s">
        <v>226</v>
      </c>
    </row>
    <row r="49" spans="1:11" ht="14.4" customHeight="1" thickBot="1" x14ac:dyDescent="0.35">
      <c r="A49" s="330" t="s">
        <v>249</v>
      </c>
      <c r="B49" s="308">
        <v>0</v>
      </c>
      <c r="C49" s="308">
        <v>0</v>
      </c>
      <c r="D49" s="309">
        <v>0</v>
      </c>
      <c r="E49" s="310">
        <v>1</v>
      </c>
      <c r="F49" s="308">
        <v>0</v>
      </c>
      <c r="G49" s="309">
        <v>0</v>
      </c>
      <c r="H49" s="311">
        <v>0</v>
      </c>
      <c r="I49" s="308">
        <v>2.3839999999999999</v>
      </c>
      <c r="J49" s="309">
        <v>2.3839999999999999</v>
      </c>
      <c r="K49" s="319" t="s">
        <v>226</v>
      </c>
    </row>
    <row r="50" spans="1:11" ht="14.4" customHeight="1" thickBot="1" x14ac:dyDescent="0.35">
      <c r="A50" s="328" t="s">
        <v>31</v>
      </c>
      <c r="B50" s="308">
        <v>1550.8466431346999</v>
      </c>
      <c r="C50" s="308">
        <v>1762.3499400000001</v>
      </c>
      <c r="D50" s="309">
        <v>211.50329686530199</v>
      </c>
      <c r="E50" s="310">
        <v>1.1363792466530001</v>
      </c>
      <c r="F50" s="308">
        <v>1805.92746227265</v>
      </c>
      <c r="G50" s="309">
        <v>1504.93955189387</v>
      </c>
      <c r="H50" s="311">
        <v>92.433130000000006</v>
      </c>
      <c r="I50" s="308">
        <v>1410.2219600000001</v>
      </c>
      <c r="J50" s="309">
        <v>-94.717591893874001</v>
      </c>
      <c r="K50" s="312">
        <v>0.780885162588</v>
      </c>
    </row>
    <row r="51" spans="1:11" ht="14.4" customHeight="1" thickBot="1" x14ac:dyDescent="0.35">
      <c r="A51" s="329" t="s">
        <v>250</v>
      </c>
      <c r="B51" s="313">
        <v>4.6434667919220001</v>
      </c>
      <c r="C51" s="313">
        <v>6.4089299999999998</v>
      </c>
      <c r="D51" s="314">
        <v>1.7654632080770001</v>
      </c>
      <c r="E51" s="315">
        <v>1.3802036898700001</v>
      </c>
      <c r="F51" s="313">
        <v>6.0547178431219999</v>
      </c>
      <c r="G51" s="314">
        <v>5.0455982026020001</v>
      </c>
      <c r="H51" s="316">
        <v>0.38818999999999998</v>
      </c>
      <c r="I51" s="313">
        <v>6.6481599999999998</v>
      </c>
      <c r="J51" s="314">
        <v>1.6025617973970001</v>
      </c>
      <c r="K51" s="317">
        <v>1.098013181167</v>
      </c>
    </row>
    <row r="52" spans="1:11" ht="14.4" customHeight="1" thickBot="1" x14ac:dyDescent="0.35">
      <c r="A52" s="330" t="s">
        <v>251</v>
      </c>
      <c r="B52" s="308">
        <v>0.56164009999700004</v>
      </c>
      <c r="C52" s="308">
        <v>0.42370000000000002</v>
      </c>
      <c r="D52" s="309">
        <v>-0.13794009999699999</v>
      </c>
      <c r="E52" s="310">
        <v>0.754397700595</v>
      </c>
      <c r="F52" s="308">
        <v>0.43343926469299998</v>
      </c>
      <c r="G52" s="309">
        <v>0.36119938724400003</v>
      </c>
      <c r="H52" s="311">
        <v>5.7000000000000002E-2</v>
      </c>
      <c r="I52" s="308">
        <v>0.62890000000000001</v>
      </c>
      <c r="J52" s="309">
        <v>0.26770061275500001</v>
      </c>
      <c r="K52" s="312">
        <v>1.450952996711</v>
      </c>
    </row>
    <row r="53" spans="1:11" ht="14.4" customHeight="1" thickBot="1" x14ac:dyDescent="0.35">
      <c r="A53" s="330" t="s">
        <v>252</v>
      </c>
      <c r="B53" s="308">
        <v>4.0818266919250004</v>
      </c>
      <c r="C53" s="308">
        <v>5.9852299999999996</v>
      </c>
      <c r="D53" s="309">
        <v>1.903403308074</v>
      </c>
      <c r="E53" s="310">
        <v>1.466311642245</v>
      </c>
      <c r="F53" s="308">
        <v>5.621278578429</v>
      </c>
      <c r="G53" s="309">
        <v>4.6843988153570004</v>
      </c>
      <c r="H53" s="311">
        <v>0.33118999999999998</v>
      </c>
      <c r="I53" s="308">
        <v>6.0192600000000001</v>
      </c>
      <c r="J53" s="309">
        <v>1.334861184642</v>
      </c>
      <c r="K53" s="312">
        <v>1.070799092416</v>
      </c>
    </row>
    <row r="54" spans="1:11" ht="14.4" customHeight="1" thickBot="1" x14ac:dyDescent="0.35">
      <c r="A54" s="329" t="s">
        <v>253</v>
      </c>
      <c r="B54" s="313">
        <v>1.7711279307500001</v>
      </c>
      <c r="C54" s="313">
        <v>1.62</v>
      </c>
      <c r="D54" s="314">
        <v>-0.15112793075</v>
      </c>
      <c r="E54" s="315">
        <v>0.91467136386500003</v>
      </c>
      <c r="F54" s="313">
        <v>1.6780130766300001</v>
      </c>
      <c r="G54" s="314">
        <v>1.398344230525</v>
      </c>
      <c r="H54" s="316">
        <v>0.40500000000000003</v>
      </c>
      <c r="I54" s="313">
        <v>1.62</v>
      </c>
      <c r="J54" s="314">
        <v>0.22165576947400001</v>
      </c>
      <c r="K54" s="317">
        <v>0.96542751815299999</v>
      </c>
    </row>
    <row r="55" spans="1:11" ht="14.4" customHeight="1" thickBot="1" x14ac:dyDescent="0.35">
      <c r="A55" s="330" t="s">
        <v>254</v>
      </c>
      <c r="B55" s="308">
        <v>1.7711279307500001</v>
      </c>
      <c r="C55" s="308">
        <v>1.62</v>
      </c>
      <c r="D55" s="309">
        <v>-0.15112793075</v>
      </c>
      <c r="E55" s="310">
        <v>0.91467136386500003</v>
      </c>
      <c r="F55" s="308">
        <v>1.6780130766300001</v>
      </c>
      <c r="G55" s="309">
        <v>1.398344230525</v>
      </c>
      <c r="H55" s="311">
        <v>0.40500000000000003</v>
      </c>
      <c r="I55" s="308">
        <v>1.62</v>
      </c>
      <c r="J55" s="309">
        <v>0.22165576947400001</v>
      </c>
      <c r="K55" s="312">
        <v>0.96542751815299999</v>
      </c>
    </row>
    <row r="56" spans="1:11" ht="14.4" customHeight="1" thickBot="1" x14ac:dyDescent="0.35">
      <c r="A56" s="329" t="s">
        <v>255</v>
      </c>
      <c r="B56" s="313">
        <v>446.30366436832901</v>
      </c>
      <c r="C56" s="313">
        <v>475.59377999999998</v>
      </c>
      <c r="D56" s="314">
        <v>29.290115631671</v>
      </c>
      <c r="E56" s="315">
        <v>1.065628221254</v>
      </c>
      <c r="F56" s="313">
        <v>476.65681053771999</v>
      </c>
      <c r="G56" s="314">
        <v>397.21400878143402</v>
      </c>
      <c r="H56" s="316">
        <v>28.69594</v>
      </c>
      <c r="I56" s="313">
        <v>306.90003000000002</v>
      </c>
      <c r="J56" s="314">
        <v>-90.313978781432994</v>
      </c>
      <c r="K56" s="317">
        <v>0.64385952999100005</v>
      </c>
    </row>
    <row r="57" spans="1:11" ht="14.4" customHeight="1" thickBot="1" x14ac:dyDescent="0.35">
      <c r="A57" s="330" t="s">
        <v>256</v>
      </c>
      <c r="B57" s="308">
        <v>433.00043967677101</v>
      </c>
      <c r="C57" s="308">
        <v>463.39377999999999</v>
      </c>
      <c r="D57" s="309">
        <v>30.393340323229001</v>
      </c>
      <c r="E57" s="310">
        <v>1.0701924006029999</v>
      </c>
      <c r="F57" s="308">
        <v>465.33273097879697</v>
      </c>
      <c r="G57" s="309">
        <v>387.77727581566398</v>
      </c>
      <c r="H57" s="311">
        <v>27.795940000000002</v>
      </c>
      <c r="I57" s="308">
        <v>294.65003000000002</v>
      </c>
      <c r="J57" s="309">
        <v>-93.127245815663997</v>
      </c>
      <c r="K57" s="312">
        <v>0.63320288985499995</v>
      </c>
    </row>
    <row r="58" spans="1:11" ht="14.4" customHeight="1" thickBot="1" x14ac:dyDescent="0.35">
      <c r="A58" s="330" t="s">
        <v>257</v>
      </c>
      <c r="B58" s="308">
        <v>13.303224691557</v>
      </c>
      <c r="C58" s="308">
        <v>12.2</v>
      </c>
      <c r="D58" s="309">
        <v>-1.1032246915570001</v>
      </c>
      <c r="E58" s="310">
        <v>0.91707088189899999</v>
      </c>
      <c r="F58" s="308">
        <v>11.324079558923</v>
      </c>
      <c r="G58" s="309">
        <v>9.436732965769</v>
      </c>
      <c r="H58" s="311">
        <v>0.9</v>
      </c>
      <c r="I58" s="308">
        <v>12.25</v>
      </c>
      <c r="J58" s="309">
        <v>2.8132670342299999</v>
      </c>
      <c r="K58" s="312">
        <v>1.081765624857</v>
      </c>
    </row>
    <row r="59" spans="1:11" ht="14.4" customHeight="1" thickBot="1" x14ac:dyDescent="0.35">
      <c r="A59" s="329" t="s">
        <v>258</v>
      </c>
      <c r="B59" s="313">
        <v>1098.0700614305499</v>
      </c>
      <c r="C59" s="313">
        <v>1277.2682299999999</v>
      </c>
      <c r="D59" s="314">
        <v>179.198168569453</v>
      </c>
      <c r="E59" s="315">
        <v>1.1631937477059999</v>
      </c>
      <c r="F59" s="313">
        <v>1271.5379208151801</v>
      </c>
      <c r="G59" s="314">
        <v>1059.6149340126501</v>
      </c>
      <c r="H59" s="316">
        <v>62.944000000000003</v>
      </c>
      <c r="I59" s="313">
        <v>1093.86177</v>
      </c>
      <c r="J59" s="314">
        <v>34.246835987352</v>
      </c>
      <c r="K59" s="317">
        <v>0.86026673062000003</v>
      </c>
    </row>
    <row r="60" spans="1:11" ht="14.4" customHeight="1" thickBot="1" x14ac:dyDescent="0.35">
      <c r="A60" s="330" t="s">
        <v>259</v>
      </c>
      <c r="B60" s="308">
        <v>2.934399710958</v>
      </c>
      <c r="C60" s="308">
        <v>24.975999999999999</v>
      </c>
      <c r="D60" s="309">
        <v>22.041600289041</v>
      </c>
      <c r="E60" s="310">
        <v>8.5114512200650001</v>
      </c>
      <c r="F60" s="308">
        <v>25.633281982086999</v>
      </c>
      <c r="G60" s="309">
        <v>21.361068318406002</v>
      </c>
      <c r="H60" s="311">
        <v>0</v>
      </c>
      <c r="I60" s="308">
        <v>2.8090000000000002</v>
      </c>
      <c r="J60" s="309">
        <v>-18.552068318406</v>
      </c>
      <c r="K60" s="312">
        <v>0.10958409469200001</v>
      </c>
    </row>
    <row r="61" spans="1:11" ht="14.4" customHeight="1" thickBot="1" x14ac:dyDescent="0.35">
      <c r="A61" s="330" t="s">
        <v>260</v>
      </c>
      <c r="B61" s="308">
        <v>1062.64874298073</v>
      </c>
      <c r="C61" s="308">
        <v>1210.8762300000001</v>
      </c>
      <c r="D61" s="309">
        <v>148.22748701927199</v>
      </c>
      <c r="E61" s="310">
        <v>1.139488695581</v>
      </c>
      <c r="F61" s="308">
        <v>1197.1491994268099</v>
      </c>
      <c r="G61" s="309">
        <v>997.62433285567704</v>
      </c>
      <c r="H61" s="311">
        <v>62.944000000000003</v>
      </c>
      <c r="I61" s="308">
        <v>990.06777</v>
      </c>
      <c r="J61" s="309">
        <v>-7.5565628556769999</v>
      </c>
      <c r="K61" s="312">
        <v>0.82702120209700003</v>
      </c>
    </row>
    <row r="62" spans="1:11" ht="14.4" customHeight="1" thickBot="1" x14ac:dyDescent="0.35">
      <c r="A62" s="330" t="s">
        <v>261</v>
      </c>
      <c r="B62" s="308">
        <v>1.9989689139839999</v>
      </c>
      <c r="C62" s="308">
        <v>2.6240000000000001</v>
      </c>
      <c r="D62" s="309">
        <v>0.62503108601500001</v>
      </c>
      <c r="E62" s="310">
        <v>1.312676741315</v>
      </c>
      <c r="F62" s="308">
        <v>3.0010932502209999</v>
      </c>
      <c r="G62" s="309">
        <v>2.5009110418509999</v>
      </c>
      <c r="H62" s="311">
        <v>0</v>
      </c>
      <c r="I62" s="308">
        <v>1.742</v>
      </c>
      <c r="J62" s="309">
        <v>-0.758911041851</v>
      </c>
      <c r="K62" s="312">
        <v>0.58045513909599999</v>
      </c>
    </row>
    <row r="63" spans="1:11" ht="14.4" customHeight="1" thickBot="1" x14ac:dyDescent="0.35">
      <c r="A63" s="330" t="s">
        <v>262</v>
      </c>
      <c r="B63" s="308">
        <v>30.487949824874999</v>
      </c>
      <c r="C63" s="308">
        <v>38.792000000000002</v>
      </c>
      <c r="D63" s="309">
        <v>8.3040501751240008</v>
      </c>
      <c r="E63" s="310">
        <v>1.27237155082</v>
      </c>
      <c r="F63" s="308">
        <v>45.754346156053998</v>
      </c>
      <c r="G63" s="309">
        <v>38.128621796711002</v>
      </c>
      <c r="H63" s="311">
        <v>0</v>
      </c>
      <c r="I63" s="308">
        <v>99.242999999999995</v>
      </c>
      <c r="J63" s="309">
        <v>61.114378203287998</v>
      </c>
      <c r="K63" s="312">
        <v>2.1690398473069998</v>
      </c>
    </row>
    <row r="64" spans="1:11" ht="14.4" customHeight="1" thickBot="1" x14ac:dyDescent="0.35">
      <c r="A64" s="329" t="s">
        <v>263</v>
      </c>
      <c r="B64" s="313">
        <v>0</v>
      </c>
      <c r="C64" s="313">
        <v>1.4590000000000001</v>
      </c>
      <c r="D64" s="314">
        <v>1.4590000000000001</v>
      </c>
      <c r="E64" s="320" t="s">
        <v>206</v>
      </c>
      <c r="F64" s="313">
        <v>49.999999999998998</v>
      </c>
      <c r="G64" s="314">
        <v>41.666666666665002</v>
      </c>
      <c r="H64" s="316">
        <v>0</v>
      </c>
      <c r="I64" s="313">
        <v>1.1919999999999999</v>
      </c>
      <c r="J64" s="314">
        <v>-40.474666666665001</v>
      </c>
      <c r="K64" s="317">
        <v>2.384E-2</v>
      </c>
    </row>
    <row r="65" spans="1:11" ht="14.4" customHeight="1" thickBot="1" x14ac:dyDescent="0.35">
      <c r="A65" s="330" t="s">
        <v>264</v>
      </c>
      <c r="B65" s="308">
        <v>0</v>
      </c>
      <c r="C65" s="308">
        <v>1.4590000000000001</v>
      </c>
      <c r="D65" s="309">
        <v>1.4590000000000001</v>
      </c>
      <c r="E65" s="318" t="s">
        <v>226</v>
      </c>
      <c r="F65" s="308">
        <v>0</v>
      </c>
      <c r="G65" s="309">
        <v>0</v>
      </c>
      <c r="H65" s="311">
        <v>0</v>
      </c>
      <c r="I65" s="308">
        <v>1.1919999999999999</v>
      </c>
      <c r="J65" s="309">
        <v>1.1919999999999999</v>
      </c>
      <c r="K65" s="319" t="s">
        <v>206</v>
      </c>
    </row>
    <row r="66" spans="1:11" ht="14.4" customHeight="1" thickBot="1" x14ac:dyDescent="0.35">
      <c r="A66" s="330" t="s">
        <v>265</v>
      </c>
      <c r="B66" s="308">
        <v>0</v>
      </c>
      <c r="C66" s="308">
        <v>0</v>
      </c>
      <c r="D66" s="309">
        <v>0</v>
      </c>
      <c r="E66" s="310">
        <v>1</v>
      </c>
      <c r="F66" s="308">
        <v>49.999999999998998</v>
      </c>
      <c r="G66" s="309">
        <v>41.666666666665002</v>
      </c>
      <c r="H66" s="311">
        <v>0</v>
      </c>
      <c r="I66" s="308">
        <v>0</v>
      </c>
      <c r="J66" s="309">
        <v>-41.666666666665002</v>
      </c>
      <c r="K66" s="312">
        <v>0</v>
      </c>
    </row>
    <row r="67" spans="1:11" ht="14.4" customHeight="1" thickBot="1" x14ac:dyDescent="0.35">
      <c r="A67" s="327" t="s">
        <v>32</v>
      </c>
      <c r="B67" s="308">
        <v>12107.996725949801</v>
      </c>
      <c r="C67" s="308">
        <v>12081.18873</v>
      </c>
      <c r="D67" s="309">
        <v>-26.80799594978</v>
      </c>
      <c r="E67" s="310">
        <v>0.99778592639499997</v>
      </c>
      <c r="F67" s="308">
        <v>11718.057939754301</v>
      </c>
      <c r="G67" s="309">
        <v>9765.0482831286208</v>
      </c>
      <c r="H67" s="311">
        <v>937.70106999999996</v>
      </c>
      <c r="I67" s="308">
        <v>9449.25389</v>
      </c>
      <c r="J67" s="309">
        <v>-315.794393128612</v>
      </c>
      <c r="K67" s="312">
        <v>0.80638395360199999</v>
      </c>
    </row>
    <row r="68" spans="1:11" ht="14.4" customHeight="1" thickBot="1" x14ac:dyDescent="0.35">
      <c r="A68" s="333" t="s">
        <v>266</v>
      </c>
      <c r="B68" s="313">
        <v>8967.9999999995107</v>
      </c>
      <c r="C68" s="313">
        <v>8970.973</v>
      </c>
      <c r="D68" s="314">
        <v>2.973000000491</v>
      </c>
      <c r="E68" s="315">
        <v>1.000331512042</v>
      </c>
      <c r="F68" s="313">
        <v>8686.9999999998399</v>
      </c>
      <c r="G68" s="314">
        <v>7239.1666666665396</v>
      </c>
      <c r="H68" s="316">
        <v>694.85400000000004</v>
      </c>
      <c r="I68" s="313">
        <v>7008.134</v>
      </c>
      <c r="J68" s="314">
        <v>-231.03266666653201</v>
      </c>
      <c r="K68" s="317">
        <v>0.80673811442300003</v>
      </c>
    </row>
    <row r="69" spans="1:11" ht="14.4" customHeight="1" thickBot="1" x14ac:dyDescent="0.35">
      <c r="A69" s="329" t="s">
        <v>267</v>
      </c>
      <c r="B69" s="313">
        <v>8967.9999999995107</v>
      </c>
      <c r="C69" s="313">
        <v>8883.884</v>
      </c>
      <c r="D69" s="314">
        <v>-84.115999999508006</v>
      </c>
      <c r="E69" s="315">
        <v>0.99062042818899998</v>
      </c>
      <c r="F69" s="313">
        <v>8658.9999999998399</v>
      </c>
      <c r="G69" s="314">
        <v>7215.8333333332002</v>
      </c>
      <c r="H69" s="316">
        <v>693.81299999999999</v>
      </c>
      <c r="I69" s="313">
        <v>6973.5389999999998</v>
      </c>
      <c r="J69" s="314">
        <v>-242.2943333332</v>
      </c>
      <c r="K69" s="317">
        <v>0.80535154174800005</v>
      </c>
    </row>
    <row r="70" spans="1:11" ht="14.4" customHeight="1" thickBot="1" x14ac:dyDescent="0.35">
      <c r="A70" s="330" t="s">
        <v>268</v>
      </c>
      <c r="B70" s="308">
        <v>8967.9999999995107</v>
      </c>
      <c r="C70" s="308">
        <v>8883.884</v>
      </c>
      <c r="D70" s="309">
        <v>-84.115999999508006</v>
      </c>
      <c r="E70" s="310">
        <v>0.99062042818899998</v>
      </c>
      <c r="F70" s="308">
        <v>8658.9999999998399</v>
      </c>
      <c r="G70" s="309">
        <v>7215.8333333332002</v>
      </c>
      <c r="H70" s="311">
        <v>693.81299999999999</v>
      </c>
      <c r="I70" s="308">
        <v>6973.5389999999998</v>
      </c>
      <c r="J70" s="309">
        <v>-242.2943333332</v>
      </c>
      <c r="K70" s="312">
        <v>0.80535154174800005</v>
      </c>
    </row>
    <row r="71" spans="1:11" ht="14.4" customHeight="1" thickBot="1" x14ac:dyDescent="0.35">
      <c r="A71" s="329" t="s">
        <v>269</v>
      </c>
      <c r="B71" s="313">
        <v>0</v>
      </c>
      <c r="C71" s="313">
        <v>87.088999999999999</v>
      </c>
      <c r="D71" s="314">
        <v>87.088999999999999</v>
      </c>
      <c r="E71" s="320" t="s">
        <v>206</v>
      </c>
      <c r="F71" s="313">
        <v>27.999999999999002</v>
      </c>
      <c r="G71" s="314">
        <v>23.333333333332</v>
      </c>
      <c r="H71" s="316">
        <v>1.0409999999999999</v>
      </c>
      <c r="I71" s="313">
        <v>34.594999999999999</v>
      </c>
      <c r="J71" s="314">
        <v>11.261666666667001</v>
      </c>
      <c r="K71" s="317">
        <v>1.2355357142850001</v>
      </c>
    </row>
    <row r="72" spans="1:11" ht="14.4" customHeight="1" thickBot="1" x14ac:dyDescent="0.35">
      <c r="A72" s="330" t="s">
        <v>270</v>
      </c>
      <c r="B72" s="308">
        <v>0</v>
      </c>
      <c r="C72" s="308">
        <v>87.088999999999999</v>
      </c>
      <c r="D72" s="309">
        <v>87.088999999999999</v>
      </c>
      <c r="E72" s="318" t="s">
        <v>206</v>
      </c>
      <c r="F72" s="308">
        <v>27.999999999999002</v>
      </c>
      <c r="G72" s="309">
        <v>23.333333333332</v>
      </c>
      <c r="H72" s="311">
        <v>1.0409999999999999</v>
      </c>
      <c r="I72" s="308">
        <v>34.594999999999999</v>
      </c>
      <c r="J72" s="309">
        <v>11.261666666667001</v>
      </c>
      <c r="K72" s="312">
        <v>1.2355357142850001</v>
      </c>
    </row>
    <row r="73" spans="1:11" ht="14.4" customHeight="1" thickBot="1" x14ac:dyDescent="0.35">
      <c r="A73" s="328" t="s">
        <v>271</v>
      </c>
      <c r="B73" s="308">
        <v>3049.9967259502801</v>
      </c>
      <c r="C73" s="308">
        <v>3020.5060800000001</v>
      </c>
      <c r="D73" s="309">
        <v>-29.490645950280001</v>
      </c>
      <c r="E73" s="310">
        <v>0.99033092537400003</v>
      </c>
      <c r="F73" s="308">
        <v>2944.0579397544998</v>
      </c>
      <c r="G73" s="309">
        <v>2453.3816164620798</v>
      </c>
      <c r="H73" s="311">
        <v>235.89824999999999</v>
      </c>
      <c r="I73" s="308">
        <v>2370.9987500000002</v>
      </c>
      <c r="J73" s="309">
        <v>-82.382866462080997</v>
      </c>
      <c r="K73" s="312">
        <v>0.80535057343200001</v>
      </c>
    </row>
    <row r="74" spans="1:11" ht="14.4" customHeight="1" thickBot="1" x14ac:dyDescent="0.35">
      <c r="A74" s="329" t="s">
        <v>272</v>
      </c>
      <c r="B74" s="313">
        <v>806.99999378858797</v>
      </c>
      <c r="C74" s="313">
        <v>799.53499999999997</v>
      </c>
      <c r="D74" s="314">
        <v>-7.464993788588</v>
      </c>
      <c r="E74" s="315">
        <v>0.99074969783599998</v>
      </c>
      <c r="F74" s="313">
        <v>779.05793975454299</v>
      </c>
      <c r="G74" s="314">
        <v>649.21494979545298</v>
      </c>
      <c r="H74" s="316">
        <v>62.445</v>
      </c>
      <c r="I74" s="313">
        <v>627.61400000000003</v>
      </c>
      <c r="J74" s="314">
        <v>-21.600949795451999</v>
      </c>
      <c r="K74" s="317">
        <v>0.80560632011199995</v>
      </c>
    </row>
    <row r="75" spans="1:11" ht="14.4" customHeight="1" thickBot="1" x14ac:dyDescent="0.35">
      <c r="A75" s="330" t="s">
        <v>273</v>
      </c>
      <c r="B75" s="308">
        <v>806.99999378858797</v>
      </c>
      <c r="C75" s="308">
        <v>799.53499999999997</v>
      </c>
      <c r="D75" s="309">
        <v>-7.464993788588</v>
      </c>
      <c r="E75" s="310">
        <v>0.99074969783599998</v>
      </c>
      <c r="F75" s="308">
        <v>779.05793975454299</v>
      </c>
      <c r="G75" s="309">
        <v>649.21494979545298</v>
      </c>
      <c r="H75" s="311">
        <v>62.445</v>
      </c>
      <c r="I75" s="308">
        <v>627.61400000000003</v>
      </c>
      <c r="J75" s="309">
        <v>-21.600949795451999</v>
      </c>
      <c r="K75" s="312">
        <v>0.80560632011199995</v>
      </c>
    </row>
    <row r="76" spans="1:11" ht="14.4" customHeight="1" thickBot="1" x14ac:dyDescent="0.35">
      <c r="A76" s="329" t="s">
        <v>274</v>
      </c>
      <c r="B76" s="313">
        <v>2242.99673216169</v>
      </c>
      <c r="C76" s="313">
        <v>2220.9710799999998</v>
      </c>
      <c r="D76" s="314">
        <v>-22.025652161690999</v>
      </c>
      <c r="E76" s="315">
        <v>0.99018025668700005</v>
      </c>
      <c r="F76" s="313">
        <v>2164.99999999996</v>
      </c>
      <c r="G76" s="314">
        <v>1804.1666666666299</v>
      </c>
      <c r="H76" s="316">
        <v>173.45325</v>
      </c>
      <c r="I76" s="313">
        <v>1743.3847499999999</v>
      </c>
      <c r="J76" s="314">
        <v>-60.781916666629002</v>
      </c>
      <c r="K76" s="317">
        <v>0.80525854503399996</v>
      </c>
    </row>
    <row r="77" spans="1:11" ht="14.4" customHeight="1" thickBot="1" x14ac:dyDescent="0.35">
      <c r="A77" s="330" t="s">
        <v>275</v>
      </c>
      <c r="B77" s="308">
        <v>2242.99673216169</v>
      </c>
      <c r="C77" s="308">
        <v>2220.9710799999998</v>
      </c>
      <c r="D77" s="309">
        <v>-22.025652161690999</v>
      </c>
      <c r="E77" s="310">
        <v>0.99018025668700005</v>
      </c>
      <c r="F77" s="308">
        <v>2164.99999999996</v>
      </c>
      <c r="G77" s="309">
        <v>1804.1666666666299</v>
      </c>
      <c r="H77" s="311">
        <v>173.45325</v>
      </c>
      <c r="I77" s="308">
        <v>1743.3847499999999</v>
      </c>
      <c r="J77" s="309">
        <v>-60.781916666629002</v>
      </c>
      <c r="K77" s="312">
        <v>0.80525854503399996</v>
      </c>
    </row>
    <row r="78" spans="1:11" ht="14.4" customHeight="1" thickBot="1" x14ac:dyDescent="0.35">
      <c r="A78" s="328" t="s">
        <v>276</v>
      </c>
      <c r="B78" s="308">
        <v>89.999999999994998</v>
      </c>
      <c r="C78" s="308">
        <v>89.709649999999996</v>
      </c>
      <c r="D78" s="309">
        <v>-0.290349999995</v>
      </c>
      <c r="E78" s="310">
        <v>0.996773888888</v>
      </c>
      <c r="F78" s="308">
        <v>86.999999999997996</v>
      </c>
      <c r="G78" s="309">
        <v>72.499999999997996</v>
      </c>
      <c r="H78" s="311">
        <v>6.9488200000000004</v>
      </c>
      <c r="I78" s="308">
        <v>70.121139999999997</v>
      </c>
      <c r="J78" s="309">
        <v>-2.3788599999979998</v>
      </c>
      <c r="K78" s="312">
        <v>0.80599011494200001</v>
      </c>
    </row>
    <row r="79" spans="1:11" ht="14.4" customHeight="1" thickBot="1" x14ac:dyDescent="0.35">
      <c r="A79" s="329" t="s">
        <v>277</v>
      </c>
      <c r="B79" s="313">
        <v>89.999999999994998</v>
      </c>
      <c r="C79" s="313">
        <v>89.709649999999996</v>
      </c>
      <c r="D79" s="314">
        <v>-0.290349999995</v>
      </c>
      <c r="E79" s="315">
        <v>0.996773888888</v>
      </c>
      <c r="F79" s="313">
        <v>86.999999999997996</v>
      </c>
      <c r="G79" s="314">
        <v>72.499999999997996</v>
      </c>
      <c r="H79" s="316">
        <v>6.9488200000000004</v>
      </c>
      <c r="I79" s="313">
        <v>70.121139999999997</v>
      </c>
      <c r="J79" s="314">
        <v>-2.3788599999979998</v>
      </c>
      <c r="K79" s="317">
        <v>0.80599011494200001</v>
      </c>
    </row>
    <row r="80" spans="1:11" ht="14.4" customHeight="1" thickBot="1" x14ac:dyDescent="0.35">
      <c r="A80" s="330" t="s">
        <v>278</v>
      </c>
      <c r="B80" s="308">
        <v>89.999999999994998</v>
      </c>
      <c r="C80" s="308">
        <v>89.709649999999996</v>
      </c>
      <c r="D80" s="309">
        <v>-0.290349999995</v>
      </c>
      <c r="E80" s="310">
        <v>0.996773888888</v>
      </c>
      <c r="F80" s="308">
        <v>86.999999999997996</v>
      </c>
      <c r="G80" s="309">
        <v>72.499999999997996</v>
      </c>
      <c r="H80" s="311">
        <v>6.9488200000000004</v>
      </c>
      <c r="I80" s="308">
        <v>70.121139999999997</v>
      </c>
      <c r="J80" s="309">
        <v>-2.3788599999979998</v>
      </c>
      <c r="K80" s="312">
        <v>0.80599011494200001</v>
      </c>
    </row>
    <row r="81" spans="1:11" ht="14.4" customHeight="1" thickBot="1" x14ac:dyDescent="0.35">
      <c r="A81" s="327" t="s">
        <v>279</v>
      </c>
      <c r="B81" s="308">
        <v>0</v>
      </c>
      <c r="C81" s="308">
        <v>2.5</v>
      </c>
      <c r="D81" s="309">
        <v>2.5</v>
      </c>
      <c r="E81" s="318" t="s">
        <v>206</v>
      </c>
      <c r="F81" s="308">
        <v>0</v>
      </c>
      <c r="G81" s="309">
        <v>0</v>
      </c>
      <c r="H81" s="311">
        <v>1.1499999999999999</v>
      </c>
      <c r="I81" s="308">
        <v>4.9184400000000004</v>
      </c>
      <c r="J81" s="309">
        <v>4.9184400000000004</v>
      </c>
      <c r="K81" s="319" t="s">
        <v>206</v>
      </c>
    </row>
    <row r="82" spans="1:11" ht="14.4" customHeight="1" thickBot="1" x14ac:dyDescent="0.35">
      <c r="A82" s="328" t="s">
        <v>280</v>
      </c>
      <c r="B82" s="308">
        <v>0</v>
      </c>
      <c r="C82" s="308">
        <v>2.5</v>
      </c>
      <c r="D82" s="309">
        <v>2.5</v>
      </c>
      <c r="E82" s="318" t="s">
        <v>206</v>
      </c>
      <c r="F82" s="308">
        <v>0</v>
      </c>
      <c r="G82" s="309">
        <v>0</v>
      </c>
      <c r="H82" s="311">
        <v>1.1499999999999999</v>
      </c>
      <c r="I82" s="308">
        <v>4.9184400000000004</v>
      </c>
      <c r="J82" s="309">
        <v>4.9184400000000004</v>
      </c>
      <c r="K82" s="319" t="s">
        <v>206</v>
      </c>
    </row>
    <row r="83" spans="1:11" ht="14.4" customHeight="1" thickBot="1" x14ac:dyDescent="0.35">
      <c r="A83" s="329" t="s">
        <v>281</v>
      </c>
      <c r="B83" s="313">
        <v>0</v>
      </c>
      <c r="C83" s="313">
        <v>0</v>
      </c>
      <c r="D83" s="314">
        <v>0</v>
      </c>
      <c r="E83" s="315">
        <v>1</v>
      </c>
      <c r="F83" s="313">
        <v>0</v>
      </c>
      <c r="G83" s="314">
        <v>0</v>
      </c>
      <c r="H83" s="316">
        <v>0</v>
      </c>
      <c r="I83" s="313">
        <v>3.76844</v>
      </c>
      <c r="J83" s="314">
        <v>3.76844</v>
      </c>
      <c r="K83" s="321" t="s">
        <v>226</v>
      </c>
    </row>
    <row r="84" spans="1:11" ht="14.4" customHeight="1" thickBot="1" x14ac:dyDescent="0.35">
      <c r="A84" s="330" t="s">
        <v>282</v>
      </c>
      <c r="B84" s="308">
        <v>0</v>
      </c>
      <c r="C84" s="308">
        <v>0</v>
      </c>
      <c r="D84" s="309">
        <v>0</v>
      </c>
      <c r="E84" s="310">
        <v>1</v>
      </c>
      <c r="F84" s="308">
        <v>0</v>
      </c>
      <c r="G84" s="309">
        <v>0</v>
      </c>
      <c r="H84" s="311">
        <v>0</v>
      </c>
      <c r="I84" s="308">
        <v>3.76844</v>
      </c>
      <c r="J84" s="309">
        <v>3.76844</v>
      </c>
      <c r="K84" s="319" t="s">
        <v>226</v>
      </c>
    </row>
    <row r="85" spans="1:11" ht="14.4" customHeight="1" thickBot="1" x14ac:dyDescent="0.35">
      <c r="A85" s="332" t="s">
        <v>283</v>
      </c>
      <c r="B85" s="308">
        <v>0</v>
      </c>
      <c r="C85" s="308">
        <v>2.5</v>
      </c>
      <c r="D85" s="309">
        <v>2.5</v>
      </c>
      <c r="E85" s="318" t="s">
        <v>206</v>
      </c>
      <c r="F85" s="308">
        <v>0</v>
      </c>
      <c r="G85" s="309">
        <v>0</v>
      </c>
      <c r="H85" s="311">
        <v>1.1499999999999999</v>
      </c>
      <c r="I85" s="308">
        <v>1.1499999999999999</v>
      </c>
      <c r="J85" s="309">
        <v>1.1499999999999999</v>
      </c>
      <c r="K85" s="319" t="s">
        <v>206</v>
      </c>
    </row>
    <row r="86" spans="1:11" ht="14.4" customHeight="1" thickBot="1" x14ac:dyDescent="0.35">
      <c r="A86" s="330" t="s">
        <v>284</v>
      </c>
      <c r="B86" s="308">
        <v>0</v>
      </c>
      <c r="C86" s="308">
        <v>2.5</v>
      </c>
      <c r="D86" s="309">
        <v>2.5</v>
      </c>
      <c r="E86" s="318" t="s">
        <v>206</v>
      </c>
      <c r="F86" s="308">
        <v>0</v>
      </c>
      <c r="G86" s="309">
        <v>0</v>
      </c>
      <c r="H86" s="311">
        <v>1.1499999999999999</v>
      </c>
      <c r="I86" s="308">
        <v>1.1499999999999999</v>
      </c>
      <c r="J86" s="309">
        <v>1.1499999999999999</v>
      </c>
      <c r="K86" s="319" t="s">
        <v>206</v>
      </c>
    </row>
    <row r="87" spans="1:11" ht="14.4" customHeight="1" thickBot="1" x14ac:dyDescent="0.35">
      <c r="A87" s="327" t="s">
        <v>285</v>
      </c>
      <c r="B87" s="308">
        <v>3383.9999999998099</v>
      </c>
      <c r="C87" s="308">
        <v>3581.8290000000002</v>
      </c>
      <c r="D87" s="309">
        <v>197.829000000186</v>
      </c>
      <c r="E87" s="310">
        <v>1.0584601063829999</v>
      </c>
      <c r="F87" s="308">
        <v>3452.6328789055901</v>
      </c>
      <c r="G87" s="309">
        <v>2877.1940657546602</v>
      </c>
      <c r="H87" s="311">
        <v>300.673</v>
      </c>
      <c r="I87" s="308">
        <v>3006.3150000000001</v>
      </c>
      <c r="J87" s="309">
        <v>129.12093424534001</v>
      </c>
      <c r="K87" s="312">
        <v>0.87073115081700003</v>
      </c>
    </row>
    <row r="88" spans="1:11" ht="14.4" customHeight="1" thickBot="1" x14ac:dyDescent="0.35">
      <c r="A88" s="328" t="s">
        <v>286</v>
      </c>
      <c r="B88" s="308">
        <v>3383.9999999998099</v>
      </c>
      <c r="C88" s="308">
        <v>3581.8290000000002</v>
      </c>
      <c r="D88" s="309">
        <v>197.829000000186</v>
      </c>
      <c r="E88" s="310">
        <v>1.0584601063829999</v>
      </c>
      <c r="F88" s="308">
        <v>3452.6328789055901</v>
      </c>
      <c r="G88" s="309">
        <v>2877.1940657546602</v>
      </c>
      <c r="H88" s="311">
        <v>300.673</v>
      </c>
      <c r="I88" s="308">
        <v>3006.3150000000001</v>
      </c>
      <c r="J88" s="309">
        <v>129.12093424534001</v>
      </c>
      <c r="K88" s="312">
        <v>0.87073115081700003</v>
      </c>
    </row>
    <row r="89" spans="1:11" ht="14.4" customHeight="1" thickBot="1" x14ac:dyDescent="0.35">
      <c r="A89" s="329" t="s">
        <v>287</v>
      </c>
      <c r="B89" s="313">
        <v>3383.9999999998099</v>
      </c>
      <c r="C89" s="313">
        <v>3543.0639999999999</v>
      </c>
      <c r="D89" s="314">
        <v>159.06400000018601</v>
      </c>
      <c r="E89" s="315">
        <v>1.0470047281320001</v>
      </c>
      <c r="F89" s="313">
        <v>3452.6328789055901</v>
      </c>
      <c r="G89" s="314">
        <v>2877.1940657546602</v>
      </c>
      <c r="H89" s="316">
        <v>300.673</v>
      </c>
      <c r="I89" s="313">
        <v>3006.3150000000001</v>
      </c>
      <c r="J89" s="314">
        <v>129.12093424534001</v>
      </c>
      <c r="K89" s="317">
        <v>0.87073115081700003</v>
      </c>
    </row>
    <row r="90" spans="1:11" ht="14.4" customHeight="1" thickBot="1" x14ac:dyDescent="0.35">
      <c r="A90" s="330" t="s">
        <v>288</v>
      </c>
      <c r="B90" s="308">
        <v>55.999999999996</v>
      </c>
      <c r="C90" s="308">
        <v>95.11</v>
      </c>
      <c r="D90" s="309">
        <v>39.110000000002998</v>
      </c>
      <c r="E90" s="310">
        <v>1.6983928571419999</v>
      </c>
      <c r="F90" s="308">
        <v>102.6392782209</v>
      </c>
      <c r="G90" s="309">
        <v>85.532731850749997</v>
      </c>
      <c r="H90" s="311">
        <v>8.69</v>
      </c>
      <c r="I90" s="308">
        <v>86.42</v>
      </c>
      <c r="J90" s="309">
        <v>0.88726814924899999</v>
      </c>
      <c r="K90" s="312">
        <v>0.84197786167199995</v>
      </c>
    </row>
    <row r="91" spans="1:11" ht="14.4" customHeight="1" thickBot="1" x14ac:dyDescent="0.35">
      <c r="A91" s="330" t="s">
        <v>289</v>
      </c>
      <c r="B91" s="308">
        <v>1333.99999999993</v>
      </c>
      <c r="C91" s="308">
        <v>1310.7850000000001</v>
      </c>
      <c r="D91" s="309">
        <v>-23.214999999926</v>
      </c>
      <c r="E91" s="310">
        <v>0.982597451274</v>
      </c>
      <c r="F91" s="308">
        <v>1180.99999999998</v>
      </c>
      <c r="G91" s="309">
        <v>984.16666666664901</v>
      </c>
      <c r="H91" s="311">
        <v>110.027</v>
      </c>
      <c r="I91" s="308">
        <v>1100.337</v>
      </c>
      <c r="J91" s="309">
        <v>116.170333333352</v>
      </c>
      <c r="K91" s="312">
        <v>0.93169940728099998</v>
      </c>
    </row>
    <row r="92" spans="1:11" ht="14.4" customHeight="1" thickBot="1" x14ac:dyDescent="0.35">
      <c r="A92" s="330" t="s">
        <v>290</v>
      </c>
      <c r="B92" s="308">
        <v>197.999999999989</v>
      </c>
      <c r="C92" s="308">
        <v>197.49600000000001</v>
      </c>
      <c r="D92" s="309">
        <v>-0.50399999998800005</v>
      </c>
      <c r="E92" s="310">
        <v>0.99745454545400003</v>
      </c>
      <c r="F92" s="308">
        <v>198.001656558588</v>
      </c>
      <c r="G92" s="309">
        <v>165.00138046549</v>
      </c>
      <c r="H92" s="311">
        <v>16.457999999999998</v>
      </c>
      <c r="I92" s="308">
        <v>164.58</v>
      </c>
      <c r="J92" s="309">
        <v>-0.42138046548899999</v>
      </c>
      <c r="K92" s="312">
        <v>0.83120516696900004</v>
      </c>
    </row>
    <row r="93" spans="1:11" ht="14.4" customHeight="1" thickBot="1" x14ac:dyDescent="0.35">
      <c r="A93" s="330" t="s">
        <v>291</v>
      </c>
      <c r="B93" s="308">
        <v>462.99999999997499</v>
      </c>
      <c r="C93" s="308">
        <v>607.58600000000001</v>
      </c>
      <c r="D93" s="309">
        <v>144.58600000002599</v>
      </c>
      <c r="E93" s="310">
        <v>1.312280777537</v>
      </c>
      <c r="F93" s="308">
        <v>653.99194412615202</v>
      </c>
      <c r="G93" s="309">
        <v>544.99328677179301</v>
      </c>
      <c r="H93" s="311">
        <v>54.515000000000001</v>
      </c>
      <c r="I93" s="308">
        <v>545.09799999999996</v>
      </c>
      <c r="J93" s="309">
        <v>0.104713228206</v>
      </c>
      <c r="K93" s="312">
        <v>0.83349344727499997</v>
      </c>
    </row>
    <row r="94" spans="1:11" ht="14.4" customHeight="1" thickBot="1" x14ac:dyDescent="0.35">
      <c r="A94" s="330" t="s">
        <v>292</v>
      </c>
      <c r="B94" s="308">
        <v>1219.99999999993</v>
      </c>
      <c r="C94" s="308">
        <v>1218.8989999999999</v>
      </c>
      <c r="D94" s="309">
        <v>-1.1009999999319999</v>
      </c>
      <c r="E94" s="310">
        <v>0.99909754098299997</v>
      </c>
      <c r="F94" s="308">
        <v>1203.99999999998</v>
      </c>
      <c r="G94" s="309">
        <v>1003.33333333332</v>
      </c>
      <c r="H94" s="311">
        <v>101.554</v>
      </c>
      <c r="I94" s="308">
        <v>1015.571</v>
      </c>
      <c r="J94" s="309">
        <v>12.237666666685</v>
      </c>
      <c r="K94" s="312">
        <v>0.84349750830500003</v>
      </c>
    </row>
    <row r="95" spans="1:11" ht="14.4" customHeight="1" thickBot="1" x14ac:dyDescent="0.35">
      <c r="A95" s="330" t="s">
        <v>293</v>
      </c>
      <c r="B95" s="308">
        <v>112.999999999994</v>
      </c>
      <c r="C95" s="308">
        <v>113.188</v>
      </c>
      <c r="D95" s="309">
        <v>0.18800000000600001</v>
      </c>
      <c r="E95" s="310">
        <v>1.0016637168139999</v>
      </c>
      <c r="F95" s="308">
        <v>112.999999999998</v>
      </c>
      <c r="G95" s="309">
        <v>94.166666666664</v>
      </c>
      <c r="H95" s="311">
        <v>9.4290000000000003</v>
      </c>
      <c r="I95" s="308">
        <v>94.308999999999997</v>
      </c>
      <c r="J95" s="309">
        <v>0.14233333333500001</v>
      </c>
      <c r="K95" s="312">
        <v>0.83459292035300003</v>
      </c>
    </row>
    <row r="96" spans="1:11" ht="14.4" customHeight="1" thickBot="1" x14ac:dyDescent="0.35">
      <c r="A96" s="329" t="s">
        <v>294</v>
      </c>
      <c r="B96" s="313">
        <v>0</v>
      </c>
      <c r="C96" s="313">
        <v>38.765000000000001</v>
      </c>
      <c r="D96" s="314">
        <v>38.765000000000001</v>
      </c>
      <c r="E96" s="320" t="s">
        <v>206</v>
      </c>
      <c r="F96" s="313">
        <v>0</v>
      </c>
      <c r="G96" s="314">
        <v>0</v>
      </c>
      <c r="H96" s="316">
        <v>0</v>
      </c>
      <c r="I96" s="313">
        <v>0</v>
      </c>
      <c r="J96" s="314">
        <v>0</v>
      </c>
      <c r="K96" s="321" t="s">
        <v>206</v>
      </c>
    </row>
    <row r="97" spans="1:11" ht="14.4" customHeight="1" thickBot="1" x14ac:dyDescent="0.35">
      <c r="A97" s="330" t="s">
        <v>295</v>
      </c>
      <c r="B97" s="308">
        <v>0</v>
      </c>
      <c r="C97" s="308">
        <v>38.228000000000002</v>
      </c>
      <c r="D97" s="309">
        <v>38.228000000000002</v>
      </c>
      <c r="E97" s="318" t="s">
        <v>206</v>
      </c>
      <c r="F97" s="308">
        <v>0</v>
      </c>
      <c r="G97" s="309">
        <v>0</v>
      </c>
      <c r="H97" s="311">
        <v>0</v>
      </c>
      <c r="I97" s="308">
        <v>0</v>
      </c>
      <c r="J97" s="309">
        <v>0</v>
      </c>
      <c r="K97" s="319" t="s">
        <v>206</v>
      </c>
    </row>
    <row r="98" spans="1:11" ht="14.4" customHeight="1" thickBot="1" x14ac:dyDescent="0.35">
      <c r="A98" s="330" t="s">
        <v>296</v>
      </c>
      <c r="B98" s="308">
        <v>0</v>
      </c>
      <c r="C98" s="308">
        <v>0.53700000000000003</v>
      </c>
      <c r="D98" s="309">
        <v>0.53700000000000003</v>
      </c>
      <c r="E98" s="318" t="s">
        <v>226</v>
      </c>
      <c r="F98" s="308">
        <v>0</v>
      </c>
      <c r="G98" s="309">
        <v>0</v>
      </c>
      <c r="H98" s="311">
        <v>0</v>
      </c>
      <c r="I98" s="308">
        <v>0</v>
      </c>
      <c r="J98" s="309">
        <v>0</v>
      </c>
      <c r="K98" s="319" t="s">
        <v>206</v>
      </c>
    </row>
    <row r="99" spans="1:11" ht="14.4" customHeight="1" thickBot="1" x14ac:dyDescent="0.35">
      <c r="A99" s="326" t="s">
        <v>297</v>
      </c>
      <c r="B99" s="308">
        <v>499.60723830180098</v>
      </c>
      <c r="C99" s="308">
        <v>468.11410000000001</v>
      </c>
      <c r="D99" s="309">
        <v>-31.493138301801</v>
      </c>
      <c r="E99" s="310">
        <v>0.93696420730600005</v>
      </c>
      <c r="F99" s="308">
        <v>57.643769083571001</v>
      </c>
      <c r="G99" s="309">
        <v>48.036474236308997</v>
      </c>
      <c r="H99" s="311">
        <v>9.4956700000000005</v>
      </c>
      <c r="I99" s="308">
        <v>56.6599</v>
      </c>
      <c r="J99" s="309">
        <v>8.6234257636899994</v>
      </c>
      <c r="K99" s="312">
        <v>0.98293190921999996</v>
      </c>
    </row>
    <row r="100" spans="1:11" ht="14.4" customHeight="1" thickBot="1" x14ac:dyDescent="0.35">
      <c r="A100" s="327" t="s">
        <v>298</v>
      </c>
      <c r="B100" s="308">
        <v>499.60723830180098</v>
      </c>
      <c r="C100" s="308">
        <v>468.11410000000001</v>
      </c>
      <c r="D100" s="309">
        <v>-31.493138301801</v>
      </c>
      <c r="E100" s="310">
        <v>0.93696420730600005</v>
      </c>
      <c r="F100" s="308">
        <v>57.643769083571001</v>
      </c>
      <c r="G100" s="309">
        <v>48.036474236308997</v>
      </c>
      <c r="H100" s="311">
        <v>9.4956700000000005</v>
      </c>
      <c r="I100" s="308">
        <v>56.6599</v>
      </c>
      <c r="J100" s="309">
        <v>8.6234257636899994</v>
      </c>
      <c r="K100" s="312">
        <v>0.98293190921999996</v>
      </c>
    </row>
    <row r="101" spans="1:11" ht="14.4" customHeight="1" thickBot="1" x14ac:dyDescent="0.35">
      <c r="A101" s="328" t="s">
        <v>299</v>
      </c>
      <c r="B101" s="308">
        <v>445.566204785953</v>
      </c>
      <c r="C101" s="308">
        <v>408.60268000000002</v>
      </c>
      <c r="D101" s="309">
        <v>-36.963524785952998</v>
      </c>
      <c r="E101" s="310">
        <v>0.91704145334800002</v>
      </c>
      <c r="F101" s="308">
        <v>0</v>
      </c>
      <c r="G101" s="309">
        <v>0</v>
      </c>
      <c r="H101" s="311">
        <v>0</v>
      </c>
      <c r="I101" s="308">
        <v>0</v>
      </c>
      <c r="J101" s="309">
        <v>0</v>
      </c>
      <c r="K101" s="319" t="s">
        <v>206</v>
      </c>
    </row>
    <row r="102" spans="1:11" ht="14.4" customHeight="1" thickBot="1" x14ac:dyDescent="0.35">
      <c r="A102" s="329" t="s">
        <v>300</v>
      </c>
      <c r="B102" s="313">
        <v>445.566204785953</v>
      </c>
      <c r="C102" s="313">
        <v>408.60268000000002</v>
      </c>
      <c r="D102" s="314">
        <v>-36.963524785952998</v>
      </c>
      <c r="E102" s="315">
        <v>0.91704145334800002</v>
      </c>
      <c r="F102" s="313">
        <v>0</v>
      </c>
      <c r="G102" s="314">
        <v>0</v>
      </c>
      <c r="H102" s="316">
        <v>0</v>
      </c>
      <c r="I102" s="313">
        <v>0</v>
      </c>
      <c r="J102" s="314">
        <v>0</v>
      </c>
      <c r="K102" s="321" t="s">
        <v>206</v>
      </c>
    </row>
    <row r="103" spans="1:11" ht="14.4" customHeight="1" thickBot="1" x14ac:dyDescent="0.35">
      <c r="A103" s="330" t="s">
        <v>301</v>
      </c>
      <c r="B103" s="308">
        <v>0</v>
      </c>
      <c r="C103" s="308">
        <v>378.87700000000001</v>
      </c>
      <c r="D103" s="309">
        <v>378.87700000000001</v>
      </c>
      <c r="E103" s="318" t="s">
        <v>206</v>
      </c>
      <c r="F103" s="308">
        <v>0</v>
      </c>
      <c r="G103" s="309">
        <v>0</v>
      </c>
      <c r="H103" s="311">
        <v>0</v>
      </c>
      <c r="I103" s="308">
        <v>0</v>
      </c>
      <c r="J103" s="309">
        <v>0</v>
      </c>
      <c r="K103" s="319" t="s">
        <v>206</v>
      </c>
    </row>
    <row r="104" spans="1:11" ht="14.4" customHeight="1" thickBot="1" x14ac:dyDescent="0.35">
      <c r="A104" s="330" t="s">
        <v>302</v>
      </c>
      <c r="B104" s="308">
        <v>0</v>
      </c>
      <c r="C104" s="308">
        <v>14.081</v>
      </c>
      <c r="D104" s="309">
        <v>14.081</v>
      </c>
      <c r="E104" s="318" t="s">
        <v>206</v>
      </c>
      <c r="F104" s="308">
        <v>0</v>
      </c>
      <c r="G104" s="309">
        <v>0</v>
      </c>
      <c r="H104" s="311">
        <v>0</v>
      </c>
      <c r="I104" s="308">
        <v>0</v>
      </c>
      <c r="J104" s="309">
        <v>0</v>
      </c>
      <c r="K104" s="319" t="s">
        <v>206</v>
      </c>
    </row>
    <row r="105" spans="1:11" ht="14.4" customHeight="1" thickBot="1" x14ac:dyDescent="0.35">
      <c r="A105" s="330" t="s">
        <v>303</v>
      </c>
      <c r="B105" s="308">
        <v>0</v>
      </c>
      <c r="C105" s="308">
        <v>1.0705100000000001</v>
      </c>
      <c r="D105" s="309">
        <v>1.0705100000000001</v>
      </c>
      <c r="E105" s="318" t="s">
        <v>206</v>
      </c>
      <c r="F105" s="308">
        <v>0</v>
      </c>
      <c r="G105" s="309">
        <v>0</v>
      </c>
      <c r="H105" s="311">
        <v>0</v>
      </c>
      <c r="I105" s="308">
        <v>0</v>
      </c>
      <c r="J105" s="309">
        <v>0</v>
      </c>
      <c r="K105" s="319" t="s">
        <v>206</v>
      </c>
    </row>
    <row r="106" spans="1:11" ht="14.4" customHeight="1" thickBot="1" x14ac:dyDescent="0.35">
      <c r="A106" s="330" t="s">
        <v>304</v>
      </c>
      <c r="B106" s="308">
        <v>0</v>
      </c>
      <c r="C106" s="308">
        <v>14.574170000000001</v>
      </c>
      <c r="D106" s="309">
        <v>14.574170000000001</v>
      </c>
      <c r="E106" s="318" t="s">
        <v>206</v>
      </c>
      <c r="F106" s="308">
        <v>0</v>
      </c>
      <c r="G106" s="309">
        <v>0</v>
      </c>
      <c r="H106" s="311">
        <v>0</v>
      </c>
      <c r="I106" s="308">
        <v>0</v>
      </c>
      <c r="J106" s="309">
        <v>0</v>
      </c>
      <c r="K106" s="319" t="s">
        <v>206</v>
      </c>
    </row>
    <row r="107" spans="1:11" ht="14.4" customHeight="1" thickBot="1" x14ac:dyDescent="0.35">
      <c r="A107" s="333" t="s">
        <v>305</v>
      </c>
      <c r="B107" s="313">
        <v>54.041033515848</v>
      </c>
      <c r="C107" s="313">
        <v>59.511420000000001</v>
      </c>
      <c r="D107" s="314">
        <v>5.4703864841519998</v>
      </c>
      <c r="E107" s="315">
        <v>1.1012265333989999</v>
      </c>
      <c r="F107" s="313">
        <v>57.643769083571001</v>
      </c>
      <c r="G107" s="314">
        <v>48.036474236308997</v>
      </c>
      <c r="H107" s="316">
        <v>9.4956700000000005</v>
      </c>
      <c r="I107" s="313">
        <v>56.6599</v>
      </c>
      <c r="J107" s="314">
        <v>8.6234257636899994</v>
      </c>
      <c r="K107" s="317">
        <v>0.98293190921999996</v>
      </c>
    </row>
    <row r="108" spans="1:11" ht="14.4" customHeight="1" thickBot="1" x14ac:dyDescent="0.35">
      <c r="A108" s="329" t="s">
        <v>306</v>
      </c>
      <c r="B108" s="313">
        <v>0</v>
      </c>
      <c r="C108" s="313">
        <v>1.89E-3</v>
      </c>
      <c r="D108" s="314">
        <v>1.89E-3</v>
      </c>
      <c r="E108" s="320" t="s">
        <v>206</v>
      </c>
      <c r="F108" s="313">
        <v>0</v>
      </c>
      <c r="G108" s="314">
        <v>0</v>
      </c>
      <c r="H108" s="316">
        <v>-1.1800000000000001E-3</v>
      </c>
      <c r="I108" s="313">
        <v>-2.8E-3</v>
      </c>
      <c r="J108" s="314">
        <v>-2.8E-3</v>
      </c>
      <c r="K108" s="321" t="s">
        <v>206</v>
      </c>
    </row>
    <row r="109" spans="1:11" ht="14.4" customHeight="1" thickBot="1" x14ac:dyDescent="0.35">
      <c r="A109" s="330" t="s">
        <v>307</v>
      </c>
      <c r="B109" s="308">
        <v>0</v>
      </c>
      <c r="C109" s="308">
        <v>1.89E-3</v>
      </c>
      <c r="D109" s="309">
        <v>1.89E-3</v>
      </c>
      <c r="E109" s="318" t="s">
        <v>206</v>
      </c>
      <c r="F109" s="308">
        <v>0</v>
      </c>
      <c r="G109" s="309">
        <v>0</v>
      </c>
      <c r="H109" s="311">
        <v>-1.1800000000000001E-3</v>
      </c>
      <c r="I109" s="308">
        <v>-2.8E-3</v>
      </c>
      <c r="J109" s="309">
        <v>-2.8E-3</v>
      </c>
      <c r="K109" s="319" t="s">
        <v>206</v>
      </c>
    </row>
    <row r="110" spans="1:11" ht="14.4" customHeight="1" thickBot="1" x14ac:dyDescent="0.35">
      <c r="A110" s="329" t="s">
        <v>308</v>
      </c>
      <c r="B110" s="313">
        <v>54.041033515848</v>
      </c>
      <c r="C110" s="313">
        <v>59.509529999999998</v>
      </c>
      <c r="D110" s="314">
        <v>5.4684964841520003</v>
      </c>
      <c r="E110" s="315">
        <v>1.101191559975</v>
      </c>
      <c r="F110" s="313">
        <v>57.643769083571001</v>
      </c>
      <c r="G110" s="314">
        <v>48.036474236308997</v>
      </c>
      <c r="H110" s="316">
        <v>9.4968500000000002</v>
      </c>
      <c r="I110" s="313">
        <v>56.662700000000001</v>
      </c>
      <c r="J110" s="314">
        <v>8.6262257636899999</v>
      </c>
      <c r="K110" s="317">
        <v>0.98298048342099997</v>
      </c>
    </row>
    <row r="111" spans="1:11" ht="14.4" customHeight="1" thickBot="1" x14ac:dyDescent="0.35">
      <c r="A111" s="330" t="s">
        <v>309</v>
      </c>
      <c r="B111" s="308">
        <v>0</v>
      </c>
      <c r="C111" s="308">
        <v>0.502</v>
      </c>
      <c r="D111" s="309">
        <v>0.502</v>
      </c>
      <c r="E111" s="318" t="s">
        <v>206</v>
      </c>
      <c r="F111" s="308">
        <v>0</v>
      </c>
      <c r="G111" s="309">
        <v>0</v>
      </c>
      <c r="H111" s="311">
        <v>0</v>
      </c>
      <c r="I111" s="308">
        <v>0.42899999999999999</v>
      </c>
      <c r="J111" s="309">
        <v>0.42899999999999999</v>
      </c>
      <c r="K111" s="319" t="s">
        <v>206</v>
      </c>
    </row>
    <row r="112" spans="1:11" ht="14.4" customHeight="1" thickBot="1" x14ac:dyDescent="0.35">
      <c r="A112" s="330" t="s">
        <v>310</v>
      </c>
      <c r="B112" s="308">
        <v>54.041033515848</v>
      </c>
      <c r="C112" s="308">
        <v>59.007530000000003</v>
      </c>
      <c r="D112" s="309">
        <v>4.9664964841519996</v>
      </c>
      <c r="E112" s="310">
        <v>1.0919023223840001</v>
      </c>
      <c r="F112" s="308">
        <v>57.643769083571001</v>
      </c>
      <c r="G112" s="309">
        <v>48.036474236308997</v>
      </c>
      <c r="H112" s="311">
        <v>9.4968500000000002</v>
      </c>
      <c r="I112" s="308">
        <v>56.233699999999999</v>
      </c>
      <c r="J112" s="309">
        <v>8.1972257636899997</v>
      </c>
      <c r="K112" s="312">
        <v>0.97553822197899998</v>
      </c>
    </row>
    <row r="113" spans="1:11" ht="14.4" customHeight="1" thickBot="1" x14ac:dyDescent="0.35">
      <c r="A113" s="326" t="s">
        <v>311</v>
      </c>
      <c r="B113" s="308">
        <v>2361.7737989417201</v>
      </c>
      <c r="C113" s="308">
        <v>1914.80873</v>
      </c>
      <c r="D113" s="309">
        <v>-446.96506894171603</v>
      </c>
      <c r="E113" s="310">
        <v>0.810750263576</v>
      </c>
      <c r="F113" s="308">
        <v>2114.0038276155401</v>
      </c>
      <c r="G113" s="309">
        <v>1761.6698563462801</v>
      </c>
      <c r="H113" s="311">
        <v>159.68107000000001</v>
      </c>
      <c r="I113" s="308">
        <v>1507.0304799999999</v>
      </c>
      <c r="J113" s="309">
        <v>-254.63937634627999</v>
      </c>
      <c r="K113" s="312">
        <v>0.71287973101699997</v>
      </c>
    </row>
    <row r="114" spans="1:11" ht="14.4" customHeight="1" thickBot="1" x14ac:dyDescent="0.35">
      <c r="A114" s="331" t="s">
        <v>312</v>
      </c>
      <c r="B114" s="313">
        <v>2361.7737989417201</v>
      </c>
      <c r="C114" s="313">
        <v>1914.80873</v>
      </c>
      <c r="D114" s="314">
        <v>-446.96506894171603</v>
      </c>
      <c r="E114" s="315">
        <v>0.810750263576</v>
      </c>
      <c r="F114" s="313">
        <v>2114.0038276155401</v>
      </c>
      <c r="G114" s="314">
        <v>1761.6698563462801</v>
      </c>
      <c r="H114" s="316">
        <v>159.68107000000001</v>
      </c>
      <c r="I114" s="313">
        <v>1507.0304799999999</v>
      </c>
      <c r="J114" s="314">
        <v>-254.63937634627999</v>
      </c>
      <c r="K114" s="317">
        <v>0.71287973101699997</v>
      </c>
    </row>
    <row r="115" spans="1:11" ht="14.4" customHeight="1" thickBot="1" x14ac:dyDescent="0.35">
      <c r="A115" s="333" t="s">
        <v>38</v>
      </c>
      <c r="B115" s="313">
        <v>2361.7737989417201</v>
      </c>
      <c r="C115" s="313">
        <v>1914.80873</v>
      </c>
      <c r="D115" s="314">
        <v>-446.96506894171603</v>
      </c>
      <c r="E115" s="315">
        <v>0.810750263576</v>
      </c>
      <c r="F115" s="313">
        <v>2114.0038276155401</v>
      </c>
      <c r="G115" s="314">
        <v>1761.6698563462801</v>
      </c>
      <c r="H115" s="316">
        <v>159.68107000000001</v>
      </c>
      <c r="I115" s="313">
        <v>1507.0304799999999</v>
      </c>
      <c r="J115" s="314">
        <v>-254.63937634627999</v>
      </c>
      <c r="K115" s="317">
        <v>0.71287973101699997</v>
      </c>
    </row>
    <row r="116" spans="1:11" ht="14.4" customHeight="1" thickBot="1" x14ac:dyDescent="0.35">
      <c r="A116" s="329" t="s">
        <v>313</v>
      </c>
      <c r="B116" s="313">
        <v>34.999999999998998</v>
      </c>
      <c r="C116" s="313">
        <v>15.246</v>
      </c>
      <c r="D116" s="314">
        <v>-19.753999999998999</v>
      </c>
      <c r="E116" s="315">
        <v>0.43559999999999999</v>
      </c>
      <c r="F116" s="313">
        <v>35</v>
      </c>
      <c r="G116" s="314">
        <v>29.166666666666</v>
      </c>
      <c r="H116" s="316">
        <v>1.2705</v>
      </c>
      <c r="I116" s="313">
        <v>12.705</v>
      </c>
      <c r="J116" s="314">
        <v>-16.461666666666002</v>
      </c>
      <c r="K116" s="317">
        <v>0.36299999999999999</v>
      </c>
    </row>
    <row r="117" spans="1:11" ht="14.4" customHeight="1" thickBot="1" x14ac:dyDescent="0.35">
      <c r="A117" s="330" t="s">
        <v>314</v>
      </c>
      <c r="B117" s="308">
        <v>34.999999999998998</v>
      </c>
      <c r="C117" s="308">
        <v>15.246</v>
      </c>
      <c r="D117" s="309">
        <v>-19.753999999998999</v>
      </c>
      <c r="E117" s="310">
        <v>0.43559999999999999</v>
      </c>
      <c r="F117" s="308">
        <v>35</v>
      </c>
      <c r="G117" s="309">
        <v>29.166666666666</v>
      </c>
      <c r="H117" s="311">
        <v>1.2705</v>
      </c>
      <c r="I117" s="308">
        <v>12.705</v>
      </c>
      <c r="J117" s="309">
        <v>-16.461666666666002</v>
      </c>
      <c r="K117" s="312">
        <v>0.36299999999999999</v>
      </c>
    </row>
    <row r="118" spans="1:11" ht="14.4" customHeight="1" thickBot="1" x14ac:dyDescent="0.35">
      <c r="A118" s="329" t="s">
        <v>315</v>
      </c>
      <c r="B118" s="313">
        <v>43.240518482955999</v>
      </c>
      <c r="C118" s="313">
        <v>25.195</v>
      </c>
      <c r="D118" s="314">
        <v>-18.045518482955998</v>
      </c>
      <c r="E118" s="315">
        <v>0.58267108915200005</v>
      </c>
      <c r="F118" s="313">
        <v>27.003827615536999</v>
      </c>
      <c r="G118" s="314">
        <v>22.503189679614</v>
      </c>
      <c r="H118" s="316">
        <v>1.1759999999999999</v>
      </c>
      <c r="I118" s="313">
        <v>19.6585</v>
      </c>
      <c r="J118" s="314">
        <v>-2.844689679614</v>
      </c>
      <c r="K118" s="317">
        <v>0.72798939023999998</v>
      </c>
    </row>
    <row r="119" spans="1:11" ht="14.4" customHeight="1" thickBot="1" x14ac:dyDescent="0.35">
      <c r="A119" s="330" t="s">
        <v>316</v>
      </c>
      <c r="B119" s="308">
        <v>43.240518482955999</v>
      </c>
      <c r="C119" s="308">
        <v>25.195</v>
      </c>
      <c r="D119" s="309">
        <v>-18.045518482955998</v>
      </c>
      <c r="E119" s="310">
        <v>0.58267108915200005</v>
      </c>
      <c r="F119" s="308">
        <v>27.003827615536999</v>
      </c>
      <c r="G119" s="309">
        <v>22.503189679614</v>
      </c>
      <c r="H119" s="311">
        <v>1.1759999999999999</v>
      </c>
      <c r="I119" s="308">
        <v>19.6585</v>
      </c>
      <c r="J119" s="309">
        <v>-2.844689679614</v>
      </c>
      <c r="K119" s="312">
        <v>0.72798939023999998</v>
      </c>
    </row>
    <row r="120" spans="1:11" ht="14.4" customHeight="1" thickBot="1" x14ac:dyDescent="0.35">
      <c r="A120" s="329" t="s">
        <v>317</v>
      </c>
      <c r="B120" s="313">
        <v>389.533280458783</v>
      </c>
      <c r="C120" s="313">
        <v>383.63260000000002</v>
      </c>
      <c r="D120" s="314">
        <v>-5.9006804587830004</v>
      </c>
      <c r="E120" s="315">
        <v>0.98485192214600004</v>
      </c>
      <c r="F120" s="313">
        <v>421</v>
      </c>
      <c r="G120" s="314">
        <v>350.83333333333297</v>
      </c>
      <c r="H120" s="316">
        <v>17.34496</v>
      </c>
      <c r="I120" s="313">
        <v>200.19556</v>
      </c>
      <c r="J120" s="314">
        <v>-150.637773333333</v>
      </c>
      <c r="K120" s="317">
        <v>0.47552389548599999</v>
      </c>
    </row>
    <row r="121" spans="1:11" ht="14.4" customHeight="1" thickBot="1" x14ac:dyDescent="0.35">
      <c r="A121" s="330" t="s">
        <v>318</v>
      </c>
      <c r="B121" s="308">
        <v>389.533280458783</v>
      </c>
      <c r="C121" s="308">
        <v>383.63260000000002</v>
      </c>
      <c r="D121" s="309">
        <v>-5.9006804587830004</v>
      </c>
      <c r="E121" s="310">
        <v>0.98485192214600004</v>
      </c>
      <c r="F121" s="308">
        <v>421</v>
      </c>
      <c r="G121" s="309">
        <v>350.83333333333297</v>
      </c>
      <c r="H121" s="311">
        <v>17.34496</v>
      </c>
      <c r="I121" s="308">
        <v>200.19556</v>
      </c>
      <c r="J121" s="309">
        <v>-150.637773333333</v>
      </c>
      <c r="K121" s="312">
        <v>0.47552389548599999</v>
      </c>
    </row>
    <row r="122" spans="1:11" ht="14.4" customHeight="1" thickBot="1" x14ac:dyDescent="0.35">
      <c r="A122" s="329" t="s">
        <v>319</v>
      </c>
      <c r="B122" s="313">
        <v>247.99999999999699</v>
      </c>
      <c r="C122" s="313">
        <v>220.27691999999999</v>
      </c>
      <c r="D122" s="314">
        <v>-27.723079999995999</v>
      </c>
      <c r="E122" s="315">
        <v>0.88821338709599995</v>
      </c>
      <c r="F122" s="313">
        <v>306</v>
      </c>
      <c r="G122" s="314">
        <v>255</v>
      </c>
      <c r="H122" s="316">
        <v>21.95309</v>
      </c>
      <c r="I122" s="313">
        <v>214.38210000000001</v>
      </c>
      <c r="J122" s="314">
        <v>-40.617899999999999</v>
      </c>
      <c r="K122" s="317">
        <v>0.700595098039</v>
      </c>
    </row>
    <row r="123" spans="1:11" ht="14.4" customHeight="1" thickBot="1" x14ac:dyDescent="0.35">
      <c r="A123" s="330" t="s">
        <v>320</v>
      </c>
      <c r="B123" s="308">
        <v>247.99999999999699</v>
      </c>
      <c r="C123" s="308">
        <v>220.27691999999999</v>
      </c>
      <c r="D123" s="309">
        <v>-27.723079999995999</v>
      </c>
      <c r="E123" s="310">
        <v>0.88821338709599995</v>
      </c>
      <c r="F123" s="308">
        <v>306</v>
      </c>
      <c r="G123" s="309">
        <v>255</v>
      </c>
      <c r="H123" s="311">
        <v>21.95309</v>
      </c>
      <c r="I123" s="308">
        <v>214.38210000000001</v>
      </c>
      <c r="J123" s="309">
        <v>-40.617899999999999</v>
      </c>
      <c r="K123" s="312">
        <v>0.700595098039</v>
      </c>
    </row>
    <row r="124" spans="1:11" ht="14.4" customHeight="1" thickBot="1" x14ac:dyDescent="0.35">
      <c r="A124" s="329" t="s">
        <v>321</v>
      </c>
      <c r="B124" s="313">
        <v>1645.99999999998</v>
      </c>
      <c r="C124" s="313">
        <v>1270.45821</v>
      </c>
      <c r="D124" s="314">
        <v>-375.54178999997998</v>
      </c>
      <c r="E124" s="315">
        <v>0.77184581409399999</v>
      </c>
      <c r="F124" s="313">
        <v>1325</v>
      </c>
      <c r="G124" s="314">
        <v>1104.1666666666699</v>
      </c>
      <c r="H124" s="316">
        <v>117.93652</v>
      </c>
      <c r="I124" s="313">
        <v>1060.08932</v>
      </c>
      <c r="J124" s="314">
        <v>-44.077346666666003</v>
      </c>
      <c r="K124" s="317">
        <v>0.80006741132000003</v>
      </c>
    </row>
    <row r="125" spans="1:11" ht="14.4" customHeight="1" thickBot="1" x14ac:dyDescent="0.35">
      <c r="A125" s="330" t="s">
        <v>322</v>
      </c>
      <c r="B125" s="308">
        <v>1645.99999999998</v>
      </c>
      <c r="C125" s="308">
        <v>1270.45821</v>
      </c>
      <c r="D125" s="309">
        <v>-375.54178999997998</v>
      </c>
      <c r="E125" s="310">
        <v>0.77184581409399999</v>
      </c>
      <c r="F125" s="308">
        <v>1325</v>
      </c>
      <c r="G125" s="309">
        <v>1104.1666666666699</v>
      </c>
      <c r="H125" s="311">
        <v>117.93652</v>
      </c>
      <c r="I125" s="308">
        <v>1060.08932</v>
      </c>
      <c r="J125" s="309">
        <v>-44.077346666666003</v>
      </c>
      <c r="K125" s="312">
        <v>0.80006741132000003</v>
      </c>
    </row>
    <row r="126" spans="1:11" ht="14.4" customHeight="1" thickBot="1" x14ac:dyDescent="0.35">
      <c r="A126" s="334"/>
      <c r="B126" s="308">
        <v>-28028.076261857201</v>
      </c>
      <c r="C126" s="308">
        <v>-27886.295010000002</v>
      </c>
      <c r="D126" s="309">
        <v>141.781251857174</v>
      </c>
      <c r="E126" s="310">
        <v>0.99494145618300001</v>
      </c>
      <c r="F126" s="308">
        <v>-28657.984320802101</v>
      </c>
      <c r="G126" s="309">
        <v>-23881.653600668498</v>
      </c>
      <c r="H126" s="311">
        <v>-2281.49467</v>
      </c>
      <c r="I126" s="308">
        <v>-22487.973600000001</v>
      </c>
      <c r="J126" s="309">
        <v>1393.68000066844</v>
      </c>
      <c r="K126" s="312">
        <v>0.78470185998599995</v>
      </c>
    </row>
    <row r="127" spans="1:11" ht="14.4" customHeight="1" thickBot="1" x14ac:dyDescent="0.35">
      <c r="A127" s="335" t="s">
        <v>50</v>
      </c>
      <c r="B127" s="322">
        <v>-28028.076261857201</v>
      </c>
      <c r="C127" s="322">
        <v>-27886.295010000002</v>
      </c>
      <c r="D127" s="323">
        <v>141.78125185720901</v>
      </c>
      <c r="E127" s="324">
        <v>-0.884245875244</v>
      </c>
      <c r="F127" s="322">
        <v>-28657.984320802101</v>
      </c>
      <c r="G127" s="323">
        <v>-23881.653600668498</v>
      </c>
      <c r="H127" s="322">
        <v>-2281.49467</v>
      </c>
      <c r="I127" s="322">
        <v>-22487.973600000001</v>
      </c>
      <c r="J127" s="323">
        <v>1393.68000066844</v>
      </c>
      <c r="K127" s="325">
        <v>0.78470185998599995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90" t="s">
        <v>77</v>
      </c>
      <c r="B1" s="291"/>
      <c r="C1" s="291"/>
      <c r="D1" s="291"/>
      <c r="E1" s="291"/>
      <c r="F1" s="291"/>
      <c r="G1" s="262"/>
      <c r="H1" s="292"/>
      <c r="I1" s="292"/>
    </row>
    <row r="2" spans="1:10" ht="14.4" customHeight="1" thickBot="1" x14ac:dyDescent="0.35">
      <c r="A2" s="175" t="s">
        <v>205</v>
      </c>
      <c r="B2" s="162"/>
      <c r="C2" s="162"/>
      <c r="D2" s="162"/>
      <c r="E2" s="162"/>
      <c r="F2" s="162"/>
    </row>
    <row r="3" spans="1:10" ht="14.4" customHeight="1" thickBot="1" x14ac:dyDescent="0.35">
      <c r="A3" s="175"/>
      <c r="B3" s="162"/>
      <c r="C3" s="233">
        <v>2012</v>
      </c>
      <c r="D3" s="234">
        <v>2013</v>
      </c>
      <c r="E3" s="7"/>
      <c r="F3" s="285">
        <v>2014</v>
      </c>
      <c r="G3" s="286"/>
      <c r="H3" s="286"/>
      <c r="I3" s="287"/>
    </row>
    <row r="4" spans="1:10" ht="14.4" customHeight="1" thickBot="1" x14ac:dyDescent="0.35">
      <c r="A4" s="238" t="s">
        <v>0</v>
      </c>
      <c r="B4" s="239" t="s">
        <v>192</v>
      </c>
      <c r="C4" s="288" t="s">
        <v>55</v>
      </c>
      <c r="D4" s="289"/>
      <c r="E4" s="240"/>
      <c r="F4" s="235" t="s">
        <v>55</v>
      </c>
      <c r="G4" s="236" t="s">
        <v>56</v>
      </c>
      <c r="H4" s="236" t="s">
        <v>52</v>
      </c>
      <c r="I4" s="237" t="s">
        <v>57</v>
      </c>
    </row>
    <row r="5" spans="1:10" ht="14.4" customHeight="1" x14ac:dyDescent="0.3">
      <c r="A5" s="336" t="s">
        <v>323</v>
      </c>
      <c r="B5" s="337" t="s">
        <v>324</v>
      </c>
      <c r="C5" s="338" t="s">
        <v>325</v>
      </c>
      <c r="D5" s="338" t="s">
        <v>325</v>
      </c>
      <c r="E5" s="338"/>
      <c r="F5" s="338" t="s">
        <v>325</v>
      </c>
      <c r="G5" s="338" t="s">
        <v>325</v>
      </c>
      <c r="H5" s="338" t="s">
        <v>325</v>
      </c>
      <c r="I5" s="339" t="s">
        <v>325</v>
      </c>
      <c r="J5" s="340" t="s">
        <v>53</v>
      </c>
    </row>
    <row r="6" spans="1:10" ht="14.4" customHeight="1" x14ac:dyDescent="0.3">
      <c r="A6" s="336" t="s">
        <v>323</v>
      </c>
      <c r="B6" s="337" t="s">
        <v>212</v>
      </c>
      <c r="C6" s="338">
        <v>64.704239999999999</v>
      </c>
      <c r="D6" s="338">
        <v>50.422519999999004</v>
      </c>
      <c r="E6" s="338"/>
      <c r="F6" s="338">
        <v>45.203299999999992</v>
      </c>
      <c r="G6" s="338">
        <v>47.743829797406669</v>
      </c>
      <c r="H6" s="338">
        <v>-2.5405297974066769</v>
      </c>
      <c r="I6" s="339">
        <v>0.94678831153288268</v>
      </c>
      <c r="J6" s="340" t="s">
        <v>1</v>
      </c>
    </row>
    <row r="7" spans="1:10" ht="14.4" customHeight="1" x14ac:dyDescent="0.3">
      <c r="A7" s="336" t="s">
        <v>323</v>
      </c>
      <c r="B7" s="337" t="s">
        <v>326</v>
      </c>
      <c r="C7" s="338">
        <v>64.704239999999999</v>
      </c>
      <c r="D7" s="338">
        <v>50.422519999999004</v>
      </c>
      <c r="E7" s="338"/>
      <c r="F7" s="338">
        <v>45.203299999999992</v>
      </c>
      <c r="G7" s="338">
        <v>47.743829797406669</v>
      </c>
      <c r="H7" s="338">
        <v>-2.5405297974066769</v>
      </c>
      <c r="I7" s="339">
        <v>0.94678831153288268</v>
      </c>
      <c r="J7" s="340" t="s">
        <v>327</v>
      </c>
    </row>
    <row r="9" spans="1:10" ht="14.4" customHeight="1" x14ac:dyDescent="0.3">
      <c r="A9" s="336" t="s">
        <v>323</v>
      </c>
      <c r="B9" s="337" t="s">
        <v>324</v>
      </c>
      <c r="C9" s="338" t="s">
        <v>325</v>
      </c>
      <c r="D9" s="338" t="s">
        <v>325</v>
      </c>
      <c r="E9" s="338"/>
      <c r="F9" s="338" t="s">
        <v>325</v>
      </c>
      <c r="G9" s="338" t="s">
        <v>325</v>
      </c>
      <c r="H9" s="338" t="s">
        <v>325</v>
      </c>
      <c r="I9" s="339" t="s">
        <v>325</v>
      </c>
      <c r="J9" s="340" t="s">
        <v>53</v>
      </c>
    </row>
    <row r="10" spans="1:10" ht="14.4" customHeight="1" x14ac:dyDescent="0.3">
      <c r="A10" s="336" t="s">
        <v>328</v>
      </c>
      <c r="B10" s="337" t="s">
        <v>329</v>
      </c>
      <c r="C10" s="338" t="s">
        <v>325</v>
      </c>
      <c r="D10" s="338" t="s">
        <v>325</v>
      </c>
      <c r="E10" s="338"/>
      <c r="F10" s="338" t="s">
        <v>325</v>
      </c>
      <c r="G10" s="338" t="s">
        <v>325</v>
      </c>
      <c r="H10" s="338" t="s">
        <v>325</v>
      </c>
      <c r="I10" s="339" t="s">
        <v>325</v>
      </c>
      <c r="J10" s="340" t="s">
        <v>0</v>
      </c>
    </row>
    <row r="11" spans="1:10" ht="14.4" customHeight="1" x14ac:dyDescent="0.3">
      <c r="A11" s="336" t="s">
        <v>328</v>
      </c>
      <c r="B11" s="337" t="s">
        <v>212</v>
      </c>
      <c r="C11" s="338">
        <v>52.958730000000003</v>
      </c>
      <c r="D11" s="338">
        <v>45.385269999999004</v>
      </c>
      <c r="E11" s="338"/>
      <c r="F11" s="338">
        <v>40.273239999999994</v>
      </c>
      <c r="G11" s="338">
        <v>43.542941739227501</v>
      </c>
      <c r="H11" s="338">
        <v>-3.2697017392275072</v>
      </c>
      <c r="I11" s="339">
        <v>0.92490857051392428</v>
      </c>
      <c r="J11" s="340" t="s">
        <v>1</v>
      </c>
    </row>
    <row r="12" spans="1:10" ht="14.4" customHeight="1" x14ac:dyDescent="0.3">
      <c r="A12" s="336" t="s">
        <v>328</v>
      </c>
      <c r="B12" s="337" t="s">
        <v>330</v>
      </c>
      <c r="C12" s="338">
        <v>52.958730000000003</v>
      </c>
      <c r="D12" s="338">
        <v>45.385269999999004</v>
      </c>
      <c r="E12" s="338"/>
      <c r="F12" s="338">
        <v>40.273239999999994</v>
      </c>
      <c r="G12" s="338">
        <v>43.542941739227501</v>
      </c>
      <c r="H12" s="338">
        <v>-3.2697017392275072</v>
      </c>
      <c r="I12" s="339">
        <v>0.92490857051392428</v>
      </c>
      <c r="J12" s="340" t="s">
        <v>331</v>
      </c>
    </row>
    <row r="13" spans="1:10" ht="14.4" customHeight="1" x14ac:dyDescent="0.3">
      <c r="A13" s="336" t="s">
        <v>325</v>
      </c>
      <c r="B13" s="337" t="s">
        <v>325</v>
      </c>
      <c r="C13" s="338" t="s">
        <v>325</v>
      </c>
      <c r="D13" s="338" t="s">
        <v>325</v>
      </c>
      <c r="E13" s="338"/>
      <c r="F13" s="338" t="s">
        <v>325</v>
      </c>
      <c r="G13" s="338" t="s">
        <v>325</v>
      </c>
      <c r="H13" s="338" t="s">
        <v>325</v>
      </c>
      <c r="I13" s="339" t="s">
        <v>325</v>
      </c>
      <c r="J13" s="340" t="s">
        <v>332</v>
      </c>
    </row>
    <row r="14" spans="1:10" ht="14.4" customHeight="1" x14ac:dyDescent="0.3">
      <c r="A14" s="336" t="s">
        <v>333</v>
      </c>
      <c r="B14" s="337" t="s">
        <v>334</v>
      </c>
      <c r="C14" s="338" t="s">
        <v>325</v>
      </c>
      <c r="D14" s="338" t="s">
        <v>325</v>
      </c>
      <c r="E14" s="338"/>
      <c r="F14" s="338" t="s">
        <v>325</v>
      </c>
      <c r="G14" s="338" t="s">
        <v>325</v>
      </c>
      <c r="H14" s="338" t="s">
        <v>325</v>
      </c>
      <c r="I14" s="339" t="s">
        <v>325</v>
      </c>
      <c r="J14" s="340" t="s">
        <v>0</v>
      </c>
    </row>
    <row r="15" spans="1:10" ht="14.4" customHeight="1" x14ac:dyDescent="0.3">
      <c r="A15" s="336" t="s">
        <v>333</v>
      </c>
      <c r="B15" s="337" t="s">
        <v>212</v>
      </c>
      <c r="C15" s="338">
        <v>6.0514299999999999</v>
      </c>
      <c r="D15" s="338">
        <v>5.0372500000000002</v>
      </c>
      <c r="E15" s="338"/>
      <c r="F15" s="338">
        <v>4.9300600000000001</v>
      </c>
      <c r="G15" s="338">
        <v>4.2008880581791663</v>
      </c>
      <c r="H15" s="338">
        <v>0.72917194182083378</v>
      </c>
      <c r="I15" s="339">
        <v>1.1735756658407333</v>
      </c>
      <c r="J15" s="340" t="s">
        <v>1</v>
      </c>
    </row>
    <row r="16" spans="1:10" ht="14.4" customHeight="1" x14ac:dyDescent="0.3">
      <c r="A16" s="336" t="s">
        <v>333</v>
      </c>
      <c r="B16" s="337" t="s">
        <v>335</v>
      </c>
      <c r="C16" s="338">
        <v>6.0514299999999999</v>
      </c>
      <c r="D16" s="338">
        <v>5.0372500000000002</v>
      </c>
      <c r="E16" s="338"/>
      <c r="F16" s="338">
        <v>4.9300600000000001</v>
      </c>
      <c r="G16" s="338">
        <v>4.2008880581791663</v>
      </c>
      <c r="H16" s="338">
        <v>0.72917194182083378</v>
      </c>
      <c r="I16" s="339">
        <v>1.1735756658407333</v>
      </c>
      <c r="J16" s="340" t="s">
        <v>331</v>
      </c>
    </row>
    <row r="17" spans="1:10" ht="14.4" customHeight="1" x14ac:dyDescent="0.3">
      <c r="A17" s="336" t="s">
        <v>325</v>
      </c>
      <c r="B17" s="337" t="s">
        <v>325</v>
      </c>
      <c r="C17" s="338" t="s">
        <v>325</v>
      </c>
      <c r="D17" s="338" t="s">
        <v>325</v>
      </c>
      <c r="E17" s="338"/>
      <c r="F17" s="338" t="s">
        <v>325</v>
      </c>
      <c r="G17" s="338" t="s">
        <v>325</v>
      </c>
      <c r="H17" s="338" t="s">
        <v>325</v>
      </c>
      <c r="I17" s="339" t="s">
        <v>325</v>
      </c>
      <c r="J17" s="340" t="s">
        <v>332</v>
      </c>
    </row>
    <row r="18" spans="1:10" ht="14.4" customHeight="1" x14ac:dyDescent="0.3">
      <c r="A18" s="336" t="s">
        <v>336</v>
      </c>
      <c r="B18" s="337" t="s">
        <v>337</v>
      </c>
      <c r="C18" s="338" t="s">
        <v>325</v>
      </c>
      <c r="D18" s="338" t="s">
        <v>325</v>
      </c>
      <c r="E18" s="338"/>
      <c r="F18" s="338" t="s">
        <v>325</v>
      </c>
      <c r="G18" s="338" t="s">
        <v>325</v>
      </c>
      <c r="H18" s="338" t="s">
        <v>325</v>
      </c>
      <c r="I18" s="339" t="s">
        <v>325</v>
      </c>
      <c r="J18" s="340" t="s">
        <v>0</v>
      </c>
    </row>
    <row r="19" spans="1:10" ht="14.4" customHeight="1" x14ac:dyDescent="0.3">
      <c r="A19" s="336" t="s">
        <v>336</v>
      </c>
      <c r="B19" s="337" t="s">
        <v>212</v>
      </c>
      <c r="C19" s="338">
        <v>5.6940799999999996</v>
      </c>
      <c r="D19" s="338">
        <v>0</v>
      </c>
      <c r="E19" s="338"/>
      <c r="F19" s="338" t="s">
        <v>325</v>
      </c>
      <c r="G19" s="338" t="s">
        <v>325</v>
      </c>
      <c r="H19" s="338" t="s">
        <v>325</v>
      </c>
      <c r="I19" s="339" t="s">
        <v>325</v>
      </c>
      <c r="J19" s="340" t="s">
        <v>1</v>
      </c>
    </row>
    <row r="20" spans="1:10" ht="14.4" customHeight="1" x14ac:dyDescent="0.3">
      <c r="A20" s="336" t="s">
        <v>336</v>
      </c>
      <c r="B20" s="337" t="s">
        <v>338</v>
      </c>
      <c r="C20" s="338">
        <v>5.6940799999999996</v>
      </c>
      <c r="D20" s="338">
        <v>0</v>
      </c>
      <c r="E20" s="338"/>
      <c r="F20" s="338" t="s">
        <v>325</v>
      </c>
      <c r="G20" s="338" t="s">
        <v>325</v>
      </c>
      <c r="H20" s="338" t="s">
        <v>325</v>
      </c>
      <c r="I20" s="339" t="s">
        <v>325</v>
      </c>
      <c r="J20" s="340" t="s">
        <v>331</v>
      </c>
    </row>
    <row r="21" spans="1:10" ht="14.4" customHeight="1" x14ac:dyDescent="0.3">
      <c r="A21" s="336" t="s">
        <v>325</v>
      </c>
      <c r="B21" s="337" t="s">
        <v>325</v>
      </c>
      <c r="C21" s="338" t="s">
        <v>325</v>
      </c>
      <c r="D21" s="338" t="s">
        <v>325</v>
      </c>
      <c r="E21" s="338"/>
      <c r="F21" s="338" t="s">
        <v>325</v>
      </c>
      <c r="G21" s="338" t="s">
        <v>325</v>
      </c>
      <c r="H21" s="338" t="s">
        <v>325</v>
      </c>
      <c r="I21" s="339" t="s">
        <v>325</v>
      </c>
      <c r="J21" s="340" t="s">
        <v>332</v>
      </c>
    </row>
    <row r="22" spans="1:10" ht="14.4" customHeight="1" x14ac:dyDescent="0.3">
      <c r="A22" s="336" t="s">
        <v>323</v>
      </c>
      <c r="B22" s="337" t="s">
        <v>326</v>
      </c>
      <c r="C22" s="338">
        <v>64.704239999999999</v>
      </c>
      <c r="D22" s="338">
        <v>50.422519999999004</v>
      </c>
      <c r="E22" s="338"/>
      <c r="F22" s="338">
        <v>45.203299999999992</v>
      </c>
      <c r="G22" s="338">
        <v>47.743829797406669</v>
      </c>
      <c r="H22" s="338">
        <v>-2.5405297974066769</v>
      </c>
      <c r="I22" s="339">
        <v>0.94678831153288268</v>
      </c>
      <c r="J22" s="340" t="s">
        <v>327</v>
      </c>
    </row>
  </sheetData>
  <mergeCells count="3">
    <mergeCell ref="F3:I3"/>
    <mergeCell ref="C4:D4"/>
    <mergeCell ref="A1:I1"/>
  </mergeCells>
  <conditionalFormatting sqref="F8 F23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22">
    <cfRule type="expression" dxfId="27" priority="5">
      <formula>$H9&gt;0</formula>
    </cfRule>
  </conditionalFormatting>
  <conditionalFormatting sqref="A9:A22">
    <cfRule type="expression" dxfId="26" priority="2">
      <formula>AND($J9&lt;&gt;"mezeraKL",$J9&lt;&gt;"")</formula>
    </cfRule>
  </conditionalFormatting>
  <conditionalFormatting sqref="I9:I22">
    <cfRule type="expression" dxfId="25" priority="6">
      <formula>$I9&gt;1</formula>
    </cfRule>
  </conditionalFormatting>
  <conditionalFormatting sqref="B9:B22">
    <cfRule type="expression" dxfId="24" priority="1">
      <formula>OR($J9="NS",$J9="SumaNS",$J9="Účet")</formula>
    </cfRule>
  </conditionalFormatting>
  <conditionalFormatting sqref="A9:D22 F9:I22">
    <cfRule type="expression" dxfId="23" priority="8">
      <formula>AND($J9&lt;&gt;"",$J9&lt;&gt;"mezeraKL")</formula>
    </cfRule>
  </conditionalFormatting>
  <conditionalFormatting sqref="B9:D22 F9:I22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22 F9:I22">
    <cfRule type="expression" dxfId="21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5" bestFit="1" customWidth="1" collapsed="1"/>
    <col min="4" max="4" width="18.77734375" style="169" customWidth="1"/>
    <col min="5" max="5" width="9" style="165" bestFit="1" customWidth="1"/>
    <col min="6" max="6" width="18.77734375" style="169" customWidth="1"/>
    <col min="7" max="7" width="5" style="165" customWidth="1"/>
    <col min="8" max="8" width="12.44140625" style="165" hidden="1" customWidth="1" outlineLevel="1"/>
    <col min="9" max="9" width="8.5546875" style="165" hidden="1" customWidth="1" outlineLevel="1"/>
    <col min="10" max="10" width="25.77734375" style="165" customWidth="1" collapsed="1"/>
    <col min="11" max="11" width="8.77734375" style="165" customWidth="1"/>
    <col min="12" max="13" width="7.77734375" style="163" customWidth="1"/>
    <col min="14" max="14" width="11.109375" style="163" customWidth="1"/>
    <col min="15" max="16384" width="8.88671875" style="96"/>
  </cols>
  <sheetData>
    <row r="1" spans="1:14" ht="18.600000000000001" customHeight="1" thickBot="1" x14ac:dyDescent="0.4">
      <c r="A1" s="297" t="s">
        <v>94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14.4" customHeight="1" thickBot="1" x14ac:dyDescent="0.35">
      <c r="A2" s="175" t="s">
        <v>205</v>
      </c>
      <c r="B2" s="57"/>
      <c r="C2" s="167"/>
      <c r="D2" s="167"/>
      <c r="E2" s="167"/>
      <c r="F2" s="167"/>
      <c r="G2" s="167"/>
      <c r="H2" s="167"/>
      <c r="I2" s="167"/>
      <c r="J2" s="167"/>
      <c r="K2" s="167"/>
      <c r="L2" s="168"/>
      <c r="M2" s="168"/>
      <c r="N2" s="168"/>
    </row>
    <row r="3" spans="1:14" ht="14.4" customHeight="1" thickBot="1" x14ac:dyDescent="0.35">
      <c r="A3" s="57"/>
      <c r="B3" s="57"/>
      <c r="C3" s="293"/>
      <c r="D3" s="294"/>
      <c r="E3" s="294"/>
      <c r="F3" s="294"/>
      <c r="G3" s="294"/>
      <c r="H3" s="294"/>
      <c r="I3" s="294"/>
      <c r="J3" s="295" t="s">
        <v>75</v>
      </c>
      <c r="K3" s="296"/>
      <c r="L3" s="71">
        <f>IF(M3&lt;&gt;0,N3/M3,0)</f>
        <v>106.11098219590161</v>
      </c>
      <c r="M3" s="71">
        <f>SUBTOTAL(9,M5:M1048576)</f>
        <v>426</v>
      </c>
      <c r="N3" s="72">
        <f>SUBTOTAL(9,N5:N1048576)</f>
        <v>45203.278415454086</v>
      </c>
    </row>
    <row r="4" spans="1:14" s="164" customFormat="1" ht="14.4" customHeight="1" thickBot="1" x14ac:dyDescent="0.35">
      <c r="A4" s="341" t="s">
        <v>3</v>
      </c>
      <c r="B4" s="342" t="s">
        <v>4</v>
      </c>
      <c r="C4" s="342" t="s">
        <v>0</v>
      </c>
      <c r="D4" s="342" t="s">
        <v>5</v>
      </c>
      <c r="E4" s="342" t="s">
        <v>6</v>
      </c>
      <c r="F4" s="342" t="s">
        <v>1</v>
      </c>
      <c r="G4" s="342" t="s">
        <v>7</v>
      </c>
      <c r="H4" s="342" t="s">
        <v>8</v>
      </c>
      <c r="I4" s="342" t="s">
        <v>9</v>
      </c>
      <c r="J4" s="343" t="s">
        <v>10</v>
      </c>
      <c r="K4" s="343" t="s">
        <v>11</v>
      </c>
      <c r="L4" s="344" t="s">
        <v>81</v>
      </c>
      <c r="M4" s="344" t="s">
        <v>12</v>
      </c>
      <c r="N4" s="345" t="s">
        <v>89</v>
      </c>
    </row>
    <row r="5" spans="1:14" ht="14.4" customHeight="1" x14ac:dyDescent="0.3">
      <c r="A5" s="346" t="s">
        <v>323</v>
      </c>
      <c r="B5" s="347" t="s">
        <v>324</v>
      </c>
      <c r="C5" s="348" t="s">
        <v>328</v>
      </c>
      <c r="D5" s="349" t="s">
        <v>350</v>
      </c>
      <c r="E5" s="348" t="s">
        <v>339</v>
      </c>
      <c r="F5" s="349" t="s">
        <v>352</v>
      </c>
      <c r="G5" s="348" t="s">
        <v>340</v>
      </c>
      <c r="H5" s="348" t="s">
        <v>341</v>
      </c>
      <c r="I5" s="348" t="s">
        <v>117</v>
      </c>
      <c r="J5" s="348" t="s">
        <v>342</v>
      </c>
      <c r="K5" s="348"/>
      <c r="L5" s="350">
        <v>59.717819660266301</v>
      </c>
      <c r="M5" s="350">
        <v>185</v>
      </c>
      <c r="N5" s="351">
        <v>11047.796637149266</v>
      </c>
    </row>
    <row r="6" spans="1:14" ht="14.4" customHeight="1" x14ac:dyDescent="0.3">
      <c r="A6" s="352" t="s">
        <v>323</v>
      </c>
      <c r="B6" s="353" t="s">
        <v>324</v>
      </c>
      <c r="C6" s="354" t="s">
        <v>328</v>
      </c>
      <c r="D6" s="355" t="s">
        <v>350</v>
      </c>
      <c r="E6" s="354" t="s">
        <v>339</v>
      </c>
      <c r="F6" s="355" t="s">
        <v>352</v>
      </c>
      <c r="G6" s="354" t="s">
        <v>340</v>
      </c>
      <c r="H6" s="354" t="s">
        <v>343</v>
      </c>
      <c r="I6" s="354" t="s">
        <v>117</v>
      </c>
      <c r="J6" s="354" t="s">
        <v>344</v>
      </c>
      <c r="K6" s="354"/>
      <c r="L6" s="356">
        <v>103.03478421488552</v>
      </c>
      <c r="M6" s="356">
        <v>4</v>
      </c>
      <c r="N6" s="357">
        <v>412.13913685954208</v>
      </c>
    </row>
    <row r="7" spans="1:14" ht="14.4" customHeight="1" x14ac:dyDescent="0.3">
      <c r="A7" s="352" t="s">
        <v>323</v>
      </c>
      <c r="B7" s="353" t="s">
        <v>324</v>
      </c>
      <c r="C7" s="354" t="s">
        <v>328</v>
      </c>
      <c r="D7" s="355" t="s">
        <v>350</v>
      </c>
      <c r="E7" s="354" t="s">
        <v>339</v>
      </c>
      <c r="F7" s="355" t="s">
        <v>352</v>
      </c>
      <c r="G7" s="354" t="s">
        <v>340</v>
      </c>
      <c r="H7" s="354" t="s">
        <v>345</v>
      </c>
      <c r="I7" s="354" t="s">
        <v>117</v>
      </c>
      <c r="J7" s="354" t="s">
        <v>346</v>
      </c>
      <c r="K7" s="354" t="s">
        <v>347</v>
      </c>
      <c r="L7" s="356">
        <v>78.276099840232519</v>
      </c>
      <c r="M7" s="356">
        <v>10</v>
      </c>
      <c r="N7" s="357">
        <v>782.76099840232519</v>
      </c>
    </row>
    <row r="8" spans="1:14" ht="14.4" customHeight="1" x14ac:dyDescent="0.3">
      <c r="A8" s="352" t="s">
        <v>323</v>
      </c>
      <c r="B8" s="353" t="s">
        <v>324</v>
      </c>
      <c r="C8" s="354" t="s">
        <v>328</v>
      </c>
      <c r="D8" s="355" t="s">
        <v>350</v>
      </c>
      <c r="E8" s="354" t="s">
        <v>339</v>
      </c>
      <c r="F8" s="355" t="s">
        <v>352</v>
      </c>
      <c r="G8" s="354" t="s">
        <v>340</v>
      </c>
      <c r="H8" s="354" t="s">
        <v>348</v>
      </c>
      <c r="I8" s="354" t="s">
        <v>117</v>
      </c>
      <c r="J8" s="354" t="s">
        <v>349</v>
      </c>
      <c r="K8" s="354"/>
      <c r="L8" s="356">
        <v>151.51632523779395</v>
      </c>
      <c r="M8" s="356">
        <v>185</v>
      </c>
      <c r="N8" s="357">
        <v>28030.520168991883</v>
      </c>
    </row>
    <row r="9" spans="1:14" ht="14.4" customHeight="1" x14ac:dyDescent="0.3">
      <c r="A9" s="352" t="s">
        <v>323</v>
      </c>
      <c r="B9" s="353" t="s">
        <v>324</v>
      </c>
      <c r="C9" s="354" t="s">
        <v>333</v>
      </c>
      <c r="D9" s="355" t="s">
        <v>351</v>
      </c>
      <c r="E9" s="354" t="s">
        <v>339</v>
      </c>
      <c r="F9" s="355" t="s">
        <v>352</v>
      </c>
      <c r="G9" s="354" t="s">
        <v>340</v>
      </c>
      <c r="H9" s="354" t="s">
        <v>341</v>
      </c>
      <c r="I9" s="354" t="s">
        <v>117</v>
      </c>
      <c r="J9" s="354" t="s">
        <v>342</v>
      </c>
      <c r="K9" s="354"/>
      <c r="L9" s="356">
        <v>59.920662573860703</v>
      </c>
      <c r="M9" s="356">
        <v>21</v>
      </c>
      <c r="N9" s="357">
        <v>1258.3339140510748</v>
      </c>
    </row>
    <row r="10" spans="1:14" ht="14.4" customHeight="1" thickBot="1" x14ac:dyDescent="0.35">
      <c r="A10" s="358" t="s">
        <v>323</v>
      </c>
      <c r="B10" s="359" t="s">
        <v>324</v>
      </c>
      <c r="C10" s="360" t="s">
        <v>333</v>
      </c>
      <c r="D10" s="361" t="s">
        <v>351</v>
      </c>
      <c r="E10" s="360" t="s">
        <v>339</v>
      </c>
      <c r="F10" s="361" t="s">
        <v>352</v>
      </c>
      <c r="G10" s="360" t="s">
        <v>340</v>
      </c>
      <c r="H10" s="360" t="s">
        <v>348</v>
      </c>
      <c r="I10" s="360" t="s">
        <v>117</v>
      </c>
      <c r="J10" s="360" t="s">
        <v>349</v>
      </c>
      <c r="K10" s="360"/>
      <c r="L10" s="362">
        <v>174.84416952380951</v>
      </c>
      <c r="M10" s="362">
        <v>21</v>
      </c>
      <c r="N10" s="363">
        <v>3671.7275599999998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3" customWidth="1"/>
    <col min="2" max="2" width="5.44140625" style="163" bestFit="1" customWidth="1"/>
    <col min="3" max="3" width="6.109375" style="163" bestFit="1" customWidth="1"/>
    <col min="4" max="4" width="7.44140625" style="163" bestFit="1" customWidth="1"/>
    <col min="5" max="5" width="6.21875" style="163" bestFit="1" customWidth="1"/>
    <col min="6" max="6" width="6.33203125" style="166" bestFit="1" customWidth="1"/>
    <col min="7" max="7" width="6.109375" style="166" bestFit="1" customWidth="1"/>
    <col min="8" max="8" width="7.44140625" style="166" bestFit="1" customWidth="1"/>
    <col min="9" max="9" width="6.21875" style="166" bestFit="1" customWidth="1"/>
    <col min="10" max="10" width="5.44140625" style="163" bestFit="1" customWidth="1"/>
    <col min="11" max="11" width="6.109375" style="163" bestFit="1" customWidth="1"/>
    <col min="12" max="12" width="7.44140625" style="163" bestFit="1" customWidth="1"/>
    <col min="13" max="13" width="6.21875" style="163" bestFit="1" customWidth="1"/>
    <col min="14" max="14" width="5.33203125" style="166" bestFit="1" customWidth="1"/>
    <col min="15" max="15" width="6.109375" style="166" bestFit="1" customWidth="1"/>
    <col min="16" max="16" width="7.44140625" style="166" bestFit="1" customWidth="1"/>
    <col min="17" max="17" width="6.21875" style="166" bestFit="1" customWidth="1"/>
    <col min="18" max="16384" width="8.88671875" style="96"/>
  </cols>
  <sheetData>
    <row r="1" spans="1:17" ht="18.600000000000001" customHeight="1" thickBot="1" x14ac:dyDescent="0.4">
      <c r="A1" s="298" t="s">
        <v>193</v>
      </c>
      <c r="B1" s="298"/>
      <c r="C1" s="298"/>
      <c r="D1" s="298"/>
      <c r="E1" s="298"/>
      <c r="F1" s="262"/>
      <c r="G1" s="262"/>
      <c r="H1" s="262"/>
      <c r="I1" s="262"/>
      <c r="J1" s="292"/>
      <c r="K1" s="292"/>
      <c r="L1" s="292"/>
      <c r="M1" s="292"/>
      <c r="N1" s="292"/>
      <c r="O1" s="292"/>
      <c r="P1" s="292"/>
      <c r="Q1" s="292"/>
    </row>
    <row r="2" spans="1:17" ht="14.4" customHeight="1" thickBot="1" x14ac:dyDescent="0.35">
      <c r="A2" s="175" t="s">
        <v>205</v>
      </c>
      <c r="B2" s="170"/>
      <c r="C2" s="170"/>
      <c r="D2" s="170"/>
      <c r="E2" s="170"/>
    </row>
    <row r="3" spans="1:17" ht="14.4" customHeight="1" thickBot="1" x14ac:dyDescent="0.35">
      <c r="A3" s="242" t="s">
        <v>2</v>
      </c>
      <c r="B3" s="246">
        <f>SUM(B6:B1048576)</f>
        <v>65</v>
      </c>
      <c r="C3" s="247">
        <f>SUM(C6:C1048576)</f>
        <v>0</v>
      </c>
      <c r="D3" s="247">
        <f>SUM(D6:D1048576)</f>
        <v>0</v>
      </c>
      <c r="E3" s="248">
        <f>SUM(E6:E1048576)</f>
        <v>0</v>
      </c>
      <c r="F3" s="245">
        <f>IF(SUM($B3:$E3)=0,"",B3/SUM($B3:$E3))</f>
        <v>1</v>
      </c>
      <c r="G3" s="243">
        <f t="shared" ref="G3:I3" si="0">IF(SUM($B3:$E3)=0,"",C3/SUM($B3:$E3))</f>
        <v>0</v>
      </c>
      <c r="H3" s="243">
        <f t="shared" si="0"/>
        <v>0</v>
      </c>
      <c r="I3" s="244">
        <f t="shared" si="0"/>
        <v>0</v>
      </c>
      <c r="J3" s="247">
        <f>SUM(J6:J1048576)</f>
        <v>22</v>
      </c>
      <c r="K3" s="247">
        <f>SUM(K6:K1048576)</f>
        <v>0</v>
      </c>
      <c r="L3" s="247">
        <f>SUM(L6:L1048576)</f>
        <v>0</v>
      </c>
      <c r="M3" s="248">
        <f>SUM(M6:M1048576)</f>
        <v>0</v>
      </c>
      <c r="N3" s="245">
        <f>IF(SUM($J3:$M3)=0,"",J3/SUM($J3:$M3))</f>
        <v>1</v>
      </c>
      <c r="O3" s="243">
        <f t="shared" ref="O3:Q3" si="1">IF(SUM($J3:$M3)=0,"",K3/SUM($J3:$M3))</f>
        <v>0</v>
      </c>
      <c r="P3" s="243">
        <f t="shared" si="1"/>
        <v>0</v>
      </c>
      <c r="Q3" s="244">
        <f t="shared" si="1"/>
        <v>0</v>
      </c>
    </row>
    <row r="4" spans="1:17" ht="14.4" customHeight="1" thickBot="1" x14ac:dyDescent="0.35">
      <c r="A4" s="241"/>
      <c r="B4" s="302" t="s">
        <v>195</v>
      </c>
      <c r="C4" s="303"/>
      <c r="D4" s="303"/>
      <c r="E4" s="304"/>
      <c r="F4" s="299" t="s">
        <v>200</v>
      </c>
      <c r="G4" s="300"/>
      <c r="H4" s="300"/>
      <c r="I4" s="301"/>
      <c r="J4" s="302" t="s">
        <v>201</v>
      </c>
      <c r="K4" s="303"/>
      <c r="L4" s="303"/>
      <c r="M4" s="304"/>
      <c r="N4" s="299" t="s">
        <v>202</v>
      </c>
      <c r="O4" s="300"/>
      <c r="P4" s="300"/>
      <c r="Q4" s="301"/>
    </row>
    <row r="5" spans="1:17" ht="14.4" customHeight="1" thickBot="1" x14ac:dyDescent="0.35">
      <c r="A5" s="364" t="s">
        <v>194</v>
      </c>
      <c r="B5" s="365" t="s">
        <v>196</v>
      </c>
      <c r="C5" s="365" t="s">
        <v>197</v>
      </c>
      <c r="D5" s="365" t="s">
        <v>198</v>
      </c>
      <c r="E5" s="366" t="s">
        <v>199</v>
      </c>
      <c r="F5" s="367" t="s">
        <v>196</v>
      </c>
      <c r="G5" s="368" t="s">
        <v>197</v>
      </c>
      <c r="H5" s="368" t="s">
        <v>198</v>
      </c>
      <c r="I5" s="369" t="s">
        <v>199</v>
      </c>
      <c r="J5" s="365" t="s">
        <v>196</v>
      </c>
      <c r="K5" s="365" t="s">
        <v>197</v>
      </c>
      <c r="L5" s="365" t="s">
        <v>198</v>
      </c>
      <c r="M5" s="366" t="s">
        <v>199</v>
      </c>
      <c r="N5" s="367" t="s">
        <v>196</v>
      </c>
      <c r="O5" s="368" t="s">
        <v>197</v>
      </c>
      <c r="P5" s="368" t="s">
        <v>198</v>
      </c>
      <c r="Q5" s="369" t="s">
        <v>199</v>
      </c>
    </row>
    <row r="6" spans="1:17" ht="14.4" customHeight="1" x14ac:dyDescent="0.3">
      <c r="A6" s="376" t="s">
        <v>353</v>
      </c>
      <c r="B6" s="382"/>
      <c r="C6" s="350"/>
      <c r="D6" s="350"/>
      <c r="E6" s="351"/>
      <c r="F6" s="379"/>
      <c r="G6" s="370"/>
      <c r="H6" s="370"/>
      <c r="I6" s="385"/>
      <c r="J6" s="382"/>
      <c r="K6" s="350"/>
      <c r="L6" s="350"/>
      <c r="M6" s="351"/>
      <c r="N6" s="379"/>
      <c r="O6" s="370"/>
      <c r="P6" s="370"/>
      <c r="Q6" s="371"/>
    </row>
    <row r="7" spans="1:17" ht="14.4" customHeight="1" x14ac:dyDescent="0.3">
      <c r="A7" s="377" t="s">
        <v>354</v>
      </c>
      <c r="B7" s="383">
        <v>63</v>
      </c>
      <c r="C7" s="356"/>
      <c r="D7" s="356"/>
      <c r="E7" s="357"/>
      <c r="F7" s="380">
        <v>1</v>
      </c>
      <c r="G7" s="372">
        <v>0</v>
      </c>
      <c r="H7" s="372">
        <v>0</v>
      </c>
      <c r="I7" s="386">
        <v>0</v>
      </c>
      <c r="J7" s="383">
        <v>21</v>
      </c>
      <c r="K7" s="356"/>
      <c r="L7" s="356"/>
      <c r="M7" s="357"/>
      <c r="N7" s="380">
        <v>1</v>
      </c>
      <c r="O7" s="372">
        <v>0</v>
      </c>
      <c r="P7" s="372">
        <v>0</v>
      </c>
      <c r="Q7" s="373">
        <v>0</v>
      </c>
    </row>
    <row r="8" spans="1:17" ht="14.4" customHeight="1" thickBot="1" x14ac:dyDescent="0.35">
      <c r="A8" s="378" t="s">
        <v>355</v>
      </c>
      <c r="B8" s="384">
        <v>2</v>
      </c>
      <c r="C8" s="362"/>
      <c r="D8" s="362"/>
      <c r="E8" s="363"/>
      <c r="F8" s="381">
        <v>1</v>
      </c>
      <c r="G8" s="374">
        <v>0</v>
      </c>
      <c r="H8" s="374">
        <v>0</v>
      </c>
      <c r="I8" s="387">
        <v>0</v>
      </c>
      <c r="J8" s="384">
        <v>1</v>
      </c>
      <c r="K8" s="362"/>
      <c r="L8" s="362"/>
      <c r="M8" s="363"/>
      <c r="N8" s="381">
        <v>1</v>
      </c>
      <c r="O8" s="374">
        <v>0</v>
      </c>
      <c r="P8" s="374">
        <v>0</v>
      </c>
      <c r="Q8" s="37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90" t="s">
        <v>78</v>
      </c>
      <c r="B1" s="291"/>
      <c r="C1" s="291"/>
      <c r="D1" s="291"/>
      <c r="E1" s="291"/>
      <c r="F1" s="291"/>
      <c r="G1" s="262"/>
      <c r="H1" s="292"/>
      <c r="I1" s="292"/>
    </row>
    <row r="2" spans="1:10" ht="14.4" customHeight="1" thickBot="1" x14ac:dyDescent="0.35">
      <c r="A2" s="175" t="s">
        <v>205</v>
      </c>
      <c r="B2" s="162"/>
      <c r="C2" s="162"/>
      <c r="D2" s="162"/>
      <c r="E2" s="162"/>
      <c r="F2" s="162"/>
    </row>
    <row r="3" spans="1:10" ht="14.4" customHeight="1" thickBot="1" x14ac:dyDescent="0.35">
      <c r="A3" s="175"/>
      <c r="B3" s="162"/>
      <c r="C3" s="233">
        <v>2012</v>
      </c>
      <c r="D3" s="234">
        <v>2013</v>
      </c>
      <c r="E3" s="7"/>
      <c r="F3" s="285">
        <v>2014</v>
      </c>
      <c r="G3" s="286"/>
      <c r="H3" s="286"/>
      <c r="I3" s="287"/>
    </row>
    <row r="4" spans="1:10" ht="14.4" customHeight="1" thickBot="1" x14ac:dyDescent="0.35">
      <c r="A4" s="238" t="s">
        <v>0</v>
      </c>
      <c r="B4" s="239" t="s">
        <v>192</v>
      </c>
      <c r="C4" s="288" t="s">
        <v>55</v>
      </c>
      <c r="D4" s="289"/>
      <c r="E4" s="240"/>
      <c r="F4" s="235" t="s">
        <v>55</v>
      </c>
      <c r="G4" s="236" t="s">
        <v>56</v>
      </c>
      <c r="H4" s="236" t="s">
        <v>52</v>
      </c>
      <c r="I4" s="237" t="s">
        <v>57</v>
      </c>
    </row>
    <row r="5" spans="1:10" ht="14.4" customHeight="1" x14ac:dyDescent="0.3">
      <c r="A5" s="336" t="s">
        <v>323</v>
      </c>
      <c r="B5" s="337" t="s">
        <v>324</v>
      </c>
      <c r="C5" s="338" t="s">
        <v>325</v>
      </c>
      <c r="D5" s="338" t="s">
        <v>325</v>
      </c>
      <c r="E5" s="338"/>
      <c r="F5" s="338" t="s">
        <v>325</v>
      </c>
      <c r="G5" s="338" t="s">
        <v>325</v>
      </c>
      <c r="H5" s="338" t="s">
        <v>325</v>
      </c>
      <c r="I5" s="339" t="s">
        <v>325</v>
      </c>
      <c r="J5" s="340" t="s">
        <v>53</v>
      </c>
    </row>
    <row r="6" spans="1:10" ht="14.4" customHeight="1" x14ac:dyDescent="0.3">
      <c r="A6" s="336" t="s">
        <v>323</v>
      </c>
      <c r="B6" s="337" t="s">
        <v>356</v>
      </c>
      <c r="C6" s="338">
        <v>0</v>
      </c>
      <c r="D6" s="338">
        <v>0</v>
      </c>
      <c r="E6" s="338"/>
      <c r="F6" s="338" t="s">
        <v>325</v>
      </c>
      <c r="G6" s="338" t="s">
        <v>325</v>
      </c>
      <c r="H6" s="338" t="s">
        <v>325</v>
      </c>
      <c r="I6" s="339" t="s">
        <v>325</v>
      </c>
      <c r="J6" s="340" t="s">
        <v>1</v>
      </c>
    </row>
    <row r="7" spans="1:10" ht="14.4" customHeight="1" x14ac:dyDescent="0.3">
      <c r="A7" s="336" t="s">
        <v>323</v>
      </c>
      <c r="B7" s="337" t="s">
        <v>214</v>
      </c>
      <c r="C7" s="338">
        <v>11.780000000000001</v>
      </c>
      <c r="D7" s="338">
        <v>9.3399999999989998</v>
      </c>
      <c r="E7" s="338"/>
      <c r="F7" s="338">
        <v>7.2399999999999993</v>
      </c>
      <c r="G7" s="338">
        <v>9.2456718886724989</v>
      </c>
      <c r="H7" s="338">
        <v>-2.0056718886724996</v>
      </c>
      <c r="I7" s="339">
        <v>0.78306910381172146</v>
      </c>
      <c r="J7" s="340" t="s">
        <v>1</v>
      </c>
    </row>
    <row r="8" spans="1:10" ht="14.4" customHeight="1" x14ac:dyDescent="0.3">
      <c r="A8" s="336" t="s">
        <v>323</v>
      </c>
      <c r="B8" s="337" t="s">
        <v>326</v>
      </c>
      <c r="C8" s="338">
        <v>11.780000000000001</v>
      </c>
      <c r="D8" s="338">
        <v>9.3399999999989998</v>
      </c>
      <c r="E8" s="338"/>
      <c r="F8" s="338">
        <v>7.2399999999999993</v>
      </c>
      <c r="G8" s="338">
        <v>9.2456718886724989</v>
      </c>
      <c r="H8" s="338">
        <v>-2.0056718886724996</v>
      </c>
      <c r="I8" s="339">
        <v>0.78306910381172146</v>
      </c>
      <c r="J8" s="340" t="s">
        <v>327</v>
      </c>
    </row>
    <row r="10" spans="1:10" ht="14.4" customHeight="1" x14ac:dyDescent="0.3">
      <c r="A10" s="336" t="s">
        <v>323</v>
      </c>
      <c r="B10" s="337" t="s">
        <v>324</v>
      </c>
      <c r="C10" s="338" t="s">
        <v>325</v>
      </c>
      <c r="D10" s="338" t="s">
        <v>325</v>
      </c>
      <c r="E10" s="338"/>
      <c r="F10" s="338" t="s">
        <v>325</v>
      </c>
      <c r="G10" s="338" t="s">
        <v>325</v>
      </c>
      <c r="H10" s="338" t="s">
        <v>325</v>
      </c>
      <c r="I10" s="339" t="s">
        <v>325</v>
      </c>
      <c r="J10" s="340" t="s">
        <v>53</v>
      </c>
    </row>
    <row r="11" spans="1:10" ht="14.4" customHeight="1" x14ac:dyDescent="0.3">
      <c r="A11" s="336" t="s">
        <v>328</v>
      </c>
      <c r="B11" s="337" t="s">
        <v>329</v>
      </c>
      <c r="C11" s="338" t="s">
        <v>325</v>
      </c>
      <c r="D11" s="338" t="s">
        <v>325</v>
      </c>
      <c r="E11" s="338"/>
      <c r="F11" s="338" t="s">
        <v>325</v>
      </c>
      <c r="G11" s="338" t="s">
        <v>325</v>
      </c>
      <c r="H11" s="338" t="s">
        <v>325</v>
      </c>
      <c r="I11" s="339" t="s">
        <v>325</v>
      </c>
      <c r="J11" s="340" t="s">
        <v>0</v>
      </c>
    </row>
    <row r="12" spans="1:10" ht="14.4" customHeight="1" x14ac:dyDescent="0.3">
      <c r="A12" s="336" t="s">
        <v>328</v>
      </c>
      <c r="B12" s="337" t="s">
        <v>356</v>
      </c>
      <c r="C12" s="338">
        <v>0</v>
      </c>
      <c r="D12" s="338">
        <v>0</v>
      </c>
      <c r="E12" s="338"/>
      <c r="F12" s="338" t="s">
        <v>325</v>
      </c>
      <c r="G12" s="338" t="s">
        <v>325</v>
      </c>
      <c r="H12" s="338" t="s">
        <v>325</v>
      </c>
      <c r="I12" s="339" t="s">
        <v>325</v>
      </c>
      <c r="J12" s="340" t="s">
        <v>1</v>
      </c>
    </row>
    <row r="13" spans="1:10" ht="14.4" customHeight="1" x14ac:dyDescent="0.3">
      <c r="A13" s="336" t="s">
        <v>328</v>
      </c>
      <c r="B13" s="337" t="s">
        <v>214</v>
      </c>
      <c r="C13" s="338">
        <v>7.48</v>
      </c>
      <c r="D13" s="338">
        <v>7.8799999999989998</v>
      </c>
      <c r="E13" s="338"/>
      <c r="F13" s="338">
        <v>6.9559999999999995</v>
      </c>
      <c r="G13" s="338">
        <v>8.0117888029816662</v>
      </c>
      <c r="H13" s="338">
        <v>-1.0557888029816667</v>
      </c>
      <c r="I13" s="339">
        <v>0.86822058981525518</v>
      </c>
      <c r="J13" s="340" t="s">
        <v>1</v>
      </c>
    </row>
    <row r="14" spans="1:10" ht="14.4" customHeight="1" x14ac:dyDescent="0.3">
      <c r="A14" s="336" t="s">
        <v>328</v>
      </c>
      <c r="B14" s="337" t="s">
        <v>330</v>
      </c>
      <c r="C14" s="338">
        <v>7.48</v>
      </c>
      <c r="D14" s="338">
        <v>7.8799999999989998</v>
      </c>
      <c r="E14" s="338"/>
      <c r="F14" s="338">
        <v>6.9559999999999995</v>
      </c>
      <c r="G14" s="338">
        <v>8.0117888029816662</v>
      </c>
      <c r="H14" s="338">
        <v>-1.0557888029816667</v>
      </c>
      <c r="I14" s="339">
        <v>0.86822058981525518</v>
      </c>
      <c r="J14" s="340" t="s">
        <v>331</v>
      </c>
    </row>
    <row r="15" spans="1:10" ht="14.4" customHeight="1" x14ac:dyDescent="0.3">
      <c r="A15" s="336" t="s">
        <v>325</v>
      </c>
      <c r="B15" s="337" t="s">
        <v>325</v>
      </c>
      <c r="C15" s="338" t="s">
        <v>325</v>
      </c>
      <c r="D15" s="338" t="s">
        <v>325</v>
      </c>
      <c r="E15" s="338"/>
      <c r="F15" s="338" t="s">
        <v>325</v>
      </c>
      <c r="G15" s="338" t="s">
        <v>325</v>
      </c>
      <c r="H15" s="338" t="s">
        <v>325</v>
      </c>
      <c r="I15" s="339" t="s">
        <v>325</v>
      </c>
      <c r="J15" s="340" t="s">
        <v>332</v>
      </c>
    </row>
    <row r="16" spans="1:10" ht="14.4" customHeight="1" x14ac:dyDescent="0.3">
      <c r="A16" s="336" t="s">
        <v>336</v>
      </c>
      <c r="B16" s="337" t="s">
        <v>337</v>
      </c>
      <c r="C16" s="338" t="s">
        <v>325</v>
      </c>
      <c r="D16" s="338" t="s">
        <v>325</v>
      </c>
      <c r="E16" s="338"/>
      <c r="F16" s="338" t="s">
        <v>325</v>
      </c>
      <c r="G16" s="338" t="s">
        <v>325</v>
      </c>
      <c r="H16" s="338" t="s">
        <v>325</v>
      </c>
      <c r="I16" s="339" t="s">
        <v>325</v>
      </c>
      <c r="J16" s="340" t="s">
        <v>0</v>
      </c>
    </row>
    <row r="17" spans="1:10" ht="14.4" customHeight="1" x14ac:dyDescent="0.3">
      <c r="A17" s="336" t="s">
        <v>336</v>
      </c>
      <c r="B17" s="337" t="s">
        <v>214</v>
      </c>
      <c r="C17" s="338">
        <v>1.72</v>
      </c>
      <c r="D17" s="338">
        <v>1.46</v>
      </c>
      <c r="E17" s="338"/>
      <c r="F17" s="338">
        <v>0.28399999999999997</v>
      </c>
      <c r="G17" s="338">
        <v>1.2338830856908334</v>
      </c>
      <c r="H17" s="338">
        <v>-0.94988308569083335</v>
      </c>
      <c r="I17" s="339">
        <v>0.23016767414474482</v>
      </c>
      <c r="J17" s="340" t="s">
        <v>1</v>
      </c>
    </row>
    <row r="18" spans="1:10" ht="14.4" customHeight="1" x14ac:dyDescent="0.3">
      <c r="A18" s="336" t="s">
        <v>336</v>
      </c>
      <c r="B18" s="337" t="s">
        <v>338</v>
      </c>
      <c r="C18" s="338">
        <v>1.72</v>
      </c>
      <c r="D18" s="338">
        <v>1.46</v>
      </c>
      <c r="E18" s="338"/>
      <c r="F18" s="338">
        <v>0.28399999999999997</v>
      </c>
      <c r="G18" s="338">
        <v>1.2338830856908334</v>
      </c>
      <c r="H18" s="338">
        <v>-0.94988308569083335</v>
      </c>
      <c r="I18" s="339">
        <v>0.23016767414474482</v>
      </c>
      <c r="J18" s="340" t="s">
        <v>331</v>
      </c>
    </row>
    <row r="19" spans="1:10" ht="14.4" customHeight="1" x14ac:dyDescent="0.3">
      <c r="A19" s="336" t="s">
        <v>325</v>
      </c>
      <c r="B19" s="337" t="s">
        <v>325</v>
      </c>
      <c r="C19" s="338" t="s">
        <v>325</v>
      </c>
      <c r="D19" s="338" t="s">
        <v>325</v>
      </c>
      <c r="E19" s="338"/>
      <c r="F19" s="338" t="s">
        <v>325</v>
      </c>
      <c r="G19" s="338" t="s">
        <v>325</v>
      </c>
      <c r="H19" s="338" t="s">
        <v>325</v>
      </c>
      <c r="I19" s="339" t="s">
        <v>325</v>
      </c>
      <c r="J19" s="340" t="s">
        <v>332</v>
      </c>
    </row>
    <row r="20" spans="1:10" ht="14.4" customHeight="1" x14ac:dyDescent="0.3">
      <c r="A20" s="336" t="s">
        <v>333</v>
      </c>
      <c r="B20" s="337" t="s">
        <v>334</v>
      </c>
      <c r="C20" s="338" t="s">
        <v>325</v>
      </c>
      <c r="D20" s="338" t="s">
        <v>325</v>
      </c>
      <c r="E20" s="338"/>
      <c r="F20" s="338" t="s">
        <v>325</v>
      </c>
      <c r="G20" s="338" t="s">
        <v>325</v>
      </c>
      <c r="H20" s="338" t="s">
        <v>325</v>
      </c>
      <c r="I20" s="339" t="s">
        <v>325</v>
      </c>
      <c r="J20" s="340" t="s">
        <v>0</v>
      </c>
    </row>
    <row r="21" spans="1:10" ht="14.4" customHeight="1" x14ac:dyDescent="0.3">
      <c r="A21" s="336" t="s">
        <v>333</v>
      </c>
      <c r="B21" s="337" t="s">
        <v>214</v>
      </c>
      <c r="C21" s="338">
        <v>2.58</v>
      </c>
      <c r="D21" s="338" t="s">
        <v>325</v>
      </c>
      <c r="E21" s="338"/>
      <c r="F21" s="338" t="s">
        <v>325</v>
      </c>
      <c r="G21" s="338" t="s">
        <v>325</v>
      </c>
      <c r="H21" s="338" t="s">
        <v>325</v>
      </c>
      <c r="I21" s="339" t="s">
        <v>325</v>
      </c>
      <c r="J21" s="340" t="s">
        <v>1</v>
      </c>
    </row>
    <row r="22" spans="1:10" ht="14.4" customHeight="1" x14ac:dyDescent="0.3">
      <c r="A22" s="336" t="s">
        <v>333</v>
      </c>
      <c r="B22" s="337" t="s">
        <v>335</v>
      </c>
      <c r="C22" s="338">
        <v>2.58</v>
      </c>
      <c r="D22" s="338" t="s">
        <v>325</v>
      </c>
      <c r="E22" s="338"/>
      <c r="F22" s="338" t="s">
        <v>325</v>
      </c>
      <c r="G22" s="338" t="s">
        <v>325</v>
      </c>
      <c r="H22" s="338" t="s">
        <v>325</v>
      </c>
      <c r="I22" s="339" t="s">
        <v>325</v>
      </c>
      <c r="J22" s="340" t="s">
        <v>331</v>
      </c>
    </row>
    <row r="23" spans="1:10" ht="14.4" customHeight="1" x14ac:dyDescent="0.3">
      <c r="A23" s="336" t="s">
        <v>325</v>
      </c>
      <c r="B23" s="337" t="s">
        <v>325</v>
      </c>
      <c r="C23" s="338" t="s">
        <v>325</v>
      </c>
      <c r="D23" s="338" t="s">
        <v>325</v>
      </c>
      <c r="E23" s="338"/>
      <c r="F23" s="338" t="s">
        <v>325</v>
      </c>
      <c r="G23" s="338" t="s">
        <v>325</v>
      </c>
      <c r="H23" s="338" t="s">
        <v>325</v>
      </c>
      <c r="I23" s="339" t="s">
        <v>325</v>
      </c>
      <c r="J23" s="340" t="s">
        <v>332</v>
      </c>
    </row>
    <row r="24" spans="1:10" ht="14.4" customHeight="1" x14ac:dyDescent="0.3">
      <c r="A24" s="336" t="s">
        <v>323</v>
      </c>
      <c r="B24" s="337" t="s">
        <v>326</v>
      </c>
      <c r="C24" s="338">
        <v>11.780000000000001</v>
      </c>
      <c r="D24" s="338">
        <v>9.3399999999989998</v>
      </c>
      <c r="E24" s="338"/>
      <c r="F24" s="338">
        <v>7.2399999999999993</v>
      </c>
      <c r="G24" s="338">
        <v>9.2456718886724989</v>
      </c>
      <c r="H24" s="338">
        <v>-2.0056718886724996</v>
      </c>
      <c r="I24" s="339">
        <v>0.78306910381172146</v>
      </c>
      <c r="J24" s="340" t="s">
        <v>327</v>
      </c>
    </row>
  </sheetData>
  <mergeCells count="3">
    <mergeCell ref="A1:I1"/>
    <mergeCell ref="F3:I3"/>
    <mergeCell ref="C4:D4"/>
  </mergeCells>
  <conditionalFormatting sqref="F9 F25:F65537">
    <cfRule type="cellIs" dxfId="19" priority="18" stopIfTrue="1" operator="greaterThan">
      <formula>1</formula>
    </cfRule>
  </conditionalFormatting>
  <conditionalFormatting sqref="H5:H8">
    <cfRule type="expression" dxfId="18" priority="14">
      <formula>$H5&gt;0</formula>
    </cfRule>
  </conditionalFormatting>
  <conditionalFormatting sqref="I5:I8">
    <cfRule type="expression" dxfId="17" priority="15">
      <formula>$I5&gt;1</formula>
    </cfRule>
  </conditionalFormatting>
  <conditionalFormatting sqref="B5:B8">
    <cfRule type="expression" dxfId="16" priority="11">
      <formula>OR($J5="NS",$J5="SumaNS",$J5="Účet")</formula>
    </cfRule>
  </conditionalFormatting>
  <conditionalFormatting sqref="F5:I8 B5:D8">
    <cfRule type="expression" dxfId="15" priority="17">
      <formula>AND($J5&lt;&gt;"",$J5&lt;&gt;"mezeraKL")</formula>
    </cfRule>
  </conditionalFormatting>
  <conditionalFormatting sqref="B5:D8 F5:I8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8 F5:I8">
    <cfRule type="expression" dxfId="13" priority="13">
      <formula>OR($J5="SumaNS",$J5="NS")</formula>
    </cfRule>
  </conditionalFormatting>
  <conditionalFormatting sqref="A5:A8">
    <cfRule type="expression" dxfId="12" priority="9">
      <formula>AND($J5&lt;&gt;"mezeraKL",$J5&lt;&gt;"")</formula>
    </cfRule>
  </conditionalFormatting>
  <conditionalFormatting sqref="A5:A8">
    <cfRule type="expression" dxfId="11" priority="10">
      <formula>AND($J5&lt;&gt;"",$J5&lt;&gt;"mezeraKL")</formula>
    </cfRule>
  </conditionalFormatting>
  <conditionalFormatting sqref="H10:H24">
    <cfRule type="expression" dxfId="10" priority="5">
      <formula>$H10&gt;0</formula>
    </cfRule>
  </conditionalFormatting>
  <conditionalFormatting sqref="A10:A24">
    <cfRule type="expression" dxfId="9" priority="2">
      <formula>AND($J10&lt;&gt;"mezeraKL",$J10&lt;&gt;"")</formula>
    </cfRule>
  </conditionalFormatting>
  <conditionalFormatting sqref="I10:I24">
    <cfRule type="expression" dxfId="8" priority="6">
      <formula>$I10&gt;1</formula>
    </cfRule>
  </conditionalFormatting>
  <conditionalFormatting sqref="B10:B24">
    <cfRule type="expression" dxfId="7" priority="1">
      <formula>OR($J10="NS",$J10="SumaNS",$J10="Účet")</formula>
    </cfRule>
  </conditionalFormatting>
  <conditionalFormatting sqref="A10:D24 F10:I24">
    <cfRule type="expression" dxfId="6" priority="8">
      <formula>AND($J10&lt;&gt;"",$J10&lt;&gt;"mezeraKL")</formula>
    </cfRule>
  </conditionalFormatting>
  <conditionalFormatting sqref="B10:D24 F10:I24">
    <cfRule type="expression" dxfId="5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4 F10:I24">
    <cfRule type="expression" dxfId="4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2014-11-23T13:06:03Z</dcterms:modified>
</cp:coreProperties>
</file>