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D12" i="414"/>
  <c r="C11" i="414" l="1"/>
  <c r="C7" i="414"/>
  <c r="E11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10" i="383"/>
  <c r="A4" i="383"/>
  <c r="A14" i="383"/>
  <c r="A13" i="383"/>
  <c r="A12" i="383"/>
  <c r="A11" i="383"/>
  <c r="A7" i="383"/>
  <c r="A6" i="383"/>
  <c r="A5" i="383"/>
  <c r="C13" i="339"/>
  <c r="C15" i="339" s="1"/>
  <c r="B13" i="339"/>
  <c r="B15" i="339" s="1"/>
  <c r="C12" i="414"/>
  <c r="D14" i="414"/>
  <c r="C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<sst xmlns="http://schemas.openxmlformats.org/spreadsheetml/2006/main" count="557" uniqueCount="313">
  <si>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</si>
  <si>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</si>
  <si>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</si>
  <si>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</si>
  <si>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</si>
  <si>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</si>
  <si>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</si>
  <si>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</si>
  <si>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</si>
  <si>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</si>
  <si>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</si>
  <si>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</si>
  <si>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</si>
  <si>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</si>
  <si>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</si>
  <si>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</si>
  <si>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</si>
  <si>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</si>
  <si>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</si>
  <si>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</si>
  <si>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</si>
  <si>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</si>
  <si>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</si>
  <si>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</si>
  <si>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</si>
  <si>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</si>
  <si>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</si>
  <si>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</si>
  <si>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</si>
  <si>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</si>
  <si>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</si>
  <si>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</si>
  <si>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</si>
  <si>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</si>
  <si>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</si>
  <si>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</si>
  <si>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</si>
  <si>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</si>
  <si>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</si>
  <si>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</si>
  <si>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</si>
  <si>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</si>
  <si>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</si>
  <si>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</si>
  <si>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</si>
  <si>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</si>
  <si>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</si>
  <si>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</si>
  <si>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</si>
  <si>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</si>
  <si>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</si>
  <si>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</si>
  <si>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</si>
  <si>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</si>
  <si>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</si>
  <si>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</si>
  <si>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</si>
  <si>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</si>
  <si>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</si>
  <si>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</si>
  <si>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</si>
  <si>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</si>
  <si>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</si>
  <si>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</si>
  <si>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</si>
  <si>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</si>
  <si>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</si>
  <si>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</si>
  <si>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</si>
  <si>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</si>
  <si>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</si>
  <si>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</si>
  <si>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</si>
  <si>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</si>
  <si>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</si>
  <si>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</si>
  <si>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</si>
  <si>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</si>
  <si>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</si>
  <si>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</si>
  <si>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</si>
  <si>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</si>
  <si>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</si>
  <si>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</si>
  <si>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</si>
  <si>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Přečerpáno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</si>
  <si>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</si>
  <si>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</si>
  <si>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</si>
  <si>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</si>
  <si>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</si>
  <si>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</si>
  <si>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</si>
  <si>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</si>
  <si>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</si>
  <si>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</si>
  <si>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</si>
  <si>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</si>
  <si>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</si>
  <si>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</si>
  <si>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</si>
  <si>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</si>
  <si>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</si>
  <si>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</si>
  <si>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</si>
  <si>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</si>
  <si>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</si>
  <si>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</si>
  <si>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</si>
  <si>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</si>
  <si>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</si>
  <si>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</si>
  <si>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</si>
  <si>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</si>
  <si>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</si>
  <si>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</si>
  <si>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</si>
  <si>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</si>
  <si>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</si>
  <si>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</si>
  <si>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</si>
  <si>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</si>
  <si>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</si>
  <si>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</si>
  <si>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</si>
  <si>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</si>
  <si>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</si>
  <si>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</si>
  <si>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</si>
  <si>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</si>
  <si>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</si>
  <si>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</si>
  <si>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</si>
  <si>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</si>
  <si>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</si>
  <si>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</si>
  <si>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</si>
  <si>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</si>
  <si>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</si>
  <si>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</si>
  <si>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</si>
  <si>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</si>
  <si>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</si>
  <si>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</si>
  <si>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</si>
  <si>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</si>
  <si>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</si>
  <si>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</si>
  <si>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</si>
  <si>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</si>
  <si>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</si>
  <si>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</si>
  <si>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</si>
  <si>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</si>
  <si>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</si>
  <si>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</si>
  <si>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</si>
  <si>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</si>
  <si>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</si>
  <si>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</si>
  <si>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</si>
  <si>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</si>
  <si>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</si>
  <si>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</si>
  <si>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</si>
  <si>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</si>
  <si>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</si>
  <si>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</si>
  <si>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</si>
  <si>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</si>
  <si>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</si>
  <si>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</si>
  <si>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</si>
  <si>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</si>
  <si>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</si>
  <si>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</si>
  <si>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</si>
  <si>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</si>
  <si>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</si>
  <si>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</si>
  <si>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</si>
  <si>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</si>
  <si>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</si>
  <si>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</si>
  <si>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</si>
  <si>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</si>
  <si>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</si>
  <si>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</si>
  <si>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</si>
  <si>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</si>
  <si>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</si>
  <si>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</si>
  <si>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</si>
  <si>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</si>
  <si>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</si>
  <si>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</si>
  <si>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--</t>
  </si>
  <si>
    <t>50117024     všeob.mat. - ostatní-vyjímky (V44) od 0,01 do 999,99</t>
  </si>
  <si>
    <t>50118     Náhradní díly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</si>
  <si>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</si>
  <si>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</si>
  <si>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</si>
  <si>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</si>
  <si>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</si>
  <si>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</si>
  <si>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</si>
  <si>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</si>
  <si>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</si>
  <si>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</si>
  <si>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</si>
  <si>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</si>
  <si>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</si>
  <si>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</si>
  <si>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</si>
  <si>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</si>
  <si>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</si>
  <si>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</si>
  <si>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</si>
  <si>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</si>
  <si>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</si>
  <si>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</si>
  <si>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</si>
  <si>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</si>
  <si>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</si>
  <si>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</si>
  <si>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</si>
  <si>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</si>
  <si>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</si>
  <si>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</si>
  <si>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</si>
  <si>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</si>
  <si>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</si>
  <si>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</si>
  <si>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</si>
  <si>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</si>
  <si>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</si>
  <si>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</si>
  <si>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</si>
  <si>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</si>
  <si>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</si>
  <si>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</si>
  <si>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</si>
  <si>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</si>
  <si>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</si>
  <si>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</si>
  <si>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</si>
  <si>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</si>
  <si>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</si>
  <si>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</si>
  <si>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</si>
  <si>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</si>
  <si>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</si>
  <si>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</si>
  <si>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</si>
  <si>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</si>
  <si>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</si>
  <si>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</si>
  <si>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</si>
  <si>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</si>
  <si>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</si>
  <si>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</si>
  <si>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</si>
  <si>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</si>
  <si>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6     Účtová třída 6 - Výnosy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</si>
  <si>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</si>
  <si>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</si>
  <si>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</si>
  <si>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</si>
  <si>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</si>
  <si>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</si>
  <si>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</si>
  <si>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</si>
  <si>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</si>
  <si>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</si>
  <si>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</si>
  <si>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</si>
  <si>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</si>
  <si>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</si>
  <si>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</si>
  <si>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</si>
  <si>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</si>
  <si>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</si>
  <si>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</si>
  <si>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</si>
  <si>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</si>
  <si>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</si>
  <si>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</si>
  <si>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</si>
  <si>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</si>
  <si>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</si>
  <si>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/>
  </si>
  <si>
    <t>Oddělení centrální sterilizace</t>
  </si>
  <si>
    <t>50113001</t>
  </si>
  <si>
    <t>Lékárna - léčiva</t>
  </si>
  <si>
    <t>SumaKL</t>
  </si>
  <si>
    <t>5693</t>
  </si>
  <si>
    <t>Oddělení centrální sterilizace, oddělení centrální</t>
  </si>
  <si>
    <t>SumaNS</t>
  </si>
  <si>
    <t>mezeraNS</t>
  </si>
  <si>
    <t>O</t>
  </si>
  <si>
    <t>900503</t>
  </si>
  <si>
    <t>KL AQUA PURIF. 1000G</t>
  </si>
  <si>
    <t>930224</t>
  </si>
  <si>
    <t>KL BENZINUM 900 ml</t>
  </si>
  <si>
    <t>UN 3295</t>
  </si>
  <si>
    <t>920294</t>
  </si>
  <si>
    <t>KL SOL.FORMALDEHYDI 3% 1 KG</t>
  </si>
  <si>
    <t>50115067</t>
  </si>
  <si>
    <t>532 SZM Rukavice (112 02 108)</t>
  </si>
  <si>
    <t>ZL948</t>
  </si>
  <si>
    <t>Rukavice nitril promedica bez p. M bílé 6N á 100 ks 9399W3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</si>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</sst>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54">
    <xf numFmtId="0" fontId="0" fillId="0" borderId="0" xfId="0"/>
    <xf numFmtId="0" fontId="27" fillId="2" borderId="15" xfId="80" applyFont="1" applyFill="1" applyBorder="1"/>
    <xf numFmtId="0" fontId="28" fillId="2" borderId="16" xfId="80" applyFont="1" applyFill="1" applyBorder="1"/>
    <xf numFmtId="3" fontId="28" fillId="2" borderId="17" xfId="80" applyNumberFormat="1" applyFont="1" applyFill="1" applyBorder="1"/>
    <xf numFmtId="0" fontId="28" fillId="4" borderId="16" xfId="80" applyFont="1" applyFill="1" applyBorder="1"/>
    <xf numFmtId="3" fontId="28" fillId="4" borderId="17" xfId="80" applyNumberFormat="1" applyFont="1" applyFill="1" applyBorder="1"/>
    <xf numFmtId="172" fontId="28" fillId="3" borderId="17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2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1" xfId="0" applyFont="1" applyFill="1" applyBorder="1" applyAlignment="1">
      <alignment vertical="top"/>
    </xf>
    <xf numFmtId="0" fontId="37" fillId="2" borderId="32" xfId="0" applyFont="1" applyFill="1" applyBorder="1" applyAlignment="1">
      <alignment vertical="top"/>
    </xf>
    <xf numFmtId="0" fontId="34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7" xfId="80" applyNumberFormat="1" applyFont="1" applyFill="1" applyBorder="1"/>
    <xf numFmtId="3" fontId="27" fillId="5" borderId="23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5" xfId="80" applyNumberFormat="1" applyFont="1" applyFill="1" applyBorder="1"/>
    <xf numFmtId="3" fontId="28" fillId="2" borderId="18" xfId="80" applyNumberFormat="1" applyFont="1" applyFill="1" applyBorder="1"/>
    <xf numFmtId="3" fontId="28" fillId="4" borderId="25" xfId="80" applyNumberFormat="1" applyFont="1" applyFill="1" applyBorder="1"/>
    <xf numFmtId="3" fontId="28" fillId="4" borderId="18" xfId="80" applyNumberFormat="1" applyFont="1" applyFill="1" applyBorder="1"/>
    <xf numFmtId="172" fontId="28" fillId="3" borderId="25" xfId="80" applyNumberFormat="1" applyFont="1" applyFill="1" applyBorder="1"/>
    <xf numFmtId="172" fontId="28" fillId="3" borderId="18" xfId="80" applyNumberFormat="1" applyFont="1" applyFill="1" applyBorder="1"/>
    <xf numFmtId="0" fontId="31" fillId="2" borderId="23" xfId="80" applyFont="1" applyFill="1" applyBorder="1" applyAlignment="1">
      <alignment horizontal="center"/>
    </xf>
    <xf numFmtId="0" fontId="32" fillId="0" borderId="34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0" xfId="0" applyNumberFormat="1" applyFont="1" applyFill="1" applyBorder="1" applyAlignment="1">
      <alignment horizontal="right" vertical="top"/>
    </xf>
    <xf numFmtId="3" fontId="33" fillId="0" borderId="21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4" xfId="81" applyFont="1" applyFill="1" applyBorder="1" applyAlignment="1"/>
    <xf numFmtId="0" fontId="29" fillId="0" borderId="0" xfId="49" applyFont="1" applyFill="1"/>
    <xf numFmtId="0" fontId="32" fillId="0" borderId="28" xfId="0" applyFont="1" applyFill="1" applyBorder="1" applyAlignment="1"/>
    <xf numFmtId="0" fontId="32" fillId="0" borderId="29" xfId="0" applyFont="1" applyFill="1" applyBorder="1" applyAlignment="1"/>
    <xf numFmtId="0" fontId="32" fillId="0" borderId="47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32" fillId="0" borderId="23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0" xfId="0" applyFont="1" applyFill="1" applyBorder="1"/>
    <xf numFmtId="0" fontId="32" fillId="5" borderId="34" xfId="0" applyFont="1" applyFill="1" applyBorder="1"/>
    <xf numFmtId="0" fontId="32" fillId="5" borderId="40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3" fontId="31" fillId="0" borderId="27" xfId="53" applyNumberFormat="1" applyFont="1" applyFill="1" applyBorder="1"/>
    <xf numFmtId="3" fontId="31" fillId="0" borderId="23" xfId="53" applyNumberFormat="1" applyFont="1" applyFill="1" applyBorder="1"/>
    <xf numFmtId="0" fontId="31" fillId="2" borderId="36" xfId="74" applyFont="1" applyFill="1" applyBorder="1" applyAlignment="1">
      <alignment horizontal="center"/>
    </xf>
    <xf numFmtId="0" fontId="27" fillId="5" borderId="34" xfId="80" applyFont="1" applyFill="1" applyBorder="1"/>
    <xf numFmtId="0" fontId="31" fillId="2" borderId="21" xfId="80" applyFont="1" applyFill="1" applyBorder="1" applyAlignment="1">
      <alignment horizontal="center"/>
    </xf>
    <xf numFmtId="0" fontId="31" fillId="2" borderId="20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5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7" xfId="0" applyNumberFormat="1" applyFont="1" applyFill="1" applyBorder="1"/>
    <xf numFmtId="3" fontId="32" fillId="0" borderId="22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3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8" xfId="80" applyNumberFormat="1" applyFont="1" applyFill="1" applyBorder="1"/>
    <xf numFmtId="9" fontId="28" fillId="4" borderId="18" xfId="80" applyNumberFormat="1" applyFont="1" applyFill="1" applyBorder="1"/>
    <xf numFmtId="9" fontId="28" fillId="3" borderId="18" xfId="80" applyNumberFormat="1" applyFont="1" applyFill="1" applyBorder="1"/>
    <xf numFmtId="0" fontId="31" fillId="2" borderId="19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0" xfId="0" applyFont="1" applyFill="1" applyBorder="1" applyAlignment="1"/>
    <xf numFmtId="0" fontId="32" fillId="0" borderId="0" xfId="0" applyFont="1" applyFill="1" applyAlignment="1"/>
    <xf numFmtId="0" fontId="44" fillId="4" borderId="31" xfId="1" applyFont="1" applyFill="1" applyBorder="1"/>
    <xf numFmtId="0" fontId="44" fillId="4" borderId="15" xfId="1" applyFont="1" applyFill="1" applyBorder="1"/>
    <xf numFmtId="0" fontId="44" fillId="3" borderId="16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2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5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1" xfId="0" applyNumberFormat="1" applyFont="1" applyFill="1" applyBorder="1"/>
    <xf numFmtId="3" fontId="39" fillId="2" borderId="42" xfId="0" applyNumberFormat="1" applyFont="1" applyFill="1" applyBorder="1"/>
    <xf numFmtId="9" fontId="39" fillId="2" borderId="46" xfId="0" applyNumberFormat="1" applyFont="1" applyFill="1" applyBorder="1"/>
    <xf numFmtId="0" fontId="48" fillId="2" borderId="16" xfId="1" applyFont="1" applyFill="1" applyBorder="1" applyAlignment="1"/>
    <xf numFmtId="0" fontId="32" fillId="2" borderId="26" xfId="0" applyFont="1" applyFill="1" applyBorder="1" applyAlignment="1"/>
    <xf numFmtId="3" fontId="32" fillId="2" borderId="25" xfId="0" applyNumberFormat="1" applyFont="1" applyFill="1" applyBorder="1" applyAlignment="1"/>
    <xf numFmtId="9" fontId="32" fillId="2" borderId="18" xfId="0" applyNumberFormat="1" applyFont="1" applyFill="1" applyBorder="1" applyAlignment="1"/>
    <xf numFmtId="0" fontId="39" fillId="2" borderId="43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2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2" xfId="1" applyFont="1" applyFill="1" applyBorder="1" applyAlignment="1">
      <alignment horizontal="left" indent="4"/>
    </xf>
    <xf numFmtId="0" fontId="32" fillId="2" borderId="32" xfId="0" applyFont="1" applyFill="1" applyBorder="1" applyAlignment="1">
      <alignment horizontal="left" indent="2"/>
    </xf>
    <xf numFmtId="0" fontId="31" fillId="2" borderId="32" xfId="1" applyFont="1" applyFill="1" applyBorder="1" applyAlignment="1"/>
    <xf numFmtId="0" fontId="44" fillId="2" borderId="32" xfId="1" applyFont="1" applyFill="1" applyBorder="1" applyAlignment="1">
      <alignment horizontal="left" indent="2"/>
    </xf>
    <xf numFmtId="0" fontId="48" fillId="2" borderId="32" xfId="1" applyFont="1" applyFill="1" applyBorder="1" applyAlignment="1"/>
    <xf numFmtId="0" fontId="32" fillId="0" borderId="30" xfId="0" applyFont="1" applyBorder="1" applyAlignment="1"/>
    <xf numFmtId="3" fontId="32" fillId="0" borderId="21" xfId="0" applyNumberFormat="1" applyFont="1" applyBorder="1" applyAlignment="1"/>
    <xf numFmtId="9" fontId="32" fillId="0" borderId="20" xfId="0" applyNumberFormat="1" applyFont="1" applyBorder="1" applyAlignment="1"/>
    <xf numFmtId="0" fontId="39" fillId="0" borderId="34" xfId="0" applyFont="1" applyFill="1" applyBorder="1" applyAlignment="1">
      <alignment horizontal="left" indent="2"/>
    </xf>
    <xf numFmtId="0" fontId="32" fillId="0" borderId="34" xfId="0" applyFont="1" applyBorder="1" applyAlignment="1"/>
    <xf numFmtId="3" fontId="32" fillId="0" borderId="34" xfId="0" applyNumberFormat="1" applyFont="1" applyBorder="1" applyAlignment="1"/>
    <xf numFmtId="9" fontId="32" fillId="0" borderId="34" xfId="0" applyNumberFormat="1" applyFont="1" applyBorder="1" applyAlignment="1"/>
    <xf numFmtId="0" fontId="48" fillId="4" borderId="16" xfId="1" applyFont="1" applyFill="1" applyBorder="1" applyAlignment="1">
      <alignment horizontal="left"/>
    </xf>
    <xf numFmtId="0" fontId="32" fillId="4" borderId="26" xfId="0" applyFont="1" applyFill="1" applyBorder="1" applyAlignment="1"/>
    <xf numFmtId="3" fontId="32" fillId="4" borderId="25" xfId="0" applyNumberFormat="1" applyFont="1" applyFill="1" applyBorder="1" applyAlignment="1"/>
    <xf numFmtId="9" fontId="32" fillId="4" borderId="18" xfId="0" applyNumberFormat="1" applyFont="1" applyFill="1" applyBorder="1" applyAlignment="1"/>
    <xf numFmtId="0" fontId="48" fillId="4" borderId="43" xfId="1" applyFont="1" applyFill="1" applyBorder="1" applyAlignment="1">
      <alignment horizontal="left"/>
    </xf>
    <xf numFmtId="0" fontId="48" fillId="4" borderId="32" xfId="1" applyFont="1" applyFill="1" applyBorder="1" applyAlignment="1">
      <alignment horizontal="left"/>
    </xf>
    <xf numFmtId="0" fontId="32" fillId="4" borderId="33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0" xfId="0" applyNumberFormat="1" applyFont="1" applyBorder="1" applyAlignment="1"/>
    <xf numFmtId="0" fontId="39" fillId="3" borderId="16" xfId="0" applyFont="1" applyFill="1" applyBorder="1" applyAlignment="1"/>
    <xf numFmtId="0" fontId="32" fillId="3" borderId="26" xfId="0" applyFont="1" applyFill="1" applyBorder="1" applyAlignment="1"/>
    <xf numFmtId="3" fontId="32" fillId="3" borderId="25" xfId="0" applyNumberFormat="1" applyFont="1" applyFill="1" applyBorder="1" applyAlignment="1"/>
    <xf numFmtId="9" fontId="32" fillId="3" borderId="18" xfId="0" applyNumberFormat="1" applyFont="1" applyFill="1" applyBorder="1" applyAlignment="1"/>
    <xf numFmtId="0" fontId="7" fillId="0" borderId="0" xfId="80" applyFont="1" applyFill="1"/>
    <xf numFmtId="0" fontId="49" fillId="0" borderId="34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0" xfId="0" applyNumberFormat="1" applyFont="1" applyFill="1" applyBorder="1"/>
    <xf numFmtId="3" fontId="51" fillId="8" borderId="51" xfId="0" applyNumberFormat="1" applyFont="1" applyFill="1" applyBorder="1"/>
    <xf numFmtId="3" fontId="51" fillId="8" borderId="50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4" xfId="0" applyNumberFormat="1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7" xfId="0" applyNumberFormat="1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0" xfId="0" applyFont="1" applyFill="1" applyBorder="1" applyAlignment="1"/>
    <xf numFmtId="0" fontId="39" fillId="2" borderId="62" xfId="0" applyFont="1" applyFill="1" applyBorder="1" applyAlignment="1">
      <alignment horizontal="left" indent="1"/>
    </xf>
    <xf numFmtId="0" fontId="39" fillId="2" borderId="68" xfId="0" applyFont="1" applyFill="1" applyBorder="1" applyAlignment="1">
      <alignment horizontal="left" indent="1"/>
    </xf>
    <xf numFmtId="0" fontId="39" fillId="4" borderId="60" xfId="0" applyFont="1" applyFill="1" applyBorder="1" applyAlignment="1"/>
    <xf numFmtId="0" fontId="39" fillId="4" borderId="62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2" xfId="0" quotePrefix="1" applyFont="1" applyFill="1" applyBorder="1" applyAlignment="1">
      <alignment horizontal="left" indent="2"/>
    </xf>
    <xf numFmtId="0" fontId="32" fillId="2" borderId="68" xfId="0" quotePrefix="1" applyFont="1" applyFill="1" applyBorder="1" applyAlignment="1">
      <alignment horizontal="left" indent="2"/>
    </xf>
    <xf numFmtId="0" fontId="39" fillId="2" borderId="60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8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2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1" xfId="0" applyNumberFormat="1" applyFont="1" applyFill="1" applyBorder="1" applyAlignment="1"/>
    <xf numFmtId="174" fontId="39" fillId="4" borderId="54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3" xfId="0" applyNumberFormat="1" applyFont="1" applyBorder="1"/>
    <xf numFmtId="174" fontId="32" fillId="0" borderId="67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8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4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69" xfId="0" applyNumberFormat="1" applyFont="1" applyBorder="1"/>
    <xf numFmtId="174" fontId="32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1" xfId="0" applyNumberFormat="1" applyFont="1" applyBorder="1"/>
    <xf numFmtId="174" fontId="32" fillId="0" borderId="77" xfId="0" applyNumberFormat="1" applyFont="1" applyBorder="1"/>
    <xf numFmtId="174" fontId="32" fillId="0" borderId="55" xfId="0" applyNumberFormat="1" applyFont="1" applyBorder="1"/>
    <xf numFmtId="174" fontId="32" fillId="0" borderId="56" xfId="0" applyNumberFormat="1" applyFont="1" applyBorder="1"/>
    <xf numFmtId="174" fontId="32" fillId="0" borderId="64" xfId="0" applyNumberFormat="1" applyFont="1" applyBorder="1"/>
    <xf numFmtId="174" fontId="32" fillId="0" borderId="57" xfId="0" applyNumberFormat="1" applyFont="1" applyBorder="1"/>
    <xf numFmtId="175" fontId="39" fillId="2" borderId="61" xfId="0" applyNumberFormat="1" applyFont="1" applyFill="1" applyBorder="1" applyAlignment="1"/>
    <xf numFmtId="175" fontId="32" fillId="2" borderId="54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3" xfId="0" applyNumberFormat="1" applyFont="1" applyBorder="1"/>
    <xf numFmtId="175" fontId="32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9" fillId="0" borderId="69" xfId="0" applyNumberFormat="1" applyFont="1" applyBorder="1"/>
    <xf numFmtId="175" fontId="32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25" fillId="2" borderId="15" xfId="1" applyFill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174" fontId="32" fillId="0" borderId="58" xfId="0" applyNumberFormat="1" applyFont="1" applyBorder="1" applyAlignment="1"/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0" fontId="39" fillId="3" borderId="24" xfId="0" applyFont="1" applyFill="1" applyBorder="1" applyAlignment="1"/>
    <xf numFmtId="0" fontId="32" fillId="0" borderId="35" xfId="0" applyFont="1" applyBorder="1" applyAlignment="1"/>
    <xf numFmtId="0" fontId="39" fillId="2" borderId="24" xfId="0" applyFont="1" applyFill="1" applyBorder="1" applyAlignment="1"/>
    <xf numFmtId="0" fontId="39" fillId="4" borderId="24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4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36" xfId="80" applyFont="1" applyFill="1" applyBorder="1" applyAlignment="1">
      <alignment horizontal="center"/>
    </xf>
    <xf numFmtId="0" fontId="31" fillId="2" borderId="49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2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2" xfId="53" applyNumberFormat="1" applyFont="1" applyFill="1" applyBorder="1" applyAlignment="1">
      <alignment horizontal="right"/>
    </xf>
    <xf numFmtId="165" fontId="29" fillId="2" borderId="27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174" fontId="32" fillId="0" borderId="58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39" fillId="2" borderId="5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4" fontId="32" fillId="0" borderId="65" xfId="0" applyNumberFormat="1" applyFont="1" applyBorder="1" applyAlignment="1"/>
    <xf numFmtId="174" fontId="39" fillId="4" borderId="55" xfId="0" applyNumberFormat="1" applyFont="1" applyFill="1" applyBorder="1" applyAlignment="1">
      <alignment horizontal="center"/>
    </xf>
    <xf numFmtId="3" fontId="33" fillId="9" borderId="80" xfId="0" applyNumberFormat="1" applyFont="1" applyFill="1" applyBorder="1" applyAlignment="1">
      <alignment horizontal="right" vertical="top"/>
    </xf>
    <xf numFmtId="3" fontId="33" fillId="9" borderId="81" xfId="0" applyNumberFormat="1" applyFont="1" applyFill="1" applyBorder="1" applyAlignment="1">
      <alignment horizontal="right" vertical="top"/>
    </xf>
    <xf numFmtId="176" fontId="33" fillId="9" borderId="82" xfId="0" applyNumberFormat="1" applyFont="1" applyFill="1" applyBorder="1" applyAlignment="1">
      <alignment horizontal="right" vertical="top"/>
    </xf>
    <xf numFmtId="3" fontId="33" fillId="0" borderId="80" xfId="0" applyNumberFormat="1" applyFont="1" applyBorder="1" applyAlignment="1">
      <alignment horizontal="right" vertical="top"/>
    </xf>
    <xf numFmtId="176" fontId="33" fillId="9" borderId="83" xfId="0" applyNumberFormat="1" applyFont="1" applyFill="1" applyBorder="1" applyAlignment="1">
      <alignment horizontal="right" vertical="top"/>
    </xf>
    <xf numFmtId="3" fontId="35" fillId="9" borderId="85" xfId="0" applyNumberFormat="1" applyFont="1" applyFill="1" applyBorder="1" applyAlignment="1">
      <alignment horizontal="right" vertical="top"/>
    </xf>
    <xf numFmtId="3" fontId="35" fillId="9" borderId="86" xfId="0" applyNumberFormat="1" applyFont="1" applyFill="1" applyBorder="1" applyAlignment="1">
      <alignment horizontal="right" vertical="top"/>
    </xf>
    <xf numFmtId="176" fontId="35" fillId="9" borderId="87" xfId="0" applyNumberFormat="1" applyFont="1" applyFill="1" applyBorder="1" applyAlignment="1">
      <alignment horizontal="right" vertical="top"/>
    </xf>
    <xf numFmtId="3" fontId="35" fillId="0" borderId="85" xfId="0" applyNumberFormat="1" applyFont="1" applyBorder="1" applyAlignment="1">
      <alignment horizontal="right" vertical="top"/>
    </xf>
    <xf numFmtId="176" fontId="35" fillId="9" borderId="88" xfId="0" applyNumberFormat="1" applyFont="1" applyFill="1" applyBorder="1" applyAlignment="1">
      <alignment horizontal="right" vertical="top"/>
    </xf>
    <xf numFmtId="0" fontId="33" fillId="9" borderId="82" xfId="0" applyFont="1" applyFill="1" applyBorder="1" applyAlignment="1">
      <alignment horizontal="right" vertical="top"/>
    </xf>
    <xf numFmtId="0" fontId="33" fillId="9" borderId="83" xfId="0" applyFont="1" applyFill="1" applyBorder="1" applyAlignment="1">
      <alignment horizontal="right" vertical="top"/>
    </xf>
    <xf numFmtId="0" fontId="35" fillId="9" borderId="87" xfId="0" applyFont="1" applyFill="1" applyBorder="1" applyAlignment="1">
      <alignment horizontal="right" vertical="top"/>
    </xf>
    <xf numFmtId="0" fontId="35" fillId="9" borderId="88" xfId="0" applyFont="1" applyFill="1" applyBorder="1" applyAlignment="1">
      <alignment horizontal="right" vertical="top"/>
    </xf>
    <xf numFmtId="3" fontId="35" fillId="0" borderId="89" xfId="0" applyNumberFormat="1" applyFont="1" applyBorder="1" applyAlignment="1">
      <alignment horizontal="right" vertical="top"/>
    </xf>
    <xf numFmtId="3" fontId="35" fillId="0" borderId="90" xfId="0" applyNumberFormat="1" applyFont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6" fontId="35" fillId="9" borderId="92" xfId="0" applyNumberFormat="1" applyFont="1" applyFill="1" applyBorder="1" applyAlignment="1">
      <alignment horizontal="right" vertical="top"/>
    </xf>
    <xf numFmtId="0" fontId="37" fillId="10" borderId="79" xfId="0" applyFont="1" applyFill="1" applyBorder="1" applyAlignment="1">
      <alignment vertical="top"/>
    </xf>
    <xf numFmtId="0" fontId="37" fillId="10" borderId="79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4"/>
    </xf>
    <xf numFmtId="0" fontId="38" fillId="10" borderId="84" xfId="0" applyFont="1" applyFill="1" applyBorder="1" applyAlignment="1">
      <alignment vertical="top" indent="6"/>
    </xf>
    <xf numFmtId="0" fontId="37" fillId="10" borderId="79" xfId="0" applyFont="1" applyFill="1" applyBorder="1" applyAlignment="1">
      <alignment vertical="top" indent="8"/>
    </xf>
    <xf numFmtId="0" fontId="38" fillId="10" borderId="84" xfId="0" applyFont="1" applyFill="1" applyBorder="1" applyAlignment="1">
      <alignment vertical="top" indent="2"/>
    </xf>
    <xf numFmtId="0" fontId="37" fillId="10" borderId="79" xfId="0" applyFont="1" applyFill="1" applyBorder="1" applyAlignment="1">
      <alignment vertical="top" indent="6"/>
    </xf>
    <xf numFmtId="0" fontId="38" fillId="10" borderId="84" xfId="0" applyFont="1" applyFill="1" applyBorder="1" applyAlignment="1">
      <alignment vertical="top" indent="4"/>
    </xf>
    <xf numFmtId="0" fontId="32" fillId="10" borderId="79" xfId="0" applyFont="1" applyFill="1" applyBorder="1"/>
    <xf numFmtId="0" fontId="38" fillId="10" borderId="16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/>
    <xf numFmtId="9" fontId="29" fillId="0" borderId="0" xfId="0" applyNumberFormat="1" applyFont="1" applyFill="1" applyBorder="1"/>
    <xf numFmtId="165" fontId="31" fillId="2" borderId="93" xfId="53" applyNumberFormat="1" applyFont="1" applyFill="1" applyBorder="1" applyAlignment="1">
      <alignment horizontal="left"/>
    </xf>
    <xf numFmtId="165" fontId="31" fillId="2" borderId="94" xfId="53" applyNumberFormat="1" applyFont="1" applyFill="1" applyBorder="1" applyAlignment="1">
      <alignment horizontal="left"/>
    </xf>
    <xf numFmtId="165" fontId="31" fillId="2" borderId="44" xfId="53" applyNumberFormat="1" applyFont="1" applyFill="1" applyBorder="1" applyAlignment="1">
      <alignment horizontal="left"/>
    </xf>
    <xf numFmtId="3" fontId="31" fillId="2" borderId="44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0" fontId="32" fillId="0" borderId="54" xfId="0" applyFont="1" applyFill="1" applyBorder="1"/>
    <xf numFmtId="0" fontId="32" fillId="0" borderId="55" xfId="0" applyFont="1" applyFill="1" applyBorder="1"/>
    <xf numFmtId="165" fontId="32" fillId="0" borderId="55" xfId="0" applyNumberFormat="1" applyFont="1" applyFill="1" applyBorder="1"/>
    <xf numFmtId="165" fontId="32" fillId="0" borderId="55" xfId="0" applyNumberFormat="1" applyFont="1" applyFill="1" applyBorder="1" applyAlignment="1">
      <alignment horizontal="right"/>
    </xf>
    <xf numFmtId="3" fontId="32" fillId="0" borderId="55" xfId="0" applyNumberFormat="1" applyFont="1" applyFill="1" applyBorder="1"/>
    <xf numFmtId="3" fontId="32" fillId="0" borderId="56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5" fontId="32" fillId="0" borderId="65" xfId="0" applyNumberFormat="1" applyFont="1" applyFill="1" applyBorder="1"/>
    <xf numFmtId="165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57" xfId="0" applyFont="1" applyFill="1" applyBorder="1"/>
    <xf numFmtId="0" fontId="32" fillId="0" borderId="58" xfId="0" applyFont="1" applyFill="1" applyBorder="1"/>
    <xf numFmtId="165" fontId="32" fillId="0" borderId="58" xfId="0" applyNumberFormat="1" applyFont="1" applyFill="1" applyBorder="1"/>
    <xf numFmtId="165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17" xfId="0" applyFont="1" applyFill="1" applyBorder="1"/>
    <xf numFmtId="0" fontId="32" fillId="0" borderId="25" xfId="0" applyFont="1" applyFill="1" applyBorder="1"/>
    <xf numFmtId="165" fontId="32" fillId="0" borderId="25" xfId="0" applyNumberFormat="1" applyFont="1" applyFill="1" applyBorder="1"/>
    <xf numFmtId="165" fontId="32" fillId="0" borderId="25" xfId="0" applyNumberFormat="1" applyFont="1" applyFill="1" applyBorder="1" applyAlignment="1">
      <alignment horizontal="right"/>
    </xf>
    <xf numFmtId="3" fontId="32" fillId="0" borderId="25" xfId="0" applyNumberFormat="1" applyFont="1" applyFill="1" applyBorder="1"/>
    <xf numFmtId="3" fontId="32" fillId="0" borderId="18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98.6640625" style="10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55" t="s">
        <v>67</v>
      </c>
      <c r="B1" s="255"/>
    </row>
    <row r="2" spans="1:3" ht="14.4" customHeight="1" thickBot="1" x14ac:dyDescent="0.35">
      <c r="A2" s="179" t="s">
        <v>176</v>
      </c>
      <c r="B2" s="41"/>
    </row>
    <row r="3" spans="1:3" ht="14.4" customHeight="1" thickBot="1" x14ac:dyDescent="0.35">
      <c r="A3" s="251" t="s">
        <v>83</v>
      </c>
      <c r="B3" s="252"/>
    </row>
    <row r="4" spans="1:3" ht="14.4" customHeight="1" x14ac:dyDescent="0.3">
      <c r="A4" s="114" t="str">
        <f t="shared" ref="A4:A7" si="0">HYPERLINK("#'"&amp;C4&amp;"'!A1",C4)</f>
        <v>Motivace</v>
      </c>
      <c r="B4" s="63" t="s">
        <v>77</v>
      </c>
      <c r="C4" s="42" t="s">
        <v>78</v>
      </c>
    </row>
    <row r="5" spans="1:3" ht="14.4" customHeight="1" x14ac:dyDescent="0.3">
      <c r="A5" s="115" t="str">
        <f t="shared" si="0"/>
        <v>HI</v>
      </c>
      <c r="B5" s="64" t="s">
        <v>80</v>
      </c>
      <c r="C5" s="42" t="s">
        <v>70</v>
      </c>
    </row>
    <row r="6" spans="1:3" ht="14.4" customHeight="1" x14ac:dyDescent="0.3">
      <c r="A6" s="116" t="str">
        <f t="shared" si="0"/>
        <v>Man Tab</v>
      </c>
      <c r="B6" s="65" t="s">
        <v>178</v>
      </c>
      <c r="C6" s="42" t="s">
        <v>71</v>
      </c>
    </row>
    <row r="7" spans="1:3" ht="14.4" customHeight="1" thickBot="1" x14ac:dyDescent="0.35">
      <c r="A7" s="117" t="str">
        <f t="shared" si="0"/>
        <v>HV</v>
      </c>
      <c r="B7" s="66" t="s">
        <v>49</v>
      </c>
      <c r="C7" s="42" t="s">
        <v>54</v>
      </c>
    </row>
    <row r="8" spans="1:3" ht="14.4" customHeight="1" thickBot="1" x14ac:dyDescent="0.35">
      <c r="A8" s="67"/>
      <c r="B8" s="67"/>
    </row>
    <row r="9" spans="1:3" ht="14.4" customHeight="1" thickBot="1" x14ac:dyDescent="0.35">
      <c r="A9" s="253" t="s">
        <v>68</v>
      </c>
      <c r="B9" s="252"/>
    </row>
    <row r="10" spans="1:3" ht="14.4" customHeight="1" x14ac:dyDescent="0.3">
      <c r="A10" s="118" t="str">
        <f t="shared" ref="A10:A14" si="1">HYPERLINK("#'"&amp;C10&amp;"'!A1",C10)</f>
        <v>Léky Žádanky</v>
      </c>
      <c r="B10" s="64" t="s">
        <v>81</v>
      </c>
      <c r="C10" s="42" t="s">
        <v>72</v>
      </c>
    </row>
    <row r="11" spans="1:3" ht="14.4" customHeight="1" x14ac:dyDescent="0.3">
      <c r="A11" s="116" t="str">
        <f t="shared" si="1"/>
        <v>LŽ Detail</v>
      </c>
      <c r="B11" s="65" t="s">
        <v>100</v>
      </c>
      <c r="C11" s="42" t="s">
        <v>73</v>
      </c>
    </row>
    <row r="12" spans="1:3" ht="14.4" customHeight="1" x14ac:dyDescent="0.3">
      <c r="A12" s="118" t="str">
        <f t="shared" si="1"/>
        <v>Materiál Žádanky</v>
      </c>
      <c r="B12" s="65" t="s">
        <v>82</v>
      </c>
      <c r="C12" s="42" t="s">
        <v>74</v>
      </c>
    </row>
    <row r="13" spans="1:3" ht="14.4" customHeight="1" x14ac:dyDescent="0.3">
      <c r="A13" s="116" t="str">
        <f t="shared" si="1"/>
        <v>MŽ Detail</v>
      </c>
      <c r="B13" s="65" t="s">
        <v>311</v>
      </c>
      <c r="C13" s="42" t="s">
        <v>75</v>
      </c>
    </row>
    <row r="14" spans="1:3" ht="14.4" customHeight="1" thickBot="1" x14ac:dyDescent="0.35">
      <c r="A14" s="118" t="str">
        <f t="shared" si="1"/>
        <v>Osobní náklady</v>
      </c>
      <c r="B14" s="65" t="s">
        <v>65</v>
      </c>
      <c r="C14" s="42" t="s">
        <v>76</v>
      </c>
    </row>
    <row r="15" spans="1:3" ht="14.4" customHeight="1" thickBot="1" x14ac:dyDescent="0.35">
      <c r="A15" s="68"/>
      <c r="B15" s="68"/>
    </row>
    <row r="16" spans="1:3" ht="14.4" customHeight="1" thickBot="1" x14ac:dyDescent="0.35">
      <c r="A16" s="254" t="s">
        <v>69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5" width="12.21875" hidden="1" customWidth="1"/>
    <col min="6" max="6" width="12.21875" customWidth="1"/>
    <col min="7" max="8" width="12.21875" hidden="1" customWidth="1"/>
    <col min="9" max="9" width="12.21875" customWidth="1"/>
    <col min="10" max="12" width="12.21875" hidden="1" customWidth="1"/>
  </cols>
  <sheetData>
    <row r="1" spans="1:12" ht="18.600000000000001" thickBot="1" x14ac:dyDescent="0.4">
      <c r="A1" s="287" t="s">
        <v>65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</row>
    <row r="2" spans="1:12" ht="15" thickBot="1" x14ac:dyDescent="0.35">
      <c r="A2" s="179" t="s">
        <v>176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x14ac:dyDescent="0.3">
      <c r="A3" s="200" t="s">
        <v>170</v>
      </c>
      <c r="B3" s="289" t="s">
        <v>148</v>
      </c>
      <c r="C3" s="181">
        <v>0</v>
      </c>
      <c r="D3" s="182">
        <v>101</v>
      </c>
      <c r="E3" s="203">
        <v>203</v>
      </c>
      <c r="F3" s="182" t="s">
        <v>128</v>
      </c>
      <c r="G3" s="182" t="s">
        <v>129</v>
      </c>
      <c r="H3" s="182" t="s">
        <v>130</v>
      </c>
      <c r="I3" s="182" t="s">
        <v>131</v>
      </c>
      <c r="J3" s="182" t="s">
        <v>132</v>
      </c>
      <c r="K3" s="182">
        <v>930</v>
      </c>
      <c r="L3" s="183">
        <v>940</v>
      </c>
    </row>
    <row r="4" spans="1:12" ht="60.6" outlineLevel="1" thickBot="1" x14ac:dyDescent="0.35">
      <c r="A4" s="201">
        <v>2014</v>
      </c>
      <c r="B4" s="290"/>
      <c r="C4" s="184" t="s">
        <v>149</v>
      </c>
      <c r="D4" s="185" t="s">
        <v>150</v>
      </c>
      <c r="E4" s="204" t="s">
        <v>151</v>
      </c>
      <c r="F4" s="185" t="s">
        <v>152</v>
      </c>
      <c r="G4" s="185" t="s">
        <v>153</v>
      </c>
      <c r="H4" s="185" t="s">
        <v>154</v>
      </c>
      <c r="I4" s="185" t="s">
        <v>155</v>
      </c>
      <c r="J4" s="185" t="s">
        <v>156</v>
      </c>
      <c r="K4" s="185" t="s">
        <v>157</v>
      </c>
      <c r="L4" s="186" t="s">
        <v>158</v>
      </c>
    </row>
    <row r="5" spans="1:12" x14ac:dyDescent="0.3">
      <c r="A5" s="187" t="s">
        <v>159</v>
      </c>
      <c r="B5" s="231"/>
      <c r="C5" s="232"/>
      <c r="D5" s="233"/>
      <c r="E5" s="233"/>
      <c r="F5" s="233"/>
      <c r="G5" s="233"/>
      <c r="H5" s="233"/>
      <c r="I5" s="233"/>
      <c r="J5" s="233"/>
      <c r="K5" s="233"/>
      <c r="L5" s="234"/>
    </row>
    <row r="6" spans="1:12" ht="15" collapsed="1" thickBot="1" x14ac:dyDescent="0.35">
      <c r="A6" s="188" t="s">
        <v>59</v>
      </c>
      <c r="B6" s="235">
        <f xml:space="preserve">
TRUNC(IF($A$4&lt;=12,SUMIFS('ON Data'!D:D,'ON Data'!$B:$B,$A$4,'ON Data'!$C:$C,1),SUMIFS('ON Data'!D:D,'ON Data'!$C:$C,1)/'ON Data'!$B$3),1)</f>
        <v>32.200000000000003</v>
      </c>
      <c r="C6" s="236">
        <f xml:space="preserve">
TRUNC(IF($A$4&lt;=12,SUMIFS('ON Data'!E:E,'ON Data'!$B:$B,$A$4,'ON Data'!$C:$C,1),SUMIFS('ON Data'!E:E,'ON Data'!$C:$C,1)/'ON Data'!$B$3),1)</f>
        <v>0</v>
      </c>
      <c r="D6" s="237">
        <f xml:space="preserve">
TRUNC(IF($A$4&lt;=12,SUMIFS('ON Data'!F:F,'ON Data'!$B:$B,$A$4,'ON Data'!$C:$C,1),SUMIFS('ON Data'!F:F,'ON Data'!$C:$C,1)/'ON Data'!$B$3),1)</f>
        <v>0</v>
      </c>
      <c r="E6" s="237">
        <f xml:space="preserve">
TRUNC(IF($A$4&lt;=12,SUMIFS('ON Data'!H:H,'ON Data'!$B:$B,$A$4,'ON Data'!$C:$C,1),SUMIFS('ON Data'!H:H,'ON Data'!$C:$C,1)/'ON Data'!$B$3),1)</f>
        <v>0</v>
      </c>
      <c r="F6" s="237">
        <f xml:space="preserve">
TRUNC(IF($A$4&lt;=12,SUMIFS('ON Data'!I:I,'ON Data'!$B:$B,$A$4,'ON Data'!$C:$C,1),SUMIFS('ON Data'!I:I,'ON Data'!$C:$C,1)/'ON Data'!$B$3),1)</f>
        <v>16.2</v>
      </c>
      <c r="G6" s="237">
        <f xml:space="preserve">
TRUNC(IF($A$4&lt;=12,SUMIFS('ON Data'!J:J,'ON Data'!$B:$B,$A$4,'ON Data'!$C:$C,1),SUMIFS('ON Data'!J:J,'ON Data'!$C:$C,1)/'ON Data'!$B$3),1)</f>
        <v>0</v>
      </c>
      <c r="H6" s="237">
        <f xml:space="preserve">
TRUNC(IF($A$4&lt;=12,SUMIFS('ON Data'!K:K,'ON Data'!$B:$B,$A$4,'ON Data'!$C:$C,1),SUMIFS('ON Data'!K:K,'ON Data'!$C:$C,1)/'ON Data'!$B$3),1)</f>
        <v>0</v>
      </c>
      <c r="I6" s="237">
        <f xml:space="preserve">
TRUNC(IF($A$4&lt;=12,SUMIFS('ON Data'!L:L,'ON Data'!$B:$B,$A$4,'ON Data'!$C:$C,1),SUMIFS('ON Data'!L:L,'ON Data'!$C:$C,1)/'ON Data'!$B$3),1)</f>
        <v>16</v>
      </c>
      <c r="J6" s="237">
        <f xml:space="preserve">
TRUNC(IF($A$4&lt;=12,SUMIFS('ON Data'!M:M,'ON Data'!$B:$B,$A$4,'ON Data'!$C:$C,1),SUMIFS('ON Data'!M:M,'ON Data'!$C:$C,1)/'ON Data'!$B$3),1)</f>
        <v>0</v>
      </c>
      <c r="K6" s="237">
        <f xml:space="preserve">
TRUNC(IF($A$4&lt;=12,SUMIFS('ON Data'!N:N,'ON Data'!$B:$B,$A$4,'ON Data'!$C:$C,1),SUMIFS('ON Data'!N:N,'ON Data'!$C:$C,1)/'ON Data'!$B$3),1)</f>
        <v>0</v>
      </c>
      <c r="L6" s="23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188" t="s">
        <v>66</v>
      </c>
      <c r="B7" s="235"/>
      <c r="C7" s="239"/>
      <c r="D7" s="237"/>
      <c r="E7" s="237"/>
      <c r="F7" s="237"/>
      <c r="G7" s="237"/>
      <c r="H7" s="237"/>
      <c r="I7" s="237"/>
      <c r="J7" s="237"/>
      <c r="K7" s="237"/>
      <c r="L7" s="238"/>
    </row>
    <row r="8" spans="1:12" ht="15" hidden="1" outlineLevel="1" thickBot="1" x14ac:dyDescent="0.35">
      <c r="A8" s="188" t="s">
        <v>61</v>
      </c>
      <c r="B8" s="235"/>
      <c r="C8" s="239"/>
      <c r="D8" s="237"/>
      <c r="E8" s="237"/>
      <c r="F8" s="237"/>
      <c r="G8" s="237"/>
      <c r="H8" s="237"/>
      <c r="I8" s="237"/>
      <c r="J8" s="237"/>
      <c r="K8" s="237"/>
      <c r="L8" s="238"/>
    </row>
    <row r="9" spans="1:12" ht="15" hidden="1" outlineLevel="1" thickBot="1" x14ac:dyDescent="0.35">
      <c r="A9" s="189" t="s">
        <v>56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3"/>
    </row>
    <row r="10" spans="1:12" x14ac:dyDescent="0.3">
      <c r="A10" s="190" t="s">
        <v>160</v>
      </c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8"/>
    </row>
    <row r="11" spans="1:12" x14ac:dyDescent="0.3">
      <c r="A11" s="191" t="s">
        <v>161</v>
      </c>
      <c r="B11" s="209">
        <f xml:space="preserve">
IF($A$4&lt;=12,SUMIFS('ON Data'!D:D,'ON Data'!$B:$B,$A$4,'ON Data'!$C:$C,2),SUMIFS('ON Data'!D:D,'ON Data'!$C:$C,2))</f>
        <v>9577.130000000001</v>
      </c>
      <c r="C11" s="210">
        <f xml:space="preserve">
IF($A$4&lt;=12,SUMIFS('ON Data'!E:E,'ON Data'!$B:$B,$A$4,'ON Data'!$C:$C,2),SUMIFS('ON Data'!E:E,'ON Data'!$C:$C,2))</f>
        <v>0</v>
      </c>
      <c r="D11" s="211">
        <f xml:space="preserve">
IF($A$4&lt;=12,SUMIFS('ON Data'!F:F,'ON Data'!$B:$B,$A$4,'ON Data'!$C:$C,2),SUMIFS('ON Data'!F:F,'ON Data'!$C:$C,2))</f>
        <v>0</v>
      </c>
      <c r="E11" s="211">
        <f xml:space="preserve">
IF($A$4&lt;=12,SUMIFS('ON Data'!H:H,'ON Data'!$B:$B,$A$4,'ON Data'!$C:$C,2),SUMIFS('ON Data'!H:H,'ON Data'!$C:$C,2))</f>
        <v>0</v>
      </c>
      <c r="F11" s="211">
        <f xml:space="preserve">
IF($A$4&lt;=12,SUMIFS('ON Data'!I:I,'ON Data'!$B:$B,$A$4,'ON Data'!$C:$C,2),SUMIFS('ON Data'!I:I,'ON Data'!$C:$C,2))</f>
        <v>4776.63</v>
      </c>
      <c r="G11" s="211">
        <f xml:space="preserve">
IF($A$4&lt;=12,SUMIFS('ON Data'!J:J,'ON Data'!$B:$B,$A$4,'ON Data'!$C:$C,2),SUMIFS('ON Data'!J:J,'ON Data'!$C:$C,2))</f>
        <v>0</v>
      </c>
      <c r="H11" s="211">
        <f xml:space="preserve">
IF($A$4&lt;=12,SUMIFS('ON Data'!K:K,'ON Data'!$B:$B,$A$4,'ON Data'!$C:$C,2),SUMIFS('ON Data'!K:K,'ON Data'!$C:$C,2))</f>
        <v>0</v>
      </c>
      <c r="I11" s="211">
        <f xml:space="preserve">
IF($A$4&lt;=12,SUMIFS('ON Data'!L:L,'ON Data'!$B:$B,$A$4,'ON Data'!$C:$C,2),SUMIFS('ON Data'!L:L,'ON Data'!$C:$C,2))</f>
        <v>4800.5</v>
      </c>
      <c r="J11" s="211">
        <f xml:space="preserve">
IF($A$4&lt;=12,SUMIFS('ON Data'!M:M,'ON Data'!$B:$B,$A$4,'ON Data'!$C:$C,2),SUMIFS('ON Data'!M:M,'ON Data'!$C:$C,2))</f>
        <v>0</v>
      </c>
      <c r="K11" s="211">
        <f xml:space="preserve">
IF($A$4&lt;=12,SUMIFS('ON Data'!N:N,'ON Data'!$B:$B,$A$4,'ON Data'!$C:$C,2),SUMIFS('ON Data'!N:N,'ON Data'!$C:$C,2))</f>
        <v>0</v>
      </c>
      <c r="L11" s="212">
        <f xml:space="preserve">
IF($A$4&lt;=12,SUMIFS('ON Data'!O:O,'ON Data'!$B:$B,$A$4,'ON Data'!$C:$C,2),SUMIFS('ON Data'!O:O,'ON Data'!$C:$C,2))</f>
        <v>0</v>
      </c>
    </row>
    <row r="12" spans="1:12" x14ac:dyDescent="0.3">
      <c r="A12" s="191" t="s">
        <v>162</v>
      </c>
      <c r="B12" s="209">
        <f xml:space="preserve">
IF($A$4&lt;=12,SUMIFS('ON Data'!D:D,'ON Data'!$B:$B,$A$4,'ON Data'!$C:$C,3),SUMIFS('ON Data'!D:D,'ON Data'!$C:$C,3))</f>
        <v>0</v>
      </c>
      <c r="C12" s="210">
        <f xml:space="preserve">
IF($A$4&lt;=12,SUMIFS('ON Data'!E:E,'ON Data'!$B:$B,$A$4,'ON Data'!$C:$C,3),SUMIFS('ON Data'!E:E,'ON Data'!$C:$C,3))</f>
        <v>0</v>
      </c>
      <c r="D12" s="211">
        <f xml:space="preserve">
IF($A$4&lt;=12,SUMIFS('ON Data'!F:F,'ON Data'!$B:$B,$A$4,'ON Data'!$C:$C,3),SUMIFS('ON Data'!F:F,'ON Data'!$C:$C,3))</f>
        <v>0</v>
      </c>
      <c r="E12" s="211">
        <f xml:space="preserve">
IF($A$4&lt;=12,SUMIFS('ON Data'!H:H,'ON Data'!$B:$B,$A$4,'ON Data'!$C:$C,3),SUMIFS('ON Data'!H:H,'ON Data'!$C:$C,3))</f>
        <v>0</v>
      </c>
      <c r="F12" s="211">
        <f xml:space="preserve">
IF($A$4&lt;=12,SUMIFS('ON Data'!I:I,'ON Data'!$B:$B,$A$4,'ON Data'!$C:$C,3),SUMIFS('ON Data'!I:I,'ON Data'!$C:$C,3))</f>
        <v>0</v>
      </c>
      <c r="G12" s="211">
        <f xml:space="preserve">
IF($A$4&lt;=12,SUMIFS('ON Data'!J:J,'ON Data'!$B:$B,$A$4,'ON Data'!$C:$C,3),SUMIFS('ON Data'!J:J,'ON Data'!$C:$C,3))</f>
        <v>0</v>
      </c>
      <c r="H12" s="211">
        <f xml:space="preserve">
IF($A$4&lt;=12,SUMIFS('ON Data'!K:K,'ON Data'!$B:$B,$A$4,'ON Data'!$C:$C,3),SUMIFS('ON Data'!K:K,'ON Data'!$C:$C,3))</f>
        <v>0</v>
      </c>
      <c r="I12" s="211">
        <f xml:space="preserve">
IF($A$4&lt;=12,SUMIFS('ON Data'!L:L,'ON Data'!$B:$B,$A$4,'ON Data'!$C:$C,3),SUMIFS('ON Data'!L:L,'ON Data'!$C:$C,3))</f>
        <v>0</v>
      </c>
      <c r="J12" s="211">
        <f xml:space="preserve">
IF($A$4&lt;=12,SUMIFS('ON Data'!M:M,'ON Data'!$B:$B,$A$4,'ON Data'!$C:$C,3),SUMIFS('ON Data'!M:M,'ON Data'!$C:$C,3))</f>
        <v>0</v>
      </c>
      <c r="K12" s="211">
        <f xml:space="preserve">
IF($A$4&lt;=12,SUMIFS('ON Data'!N:N,'ON Data'!$B:$B,$A$4,'ON Data'!$C:$C,3),SUMIFS('ON Data'!N:N,'ON Data'!$C:$C,3))</f>
        <v>0</v>
      </c>
      <c r="L12" s="212">
        <f xml:space="preserve">
IF($A$4&lt;=12,SUMIFS('ON Data'!O:O,'ON Data'!$B:$B,$A$4,'ON Data'!$C:$C,3),SUMIFS('ON Data'!O:O,'ON Data'!$C:$C,3))</f>
        <v>0</v>
      </c>
    </row>
    <row r="13" spans="1:12" x14ac:dyDescent="0.3">
      <c r="A13" s="191" t="s">
        <v>171</v>
      </c>
      <c r="B13" s="209">
        <f xml:space="preserve">
IF($A$4&lt;=12,SUMIFS('ON Data'!D:D,'ON Data'!$B:$B,$A$4,'ON Data'!$C:$C,4),SUMIFS('ON Data'!D:D,'ON Data'!$C:$C,4))</f>
        <v>0</v>
      </c>
      <c r="C13" s="210">
        <f xml:space="preserve">
IF($A$4&lt;=12,SUMIFS('ON Data'!E:E,'ON Data'!$B:$B,$A$4,'ON Data'!$C:$C,4),SUMIFS('ON Data'!E:E,'ON Data'!$C:$C,4))</f>
        <v>0</v>
      </c>
      <c r="D13" s="211">
        <f xml:space="preserve">
IF($A$4&lt;=12,SUMIFS('ON Data'!F:F,'ON Data'!$B:$B,$A$4,'ON Data'!$C:$C,4),SUMIFS('ON Data'!F:F,'ON Data'!$C:$C,4))</f>
        <v>0</v>
      </c>
      <c r="E13" s="211">
        <f xml:space="preserve">
IF($A$4&lt;=12,SUMIFS('ON Data'!H:H,'ON Data'!$B:$B,$A$4,'ON Data'!$C:$C,4),SUMIFS('ON Data'!H:H,'ON Data'!$C:$C,4))</f>
        <v>0</v>
      </c>
      <c r="F13" s="211">
        <f xml:space="preserve">
IF($A$4&lt;=12,SUMIFS('ON Data'!I:I,'ON Data'!$B:$B,$A$4,'ON Data'!$C:$C,4),SUMIFS('ON Data'!I:I,'ON Data'!$C:$C,4))</f>
        <v>0</v>
      </c>
      <c r="G13" s="211">
        <f xml:space="preserve">
IF($A$4&lt;=12,SUMIFS('ON Data'!J:J,'ON Data'!$B:$B,$A$4,'ON Data'!$C:$C,4),SUMIFS('ON Data'!J:J,'ON Data'!$C:$C,4))</f>
        <v>0</v>
      </c>
      <c r="H13" s="211">
        <f xml:space="preserve">
IF($A$4&lt;=12,SUMIFS('ON Data'!K:K,'ON Data'!$B:$B,$A$4,'ON Data'!$C:$C,4),SUMIFS('ON Data'!K:K,'ON Data'!$C:$C,4))</f>
        <v>0</v>
      </c>
      <c r="I13" s="211">
        <f xml:space="preserve">
IF($A$4&lt;=12,SUMIFS('ON Data'!L:L,'ON Data'!$B:$B,$A$4,'ON Data'!$C:$C,4),SUMIFS('ON Data'!L:L,'ON Data'!$C:$C,4))</f>
        <v>0</v>
      </c>
      <c r="J13" s="211">
        <f xml:space="preserve">
IF($A$4&lt;=12,SUMIFS('ON Data'!M:M,'ON Data'!$B:$B,$A$4,'ON Data'!$C:$C,4),SUMIFS('ON Data'!M:M,'ON Data'!$C:$C,4))</f>
        <v>0</v>
      </c>
      <c r="K13" s="211">
        <f xml:space="preserve">
IF($A$4&lt;=12,SUMIFS('ON Data'!N:N,'ON Data'!$B:$B,$A$4,'ON Data'!$C:$C,4),SUMIFS('ON Data'!N:N,'ON Data'!$C:$C,4))</f>
        <v>0</v>
      </c>
      <c r="L13" s="21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192" t="s">
        <v>163</v>
      </c>
      <c r="B14" s="213">
        <f xml:space="preserve">
IF($A$4&lt;=12,SUMIFS('ON Data'!D:D,'ON Data'!$B:$B,$A$4,'ON Data'!$C:$C,5),SUMIFS('ON Data'!D:D,'ON Data'!$C:$C,5))</f>
        <v>0</v>
      </c>
      <c r="C14" s="214">
        <f xml:space="preserve">
IF($A$4&lt;=12,SUMIFS('ON Data'!E:E,'ON Data'!$B:$B,$A$4,'ON Data'!$C:$C,5),SUMIFS('ON Data'!E:E,'ON Data'!$C:$C,5))</f>
        <v>0</v>
      </c>
      <c r="D14" s="215">
        <f xml:space="preserve">
IF($A$4&lt;=12,SUMIFS('ON Data'!F:F,'ON Data'!$B:$B,$A$4,'ON Data'!$C:$C,5),SUMIFS('ON Data'!F:F,'ON Data'!$C:$C,5))</f>
        <v>0</v>
      </c>
      <c r="E14" s="215">
        <f xml:space="preserve">
IF($A$4&lt;=12,SUMIFS('ON Data'!H:H,'ON Data'!$B:$B,$A$4,'ON Data'!$C:$C,5),SUMIFS('ON Data'!H:H,'ON Data'!$C:$C,5))</f>
        <v>0</v>
      </c>
      <c r="F14" s="215">
        <f xml:space="preserve">
IF($A$4&lt;=12,SUMIFS('ON Data'!I:I,'ON Data'!$B:$B,$A$4,'ON Data'!$C:$C,5),SUMIFS('ON Data'!I:I,'ON Data'!$C:$C,5))</f>
        <v>0</v>
      </c>
      <c r="G14" s="215">
        <f xml:space="preserve">
IF($A$4&lt;=12,SUMIFS('ON Data'!J:J,'ON Data'!$B:$B,$A$4,'ON Data'!$C:$C,5),SUMIFS('ON Data'!J:J,'ON Data'!$C:$C,5))</f>
        <v>0</v>
      </c>
      <c r="H14" s="215">
        <f xml:space="preserve">
IF($A$4&lt;=12,SUMIFS('ON Data'!K:K,'ON Data'!$B:$B,$A$4,'ON Data'!$C:$C,5),SUMIFS('ON Data'!K:K,'ON Data'!$C:$C,5))</f>
        <v>0</v>
      </c>
      <c r="I14" s="215">
        <f xml:space="preserve">
IF($A$4&lt;=12,SUMIFS('ON Data'!L:L,'ON Data'!$B:$B,$A$4,'ON Data'!$C:$C,5),SUMIFS('ON Data'!L:L,'ON Data'!$C:$C,5))</f>
        <v>0</v>
      </c>
      <c r="J14" s="215">
        <f xml:space="preserve">
IF($A$4&lt;=12,SUMIFS('ON Data'!M:M,'ON Data'!$B:$B,$A$4,'ON Data'!$C:$C,5),SUMIFS('ON Data'!M:M,'ON Data'!$C:$C,5))</f>
        <v>0</v>
      </c>
      <c r="K14" s="215">
        <f xml:space="preserve">
IF($A$4&lt;=12,SUMIFS('ON Data'!N:N,'ON Data'!$B:$B,$A$4,'ON Data'!$C:$C,5),SUMIFS('ON Data'!N:N,'ON Data'!$C:$C,5))</f>
        <v>0</v>
      </c>
      <c r="L14" s="216">
        <f xml:space="preserve">
IF($A$4&lt;=12,SUMIFS('ON Data'!O:O,'ON Data'!$B:$B,$A$4,'ON Data'!$C:$C,5),SUMIFS('ON Data'!O:O,'ON Data'!$C:$C,5))</f>
        <v>0</v>
      </c>
    </row>
    <row r="15" spans="1:12" x14ac:dyDescent="0.3">
      <c r="A15" s="131" t="s">
        <v>175</v>
      </c>
      <c r="B15" s="217"/>
      <c r="C15" s="218"/>
      <c r="D15" s="219"/>
      <c r="E15" s="219"/>
      <c r="F15" s="219"/>
      <c r="G15" s="219"/>
      <c r="H15" s="219"/>
      <c r="I15" s="219"/>
      <c r="J15" s="219"/>
      <c r="K15" s="219"/>
      <c r="L15" s="220"/>
    </row>
    <row r="16" spans="1:12" x14ac:dyDescent="0.3">
      <c r="A16" s="193" t="s">
        <v>164</v>
      </c>
      <c r="B16" s="209">
        <f xml:space="preserve">
IF($A$4&lt;=12,SUMIFS('ON Data'!D:D,'ON Data'!$B:$B,$A$4,'ON Data'!$C:$C,7),SUMIFS('ON Data'!D:D,'ON Data'!$C:$C,7))</f>
        <v>0</v>
      </c>
      <c r="C16" s="210">
        <f xml:space="preserve">
IF($A$4&lt;=12,SUMIFS('ON Data'!E:E,'ON Data'!$B:$B,$A$4,'ON Data'!$C:$C,7),SUMIFS('ON Data'!E:E,'ON Data'!$C:$C,7))</f>
        <v>0</v>
      </c>
      <c r="D16" s="211">
        <f xml:space="preserve">
IF($A$4&lt;=12,SUMIFS('ON Data'!F:F,'ON Data'!$B:$B,$A$4,'ON Data'!$C:$C,7),SUMIFS('ON Data'!F:F,'ON Data'!$C:$C,7))</f>
        <v>0</v>
      </c>
      <c r="E16" s="211">
        <f xml:space="preserve">
IF($A$4&lt;=12,SUMIFS('ON Data'!H:H,'ON Data'!$B:$B,$A$4,'ON Data'!$C:$C,7),SUMIFS('ON Data'!H:H,'ON Data'!$C:$C,7))</f>
        <v>0</v>
      </c>
      <c r="F16" s="211">
        <f xml:space="preserve">
IF($A$4&lt;=12,SUMIFS('ON Data'!I:I,'ON Data'!$B:$B,$A$4,'ON Data'!$C:$C,7),SUMIFS('ON Data'!I:I,'ON Data'!$C:$C,7))</f>
        <v>0</v>
      </c>
      <c r="G16" s="211">
        <f xml:space="preserve">
IF($A$4&lt;=12,SUMIFS('ON Data'!J:J,'ON Data'!$B:$B,$A$4,'ON Data'!$C:$C,7),SUMIFS('ON Data'!J:J,'ON Data'!$C:$C,7))</f>
        <v>0</v>
      </c>
      <c r="H16" s="211">
        <f xml:space="preserve">
IF($A$4&lt;=12,SUMIFS('ON Data'!K:K,'ON Data'!$B:$B,$A$4,'ON Data'!$C:$C,7),SUMIFS('ON Data'!K:K,'ON Data'!$C:$C,7))</f>
        <v>0</v>
      </c>
      <c r="I16" s="211">
        <f xml:space="preserve">
IF($A$4&lt;=12,SUMIFS('ON Data'!L:L,'ON Data'!$B:$B,$A$4,'ON Data'!$C:$C,7),SUMIFS('ON Data'!L:L,'ON Data'!$C:$C,7))</f>
        <v>0</v>
      </c>
      <c r="J16" s="211">
        <f xml:space="preserve">
IF($A$4&lt;=12,SUMIFS('ON Data'!M:M,'ON Data'!$B:$B,$A$4,'ON Data'!$C:$C,7),SUMIFS('ON Data'!M:M,'ON Data'!$C:$C,7))</f>
        <v>0</v>
      </c>
      <c r="K16" s="211">
        <f xml:space="preserve">
IF($A$4&lt;=12,SUMIFS('ON Data'!N:N,'ON Data'!$B:$B,$A$4,'ON Data'!$C:$C,7),SUMIFS('ON Data'!N:N,'ON Data'!$C:$C,7))</f>
        <v>0</v>
      </c>
      <c r="L16" s="212">
        <f xml:space="preserve">
IF($A$4&lt;=12,SUMIFS('ON Data'!O:O,'ON Data'!$B:$B,$A$4,'ON Data'!$C:$C,7),SUMIFS('ON Data'!O:O,'ON Data'!$C:$C,7))</f>
        <v>0</v>
      </c>
    </row>
    <row r="17" spans="1:12" x14ac:dyDescent="0.3">
      <c r="A17" s="193" t="s">
        <v>165</v>
      </c>
      <c r="B17" s="209">
        <f xml:space="preserve">
IF($A$4&lt;=12,SUMIFS('ON Data'!D:D,'ON Data'!$B:$B,$A$4,'ON Data'!$C:$C,8),SUMIFS('ON Data'!D:D,'ON Data'!$C:$C,8))</f>
        <v>0</v>
      </c>
      <c r="C17" s="210">
        <f xml:space="preserve">
IF($A$4&lt;=12,SUMIFS('ON Data'!E:E,'ON Data'!$B:$B,$A$4,'ON Data'!$C:$C,8),SUMIFS('ON Data'!E:E,'ON Data'!$C:$C,8))</f>
        <v>0</v>
      </c>
      <c r="D17" s="211">
        <f xml:space="preserve">
IF($A$4&lt;=12,SUMIFS('ON Data'!F:F,'ON Data'!$B:$B,$A$4,'ON Data'!$C:$C,8),SUMIFS('ON Data'!F:F,'ON Data'!$C:$C,8))</f>
        <v>0</v>
      </c>
      <c r="E17" s="211">
        <f xml:space="preserve">
IF($A$4&lt;=12,SUMIFS('ON Data'!H:H,'ON Data'!$B:$B,$A$4,'ON Data'!$C:$C,8),SUMIFS('ON Data'!H:H,'ON Data'!$C:$C,8))</f>
        <v>0</v>
      </c>
      <c r="F17" s="211">
        <f xml:space="preserve">
IF($A$4&lt;=12,SUMIFS('ON Data'!I:I,'ON Data'!$B:$B,$A$4,'ON Data'!$C:$C,8),SUMIFS('ON Data'!I:I,'ON Data'!$C:$C,8))</f>
        <v>0</v>
      </c>
      <c r="G17" s="211">
        <f xml:space="preserve">
IF($A$4&lt;=12,SUMIFS('ON Data'!J:J,'ON Data'!$B:$B,$A$4,'ON Data'!$C:$C,8),SUMIFS('ON Data'!J:J,'ON Data'!$C:$C,8))</f>
        <v>0</v>
      </c>
      <c r="H17" s="211">
        <f xml:space="preserve">
IF($A$4&lt;=12,SUMIFS('ON Data'!K:K,'ON Data'!$B:$B,$A$4,'ON Data'!$C:$C,8),SUMIFS('ON Data'!K:K,'ON Data'!$C:$C,8))</f>
        <v>0</v>
      </c>
      <c r="I17" s="211">
        <f xml:space="preserve">
IF($A$4&lt;=12,SUMIFS('ON Data'!L:L,'ON Data'!$B:$B,$A$4,'ON Data'!$C:$C,8),SUMIFS('ON Data'!L:L,'ON Data'!$C:$C,8))</f>
        <v>0</v>
      </c>
      <c r="J17" s="211">
        <f xml:space="preserve">
IF($A$4&lt;=12,SUMIFS('ON Data'!M:M,'ON Data'!$B:$B,$A$4,'ON Data'!$C:$C,8),SUMIFS('ON Data'!M:M,'ON Data'!$C:$C,8))</f>
        <v>0</v>
      </c>
      <c r="K17" s="211">
        <f xml:space="preserve">
IF($A$4&lt;=12,SUMIFS('ON Data'!N:N,'ON Data'!$B:$B,$A$4,'ON Data'!$C:$C,8),SUMIFS('ON Data'!N:N,'ON Data'!$C:$C,8))</f>
        <v>0</v>
      </c>
      <c r="L17" s="212">
        <f xml:space="preserve">
IF($A$4&lt;=12,SUMIFS('ON Data'!O:O,'ON Data'!$B:$B,$A$4,'ON Data'!$C:$C,8),SUMIFS('ON Data'!O:O,'ON Data'!$C:$C,8))</f>
        <v>0</v>
      </c>
    </row>
    <row r="18" spans="1:12" x14ac:dyDescent="0.3">
      <c r="A18" s="193" t="s">
        <v>166</v>
      </c>
      <c r="B18" s="209">
        <f xml:space="preserve">
B19-B16-B17</f>
        <v>7920</v>
      </c>
      <c r="C18" s="210">
        <f t="shared" ref="C18:L18" si="0" xml:space="preserve">
C19-C16-C17</f>
        <v>0</v>
      </c>
      <c r="D18" s="211">
        <f t="shared" si="0"/>
        <v>0</v>
      </c>
      <c r="E18" s="211">
        <f t="shared" si="0"/>
        <v>0</v>
      </c>
      <c r="F18" s="211">
        <f t="shared" si="0"/>
        <v>4920</v>
      </c>
      <c r="G18" s="211">
        <f t="shared" si="0"/>
        <v>0</v>
      </c>
      <c r="H18" s="211">
        <f t="shared" si="0"/>
        <v>0</v>
      </c>
      <c r="I18" s="211">
        <f t="shared" si="0"/>
        <v>3000</v>
      </c>
      <c r="J18" s="211">
        <f t="shared" si="0"/>
        <v>0</v>
      </c>
      <c r="K18" s="211">
        <f t="shared" si="0"/>
        <v>0</v>
      </c>
      <c r="L18" s="212">
        <f t="shared" si="0"/>
        <v>0</v>
      </c>
    </row>
    <row r="19" spans="1:12" ht="15" thickBot="1" x14ac:dyDescent="0.35">
      <c r="A19" s="194" t="s">
        <v>167</v>
      </c>
      <c r="B19" s="221">
        <f xml:space="preserve">
IF($A$4&lt;=12,SUMIFS('ON Data'!D:D,'ON Data'!$B:$B,$A$4,'ON Data'!$C:$C,9),SUMIFS('ON Data'!D:D,'ON Data'!$C:$C,9))</f>
        <v>7920</v>
      </c>
      <c r="C19" s="222">
        <f xml:space="preserve">
IF($A$4&lt;=12,SUMIFS('ON Data'!E:E,'ON Data'!$B:$B,$A$4,'ON Data'!$C:$C,9),SUMIFS('ON Data'!E:E,'ON Data'!$C:$C,9))</f>
        <v>0</v>
      </c>
      <c r="D19" s="223">
        <f xml:space="preserve">
IF($A$4&lt;=12,SUMIFS('ON Data'!F:F,'ON Data'!$B:$B,$A$4,'ON Data'!$C:$C,9),SUMIFS('ON Data'!F:F,'ON Data'!$C:$C,9))</f>
        <v>0</v>
      </c>
      <c r="E19" s="223">
        <f xml:space="preserve">
IF($A$4&lt;=12,SUMIFS('ON Data'!H:H,'ON Data'!$B:$B,$A$4,'ON Data'!$C:$C,9),SUMIFS('ON Data'!H:H,'ON Data'!$C:$C,9))</f>
        <v>0</v>
      </c>
      <c r="F19" s="223">
        <f xml:space="preserve">
IF($A$4&lt;=12,SUMIFS('ON Data'!I:I,'ON Data'!$B:$B,$A$4,'ON Data'!$C:$C,9),SUMIFS('ON Data'!I:I,'ON Data'!$C:$C,9))</f>
        <v>4920</v>
      </c>
      <c r="G19" s="223">
        <f xml:space="preserve">
IF($A$4&lt;=12,SUMIFS('ON Data'!J:J,'ON Data'!$B:$B,$A$4,'ON Data'!$C:$C,9),SUMIFS('ON Data'!J:J,'ON Data'!$C:$C,9))</f>
        <v>0</v>
      </c>
      <c r="H19" s="223">
        <f xml:space="preserve">
IF($A$4&lt;=12,SUMIFS('ON Data'!K:K,'ON Data'!$B:$B,$A$4,'ON Data'!$C:$C,9),SUMIFS('ON Data'!K:K,'ON Data'!$C:$C,9))</f>
        <v>0</v>
      </c>
      <c r="I19" s="223">
        <f xml:space="preserve">
IF($A$4&lt;=12,SUMIFS('ON Data'!L:L,'ON Data'!$B:$B,$A$4,'ON Data'!$C:$C,9),SUMIFS('ON Data'!L:L,'ON Data'!$C:$C,9))</f>
        <v>3000</v>
      </c>
      <c r="J19" s="223">
        <f xml:space="preserve">
IF($A$4&lt;=12,SUMIFS('ON Data'!M:M,'ON Data'!$B:$B,$A$4,'ON Data'!$C:$C,9),SUMIFS('ON Data'!M:M,'ON Data'!$C:$C,9))</f>
        <v>0</v>
      </c>
      <c r="K19" s="223">
        <f xml:space="preserve">
IF($A$4&lt;=12,SUMIFS('ON Data'!N:N,'ON Data'!$B:$B,$A$4,'ON Data'!$C:$C,9),SUMIFS('ON Data'!N:N,'ON Data'!$C:$C,9))</f>
        <v>0</v>
      </c>
      <c r="L19" s="22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195" t="s">
        <v>59</v>
      </c>
      <c r="B20" s="225">
        <f xml:space="preserve">
IF($A$4&lt;=12,SUMIFS('ON Data'!D:D,'ON Data'!$B:$B,$A$4,'ON Data'!$C:$C,6),SUMIFS('ON Data'!D:D,'ON Data'!$C:$C,6))</f>
        <v>1341692</v>
      </c>
      <c r="C20" s="226">
        <f xml:space="preserve">
IF($A$4&lt;=12,SUMIFS('ON Data'!E:E,'ON Data'!$B:$B,$A$4,'ON Data'!$C:$C,6),SUMIFS('ON Data'!E:E,'ON Data'!$C:$C,6))</f>
        <v>0</v>
      </c>
      <c r="D20" s="227">
        <f xml:space="preserve">
IF($A$4&lt;=12,SUMIFS('ON Data'!F:F,'ON Data'!$B:$B,$A$4,'ON Data'!$C:$C,6),SUMIFS('ON Data'!F:F,'ON Data'!$C:$C,6))</f>
        <v>0</v>
      </c>
      <c r="E20" s="227">
        <f xml:space="preserve">
IF($A$4&lt;=12,SUMIFS('ON Data'!H:H,'ON Data'!$B:$B,$A$4,'ON Data'!$C:$C,6),SUMIFS('ON Data'!H:H,'ON Data'!$C:$C,6))</f>
        <v>0</v>
      </c>
      <c r="F20" s="227">
        <f xml:space="preserve">
IF($A$4&lt;=12,SUMIFS('ON Data'!I:I,'ON Data'!$B:$B,$A$4,'ON Data'!$C:$C,6),SUMIFS('ON Data'!I:I,'ON Data'!$C:$C,6))</f>
        <v>840044</v>
      </c>
      <c r="G20" s="227">
        <f xml:space="preserve">
IF($A$4&lt;=12,SUMIFS('ON Data'!J:J,'ON Data'!$B:$B,$A$4,'ON Data'!$C:$C,6),SUMIFS('ON Data'!J:J,'ON Data'!$C:$C,6))</f>
        <v>0</v>
      </c>
      <c r="H20" s="227">
        <f xml:space="preserve">
IF($A$4&lt;=12,SUMIFS('ON Data'!K:K,'ON Data'!$B:$B,$A$4,'ON Data'!$C:$C,6),SUMIFS('ON Data'!K:K,'ON Data'!$C:$C,6))</f>
        <v>0</v>
      </c>
      <c r="I20" s="227">
        <f xml:space="preserve">
IF($A$4&lt;=12,SUMIFS('ON Data'!L:L,'ON Data'!$B:$B,$A$4,'ON Data'!$C:$C,6),SUMIFS('ON Data'!L:L,'ON Data'!$C:$C,6))</f>
        <v>501648</v>
      </c>
      <c r="J20" s="227">
        <f xml:space="preserve">
IF($A$4&lt;=12,SUMIFS('ON Data'!M:M,'ON Data'!$B:$B,$A$4,'ON Data'!$C:$C,6),SUMIFS('ON Data'!M:M,'ON Data'!$C:$C,6))</f>
        <v>0</v>
      </c>
      <c r="K20" s="227">
        <f xml:space="preserve">
IF($A$4&lt;=12,SUMIFS('ON Data'!N:N,'ON Data'!$B:$B,$A$4,'ON Data'!$C:$C,6),SUMIFS('ON Data'!N:N,'ON Data'!$C:$C,6))</f>
        <v>0</v>
      </c>
      <c r="L20" s="22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188" t="s">
        <v>66</v>
      </c>
      <c r="B21" s="209"/>
      <c r="C21" s="210"/>
      <c r="D21" s="211"/>
      <c r="E21" s="211"/>
      <c r="F21" s="211"/>
      <c r="G21" s="211"/>
      <c r="H21" s="211"/>
      <c r="I21" s="211"/>
      <c r="J21" s="211"/>
      <c r="K21" s="211"/>
      <c r="L21" s="212"/>
    </row>
    <row r="22" spans="1:12" ht="15" hidden="1" outlineLevel="1" thickBot="1" x14ac:dyDescent="0.35">
      <c r="A22" s="188" t="s">
        <v>61</v>
      </c>
      <c r="B22" s="209"/>
      <c r="C22" s="210"/>
      <c r="D22" s="211"/>
      <c r="E22" s="211"/>
      <c r="F22" s="211"/>
      <c r="G22" s="211"/>
      <c r="H22" s="211"/>
      <c r="I22" s="211"/>
      <c r="J22" s="211"/>
      <c r="K22" s="211"/>
      <c r="L22" s="212"/>
    </row>
    <row r="23" spans="1:12" ht="15" hidden="1" outlineLevel="1" thickBot="1" x14ac:dyDescent="0.35">
      <c r="A23" s="196" t="s">
        <v>56</v>
      </c>
      <c r="B23" s="213"/>
      <c r="C23" s="214"/>
      <c r="D23" s="215"/>
      <c r="E23" s="215"/>
      <c r="F23" s="215"/>
      <c r="G23" s="215"/>
      <c r="H23" s="215"/>
      <c r="I23" s="215"/>
      <c r="J23" s="215"/>
      <c r="K23" s="215"/>
      <c r="L23" s="216"/>
    </row>
    <row r="24" spans="1:12" x14ac:dyDescent="0.3">
      <c r="A24" s="190" t="s">
        <v>168</v>
      </c>
      <c r="B24" s="205"/>
      <c r="C24" s="206"/>
      <c r="D24" s="250" t="s">
        <v>150</v>
      </c>
      <c r="E24" s="292" t="s">
        <v>169</v>
      </c>
      <c r="F24" s="292"/>
      <c r="G24" s="292"/>
      <c r="H24" s="292"/>
      <c r="I24" s="207"/>
      <c r="J24" s="207"/>
      <c r="K24" s="207"/>
      <c r="L24" s="208"/>
    </row>
    <row r="25" spans="1:12" ht="15" collapsed="1" thickBot="1" x14ac:dyDescent="0.35">
      <c r="A25" s="191" t="s">
        <v>59</v>
      </c>
      <c r="B25" s="209">
        <f>SUM(D25:H25)</f>
        <v>0</v>
      </c>
      <c r="C25" s="229">
        <v>0</v>
      </c>
      <c r="D25" s="249">
        <v>0</v>
      </c>
      <c r="E25" s="291">
        <v>0</v>
      </c>
      <c r="F25" s="291"/>
      <c r="G25" s="291"/>
      <c r="H25" s="291"/>
      <c r="I25" s="211">
        <v>0</v>
      </c>
      <c r="J25" s="211">
        <v>0</v>
      </c>
      <c r="K25" s="211">
        <v>0</v>
      </c>
      <c r="L25" s="212">
        <v>0</v>
      </c>
    </row>
    <row r="26" spans="1:12" ht="14.4" hidden="1" customHeight="1" outlineLevel="1" x14ac:dyDescent="0.35">
      <c r="A26" s="197" t="s">
        <v>66</v>
      </c>
      <c r="B26" s="221">
        <f t="shared" ref="B26:B28" si="1">SUM(D26:H26)</f>
        <v>0</v>
      </c>
      <c r="C26" s="229">
        <v>0</v>
      </c>
      <c r="D26" s="249">
        <v>0</v>
      </c>
      <c r="E26" s="291">
        <v>0</v>
      </c>
      <c r="F26" s="291"/>
      <c r="G26" s="291"/>
      <c r="H26" s="291"/>
      <c r="I26" s="211">
        <v>0</v>
      </c>
      <c r="J26" s="211">
        <v>0</v>
      </c>
      <c r="K26" s="211">
        <v>0</v>
      </c>
      <c r="L26" s="212">
        <v>0</v>
      </c>
    </row>
    <row r="27" spans="1:12" ht="14.4" hidden="1" customHeight="1" outlineLevel="1" x14ac:dyDescent="0.35">
      <c r="A27" s="197" t="s">
        <v>61</v>
      </c>
      <c r="B27" s="221">
        <f t="shared" si="1"/>
        <v>0</v>
      </c>
      <c r="C27" s="229">
        <v>0</v>
      </c>
      <c r="D27" s="249">
        <v>0</v>
      </c>
      <c r="E27" s="291">
        <v>0</v>
      </c>
      <c r="F27" s="291"/>
      <c r="G27" s="291"/>
      <c r="H27" s="291"/>
      <c r="I27" s="211">
        <v>0</v>
      </c>
      <c r="J27" s="211">
        <v>0</v>
      </c>
      <c r="K27" s="211">
        <v>0</v>
      </c>
      <c r="L27" s="212">
        <v>0</v>
      </c>
    </row>
    <row r="28" spans="1:12" ht="15" hidden="1" customHeight="1" outlineLevel="1" thickBot="1" x14ac:dyDescent="0.35">
      <c r="A28" s="197" t="s">
        <v>56</v>
      </c>
      <c r="B28" s="221">
        <f t="shared" si="1"/>
        <v>0</v>
      </c>
      <c r="C28" s="230">
        <v>0</v>
      </c>
      <c r="D28" s="248">
        <v>0</v>
      </c>
      <c r="E28" s="286">
        <v>0</v>
      </c>
      <c r="F28" s="286"/>
      <c r="G28" s="286"/>
      <c r="H28" s="286"/>
      <c r="I28" s="215">
        <v>0</v>
      </c>
      <c r="J28" s="215">
        <v>0</v>
      </c>
      <c r="K28" s="215">
        <v>0</v>
      </c>
      <c r="L28" s="216">
        <v>0</v>
      </c>
    </row>
    <row r="29" spans="1:12" x14ac:dyDescent="0.3">
      <c r="A29" s="198"/>
      <c r="B29" s="198"/>
      <c r="C29" s="199"/>
      <c r="D29" s="198"/>
      <c r="E29" s="199"/>
      <c r="F29" s="198"/>
      <c r="G29" s="198"/>
      <c r="H29" s="198"/>
      <c r="I29" s="198"/>
      <c r="J29" s="198"/>
      <c r="K29" s="198"/>
      <c r="L29" s="198"/>
    </row>
    <row r="30" spans="1:12" x14ac:dyDescent="0.3">
      <c r="A30" s="84" t="s">
        <v>95</v>
      </c>
      <c r="B30" s="101"/>
      <c r="C30" s="101"/>
      <c r="D30" s="101"/>
      <c r="E30" s="101"/>
      <c r="F30" s="101"/>
      <c r="G30" s="101"/>
      <c r="H30" s="119"/>
      <c r="I30" s="119"/>
      <c r="J30" s="119"/>
      <c r="K30" s="119"/>
      <c r="L30" s="119"/>
    </row>
    <row r="31" spans="1:12" ht="14.4" customHeight="1" x14ac:dyDescent="0.3">
      <c r="A31" s="246" t="s">
        <v>174</v>
      </c>
      <c r="B31" s="247"/>
      <c r="C31" s="247"/>
      <c r="D31" s="247"/>
      <c r="E31" s="247"/>
      <c r="F31" s="247"/>
      <c r="G31" s="24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175"/>
  </cols>
  <sheetData>
    <row r="1" spans="1:18" x14ac:dyDescent="0.3">
      <c r="A1" s="175" t="s">
        <v>312</v>
      </c>
    </row>
    <row r="2" spans="1:18" x14ac:dyDescent="0.3">
      <c r="A2" s="179" t="s">
        <v>176</v>
      </c>
    </row>
    <row r="3" spans="1:18" x14ac:dyDescent="0.3">
      <c r="B3" s="176">
        <f>MAX(B5:B1048576)</f>
        <v>2</v>
      </c>
      <c r="D3" s="176">
        <f t="shared" ref="D3:G3" si="0">SUM(D5:D1048576)</f>
        <v>1359253.63</v>
      </c>
      <c r="E3" s="176">
        <f t="shared" si="0"/>
        <v>0</v>
      </c>
      <c r="F3" s="176">
        <f t="shared" si="0"/>
        <v>0</v>
      </c>
      <c r="G3" s="176">
        <f t="shared" si="0"/>
        <v>0</v>
      </c>
      <c r="H3" s="176">
        <f t="shared" ref="H3:O3" si="1">SUM(H5:H1048576)</f>
        <v>0</v>
      </c>
      <c r="I3" s="176">
        <f t="shared" si="1"/>
        <v>849773.13</v>
      </c>
      <c r="J3" s="176">
        <f t="shared" si="1"/>
        <v>0</v>
      </c>
      <c r="K3" s="176">
        <f t="shared" si="1"/>
        <v>0</v>
      </c>
      <c r="L3" s="176">
        <f t="shared" si="1"/>
        <v>509480.5</v>
      </c>
      <c r="M3" s="176">
        <f t="shared" si="1"/>
        <v>0</v>
      </c>
      <c r="N3" s="176">
        <f t="shared" si="1"/>
        <v>0</v>
      </c>
      <c r="O3" s="176">
        <f t="shared" si="1"/>
        <v>0</v>
      </c>
      <c r="Q3" s="175" t="s">
        <v>135</v>
      </c>
      <c r="R3" s="202">
        <v>2014</v>
      </c>
    </row>
    <row r="4" spans="1:18" x14ac:dyDescent="0.3">
      <c r="A4" s="177" t="s">
        <v>8</v>
      </c>
      <c r="B4" s="178" t="s">
        <v>55</v>
      </c>
      <c r="C4" s="178" t="s">
        <v>123</v>
      </c>
      <c r="D4" s="178" t="s">
        <v>6</v>
      </c>
      <c r="E4" s="178" t="s">
        <v>124</v>
      </c>
      <c r="F4" s="178" t="s">
        <v>125</v>
      </c>
      <c r="G4" s="178" t="s">
        <v>126</v>
      </c>
      <c r="H4" s="178" t="s">
        <v>127</v>
      </c>
      <c r="I4" s="178" t="s">
        <v>128</v>
      </c>
      <c r="J4" s="178" t="s">
        <v>129</v>
      </c>
      <c r="K4" s="178" t="s">
        <v>130</v>
      </c>
      <c r="L4" s="178" t="s">
        <v>131</v>
      </c>
      <c r="M4" s="178" t="s">
        <v>132</v>
      </c>
      <c r="N4" s="178" t="s">
        <v>133</v>
      </c>
      <c r="O4" s="178" t="s">
        <v>134</v>
      </c>
      <c r="Q4" s="175" t="s">
        <v>136</v>
      </c>
      <c r="R4" s="202">
        <v>1</v>
      </c>
    </row>
    <row r="5" spans="1:18" x14ac:dyDescent="0.3">
      <c r="A5" s="175">
        <v>56</v>
      </c>
      <c r="B5" s="175">
        <v>1</v>
      </c>
      <c r="C5" s="175">
        <v>1</v>
      </c>
      <c r="D5" s="175">
        <v>32.25</v>
      </c>
      <c r="E5" s="175">
        <v>0</v>
      </c>
      <c r="F5" s="175">
        <v>0</v>
      </c>
      <c r="G5" s="175">
        <v>0</v>
      </c>
      <c r="H5" s="175">
        <v>0</v>
      </c>
      <c r="I5" s="175">
        <v>16.25</v>
      </c>
      <c r="J5" s="175">
        <v>0</v>
      </c>
      <c r="K5" s="175">
        <v>0</v>
      </c>
      <c r="L5" s="175">
        <v>16</v>
      </c>
      <c r="M5" s="175">
        <v>0</v>
      </c>
      <c r="N5" s="175">
        <v>0</v>
      </c>
      <c r="O5" s="175">
        <v>0</v>
      </c>
      <c r="Q5" s="175" t="s">
        <v>137</v>
      </c>
      <c r="R5" s="202">
        <v>2</v>
      </c>
    </row>
    <row r="6" spans="1:18" x14ac:dyDescent="0.3">
      <c r="A6" s="175">
        <v>56</v>
      </c>
      <c r="B6" s="175">
        <v>1</v>
      </c>
      <c r="C6" s="175">
        <v>2</v>
      </c>
      <c r="D6" s="175">
        <v>5216.88</v>
      </c>
      <c r="E6" s="175">
        <v>0</v>
      </c>
      <c r="F6" s="175">
        <v>0</v>
      </c>
      <c r="G6" s="175">
        <v>0</v>
      </c>
      <c r="H6" s="175">
        <v>0</v>
      </c>
      <c r="I6" s="175">
        <v>2590.13</v>
      </c>
      <c r="J6" s="175">
        <v>0</v>
      </c>
      <c r="K6" s="175">
        <v>0</v>
      </c>
      <c r="L6" s="175">
        <v>2626.75</v>
      </c>
      <c r="M6" s="175">
        <v>0</v>
      </c>
      <c r="N6" s="175">
        <v>0</v>
      </c>
      <c r="O6" s="175">
        <v>0</v>
      </c>
      <c r="Q6" s="175" t="s">
        <v>138</v>
      </c>
      <c r="R6" s="202">
        <v>3</v>
      </c>
    </row>
    <row r="7" spans="1:18" x14ac:dyDescent="0.3">
      <c r="A7" s="175">
        <v>56</v>
      </c>
      <c r="B7" s="175">
        <v>1</v>
      </c>
      <c r="C7" s="175">
        <v>6</v>
      </c>
      <c r="D7" s="175">
        <v>680614</v>
      </c>
      <c r="E7" s="175">
        <v>0</v>
      </c>
      <c r="F7" s="175">
        <v>0</v>
      </c>
      <c r="G7" s="175">
        <v>0</v>
      </c>
      <c r="H7" s="175">
        <v>0</v>
      </c>
      <c r="I7" s="175">
        <v>428820</v>
      </c>
      <c r="J7" s="175">
        <v>0</v>
      </c>
      <c r="K7" s="175">
        <v>0</v>
      </c>
      <c r="L7" s="175">
        <v>251794</v>
      </c>
      <c r="M7" s="175">
        <v>0</v>
      </c>
      <c r="N7" s="175">
        <v>0</v>
      </c>
      <c r="O7" s="175">
        <v>0</v>
      </c>
      <c r="Q7" s="175" t="s">
        <v>139</v>
      </c>
      <c r="R7" s="202">
        <v>4</v>
      </c>
    </row>
    <row r="8" spans="1:18" x14ac:dyDescent="0.3">
      <c r="A8" s="175">
        <v>56</v>
      </c>
      <c r="B8" s="175">
        <v>2</v>
      </c>
      <c r="C8" s="175">
        <v>1</v>
      </c>
      <c r="D8" s="175">
        <v>32.25</v>
      </c>
      <c r="E8" s="175">
        <v>0</v>
      </c>
      <c r="F8" s="175">
        <v>0</v>
      </c>
      <c r="G8" s="175">
        <v>0</v>
      </c>
      <c r="H8" s="175">
        <v>0</v>
      </c>
      <c r="I8" s="175">
        <v>16.25</v>
      </c>
      <c r="J8" s="175">
        <v>0</v>
      </c>
      <c r="K8" s="175">
        <v>0</v>
      </c>
      <c r="L8" s="175">
        <v>16</v>
      </c>
      <c r="M8" s="175">
        <v>0</v>
      </c>
      <c r="N8" s="175">
        <v>0</v>
      </c>
      <c r="O8" s="175">
        <v>0</v>
      </c>
      <c r="Q8" s="175" t="s">
        <v>140</v>
      </c>
      <c r="R8" s="202">
        <v>5</v>
      </c>
    </row>
    <row r="9" spans="1:18" x14ac:dyDescent="0.3">
      <c r="A9" s="175">
        <v>56</v>
      </c>
      <c r="B9" s="175">
        <v>2</v>
      </c>
      <c r="C9" s="175">
        <v>2</v>
      </c>
      <c r="D9" s="175">
        <v>4360.25</v>
      </c>
      <c r="E9" s="175">
        <v>0</v>
      </c>
      <c r="F9" s="175">
        <v>0</v>
      </c>
      <c r="G9" s="175">
        <v>0</v>
      </c>
      <c r="H9" s="175">
        <v>0</v>
      </c>
      <c r="I9" s="175">
        <v>2186.5</v>
      </c>
      <c r="J9" s="175">
        <v>0</v>
      </c>
      <c r="K9" s="175">
        <v>0</v>
      </c>
      <c r="L9" s="175">
        <v>2173.75</v>
      </c>
      <c r="M9" s="175">
        <v>0</v>
      </c>
      <c r="N9" s="175">
        <v>0</v>
      </c>
      <c r="O9" s="175">
        <v>0</v>
      </c>
      <c r="Q9" s="175" t="s">
        <v>141</v>
      </c>
      <c r="R9" s="202">
        <v>6</v>
      </c>
    </row>
    <row r="10" spans="1:18" x14ac:dyDescent="0.3">
      <c r="A10" s="175">
        <v>56</v>
      </c>
      <c r="B10" s="175">
        <v>2</v>
      </c>
      <c r="C10" s="175">
        <v>6</v>
      </c>
      <c r="D10" s="175">
        <v>661078</v>
      </c>
      <c r="E10" s="175">
        <v>0</v>
      </c>
      <c r="F10" s="175">
        <v>0</v>
      </c>
      <c r="G10" s="175">
        <v>0</v>
      </c>
      <c r="H10" s="175">
        <v>0</v>
      </c>
      <c r="I10" s="175">
        <v>411224</v>
      </c>
      <c r="J10" s="175">
        <v>0</v>
      </c>
      <c r="K10" s="175">
        <v>0</v>
      </c>
      <c r="L10" s="175">
        <v>249854</v>
      </c>
      <c r="M10" s="175">
        <v>0</v>
      </c>
      <c r="N10" s="175">
        <v>0</v>
      </c>
      <c r="O10" s="175">
        <v>0</v>
      </c>
      <c r="Q10" s="175" t="s">
        <v>142</v>
      </c>
      <c r="R10" s="202">
        <v>7</v>
      </c>
    </row>
    <row r="11" spans="1:18" x14ac:dyDescent="0.3">
      <c r="A11" s="175">
        <v>56</v>
      </c>
      <c r="B11" s="175">
        <v>2</v>
      </c>
      <c r="C11" s="175">
        <v>9</v>
      </c>
      <c r="D11" s="175">
        <v>7920</v>
      </c>
      <c r="E11" s="175">
        <v>0</v>
      </c>
      <c r="F11" s="175">
        <v>0</v>
      </c>
      <c r="G11" s="175">
        <v>0</v>
      </c>
      <c r="H11" s="175">
        <v>0</v>
      </c>
      <c r="I11" s="175">
        <v>4920</v>
      </c>
      <c r="J11" s="175">
        <v>0</v>
      </c>
      <c r="K11" s="175">
        <v>0</v>
      </c>
      <c r="L11" s="175">
        <v>3000</v>
      </c>
      <c r="M11" s="175">
        <v>0</v>
      </c>
      <c r="N11" s="175">
        <v>0</v>
      </c>
      <c r="O11" s="175">
        <v>0</v>
      </c>
      <c r="Q11" s="175" t="s">
        <v>143</v>
      </c>
      <c r="R11" s="202">
        <v>8</v>
      </c>
    </row>
    <row r="12" spans="1:18" x14ac:dyDescent="0.3">
      <c r="Q12" s="175" t="s">
        <v>144</v>
      </c>
      <c r="R12" s="202">
        <v>9</v>
      </c>
    </row>
    <row r="13" spans="1:18" x14ac:dyDescent="0.3">
      <c r="Q13" s="175" t="s">
        <v>145</v>
      </c>
      <c r="R13" s="202">
        <v>10</v>
      </c>
    </row>
    <row r="14" spans="1:18" x14ac:dyDescent="0.3">
      <c r="Q14" s="175" t="s">
        <v>146</v>
      </c>
      <c r="R14" s="202">
        <v>11</v>
      </c>
    </row>
    <row r="15" spans="1:18" x14ac:dyDescent="0.3">
      <c r="Q15" s="175" t="s">
        <v>147</v>
      </c>
      <c r="R15" s="202">
        <v>12</v>
      </c>
    </row>
    <row r="16" spans="1:18" x14ac:dyDescent="0.3">
      <c r="Q16" s="175" t="s">
        <v>135</v>
      </c>
      <c r="R16" s="20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55" t="s">
        <v>77</v>
      </c>
      <c r="B1" s="255"/>
      <c r="C1" s="256"/>
      <c r="D1" s="256"/>
      <c r="E1" s="256"/>
    </row>
    <row r="2" spans="1:5" ht="14.4" customHeight="1" thickBot="1" x14ac:dyDescent="0.35">
      <c r="A2" s="179" t="s">
        <v>176</v>
      </c>
      <c r="B2" s="120"/>
    </row>
    <row r="3" spans="1:5" ht="14.4" customHeight="1" thickBot="1" x14ac:dyDescent="0.35">
      <c r="A3" s="123"/>
      <c r="C3" s="124" t="s">
        <v>66</v>
      </c>
      <c r="D3" s="125" t="s">
        <v>59</v>
      </c>
      <c r="E3" s="126" t="s">
        <v>61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4828</v>
      </c>
      <c r="D4" s="129">
        <f ca="1">IF(ISERROR(VLOOKUP("Náklady celkem",INDIRECT("HI!$A:$G"),5,0)),0,VLOOKUP("Náklady celkem",INDIRECT("HI!$A:$G"),5,0))</f>
        <v>4375.9998000000096</v>
      </c>
      <c r="E4" s="130">
        <f ca="1">IF(C4=0,0,D4/C4)</f>
        <v>0.90637941176470782</v>
      </c>
    </row>
    <row r="5" spans="1:5" ht="14.4" customHeight="1" x14ac:dyDescent="0.3">
      <c r="A5" s="131" t="s">
        <v>87</v>
      </c>
      <c r="B5" s="132"/>
      <c r="C5" s="133"/>
      <c r="D5" s="133"/>
      <c r="E5" s="134"/>
    </row>
    <row r="6" spans="1:5" ht="14.4" customHeight="1" x14ac:dyDescent="0.3">
      <c r="A6" s="135" t="s">
        <v>92</v>
      </c>
      <c r="B6" s="136"/>
      <c r="C6" s="137"/>
      <c r="D6" s="137"/>
      <c r="E6" s="134"/>
    </row>
    <row r="7" spans="1:5" ht="14.4" customHeight="1" x14ac:dyDescent="0.3">
      <c r="A7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70</v>
      </c>
      <c r="C7" s="137">
        <f>IF(ISERROR(HI!F5),"",HI!F5)</f>
        <v>12</v>
      </c>
      <c r="D7" s="137">
        <f>IF(ISERROR(HI!E5),"",HI!E5)</f>
        <v>7.1812300000000002</v>
      </c>
      <c r="E7" s="134">
        <f t="shared" ref="E7:E11" si="0">IF(C7=0,0,D7/C7)</f>
        <v>0.59843583333333339</v>
      </c>
    </row>
    <row r="8" spans="1:5" ht="14.4" customHeight="1" x14ac:dyDescent="0.3">
      <c r="A8" s="139" t="s">
        <v>88</v>
      </c>
      <c r="B8" s="136"/>
      <c r="C8" s="137"/>
      <c r="D8" s="137"/>
      <c r="E8" s="134"/>
    </row>
    <row r="9" spans="1:5" ht="14.4" customHeight="1" x14ac:dyDescent="0.3">
      <c r="A9" s="139" t="s">
        <v>89</v>
      </c>
      <c r="B9" s="136"/>
      <c r="C9" s="137"/>
      <c r="D9" s="137"/>
      <c r="E9" s="134"/>
    </row>
    <row r="10" spans="1:5" ht="14.4" customHeight="1" x14ac:dyDescent="0.3">
      <c r="A10" s="140" t="s">
        <v>93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70</v>
      </c>
      <c r="C11" s="137">
        <f>IF(ISERROR(HI!F6),"",HI!F6)</f>
        <v>3</v>
      </c>
      <c r="D11" s="137">
        <f>IF(ISERROR(HI!E6),"",HI!E6)</f>
        <v>1.54</v>
      </c>
      <c r="E11" s="134">
        <f t="shared" si="0"/>
        <v>0.51333333333333331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(Kč)",INDIRECT("HI!$A:$G"),6,0)),0,VLOOKUP("Osobní náklady (Kč)",INDIRECT("HI!$A:$G"),6,0))</f>
        <v>0</v>
      </c>
      <c r="D12" s="133">
        <f ca="1">IF(ISERROR(VLOOKUP("Osobní náklady (Kč)",INDIRECT("HI!$A:$G"),5,0)),0,VLOOKUP("Osobní náklady (Kč)",INDIRECT("HI!$A:$G"),5,0))</f>
        <v>0</v>
      </c>
      <c r="E12" s="134">
        <f ca="1">IF(C12=0,0,D12/C12)</f>
        <v>0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</v>
      </c>
      <c r="E14" s="153">
        <f t="shared" ref="E14:E15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</v>
      </c>
      <c r="E15" s="134">
        <f t="shared" ca="1" si="1"/>
        <v>0</v>
      </c>
    </row>
    <row r="16" spans="1:5" ht="14.4" customHeight="1" x14ac:dyDescent="0.3">
      <c r="A16" s="155" t="str">
        <f>HYPERLINK("#HI!A1","Hospitalizace (casemix * 30000)")</f>
        <v>Hospitalizace (casemix * 30000)</v>
      </c>
      <c r="B16" s="136"/>
      <c r="C16" s="133">
        <f ca="1">IF(ISERROR(VLOOKUP("Hospitalizace *",INDIRECT("HI!$A:$G"),6,0)),0,VLOOKUP("Hospitalizace *",INDIRECT("HI!$A:$G"),6,0))</f>
        <v>0</v>
      </c>
      <c r="D16" s="133">
        <f ca="1">IF(ISERROR(VLOOKUP("Hospitalizace *",INDIRECT("HI!$A:$G"),5,0)),0,VLOOKUP("Hospitalizace *",INDIRECT("HI!$A:$G"),5,0))</f>
        <v>0</v>
      </c>
      <c r="E16" s="134">
        <f ca="1">IF(C16=0,0,D16/C16)</f>
        <v>0</v>
      </c>
    </row>
    <row r="17" spans="1:5" ht="14.4" customHeight="1" thickBot="1" x14ac:dyDescent="0.35">
      <c r="A17" s="156" t="s">
        <v>90</v>
      </c>
      <c r="B17" s="143"/>
      <c r="C17" s="144"/>
      <c r="D17" s="144"/>
      <c r="E17" s="145"/>
    </row>
    <row r="18" spans="1:5" ht="14.4" customHeight="1" thickBot="1" x14ac:dyDescent="0.35">
      <c r="A18" s="157"/>
      <c r="B18" s="158"/>
      <c r="C18" s="159"/>
      <c r="D18" s="159"/>
      <c r="E18" s="160"/>
    </row>
    <row r="19" spans="1:5" ht="14.4" customHeight="1" thickBot="1" x14ac:dyDescent="0.35">
      <c r="A19" s="161" t="s">
        <v>91</v>
      </c>
      <c r="B19" s="162"/>
      <c r="C19" s="163"/>
      <c r="D19" s="163"/>
      <c r="E19" s="164"/>
    </row>
  </sheetData>
  <mergeCells count="1">
    <mergeCell ref="A1:E1"/>
  </mergeCells>
  <conditionalFormatting sqref="E5">
    <cfRule type="cellIs" dxfId="4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3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3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4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1" bestFit="1" customWidth="1"/>
    <col min="2" max="3" width="9.5546875" style="101" customWidth="1"/>
    <col min="4" max="4" width="2.44140625" style="101" customWidth="1"/>
    <col min="5" max="8" width="9.5546875" style="101" customWidth="1"/>
    <col min="9" max="16384" width="8.88671875" style="101"/>
  </cols>
  <sheetData>
    <row r="1" spans="1:8" ht="18.600000000000001" customHeight="1" thickBot="1" x14ac:dyDescent="0.4">
      <c r="A1" s="255" t="s">
        <v>80</v>
      </c>
      <c r="B1" s="255"/>
      <c r="C1" s="255"/>
      <c r="D1" s="255"/>
      <c r="E1" s="255"/>
      <c r="F1" s="255"/>
      <c r="G1" s="256"/>
      <c r="H1" s="256"/>
    </row>
    <row r="2" spans="1:8" ht="14.4" customHeight="1" thickBot="1" x14ac:dyDescent="0.35">
      <c r="A2" s="179" t="s">
        <v>176</v>
      </c>
      <c r="B2" s="82"/>
      <c r="C2" s="82"/>
      <c r="D2" s="82"/>
      <c r="E2" s="82"/>
      <c r="F2" s="82"/>
    </row>
    <row r="3" spans="1:8" ht="14.4" customHeight="1" x14ac:dyDescent="0.3">
      <c r="A3" s="257"/>
      <c r="B3" s="78">
        <v>2012</v>
      </c>
      <c r="C3" s="40">
        <v>2013</v>
      </c>
      <c r="D3" s="7"/>
      <c r="E3" s="261">
        <v>2014</v>
      </c>
      <c r="F3" s="262"/>
      <c r="G3" s="262"/>
      <c r="H3" s="263"/>
    </row>
    <row r="4" spans="1:8" ht="14.4" customHeight="1" thickBot="1" x14ac:dyDescent="0.35">
      <c r="A4" s="258"/>
      <c r="B4" s="259" t="s">
        <v>59</v>
      </c>
      <c r="C4" s="260"/>
      <c r="D4" s="7"/>
      <c r="E4" s="99" t="s">
        <v>59</v>
      </c>
      <c r="F4" s="80" t="s">
        <v>60</v>
      </c>
      <c r="G4" s="80" t="s">
        <v>56</v>
      </c>
      <c r="H4" s="81" t="s">
        <v>61</v>
      </c>
    </row>
    <row r="5" spans="1:8" ht="14.4" customHeight="1" x14ac:dyDescent="0.3">
      <c r="A5" s="83" t="str">
        <f>HYPERLINK("#'Léky Žádanky'!A1","Léky (Kč)")</f>
        <v>Léky (Kč)</v>
      </c>
      <c r="B5" s="27">
        <v>12.70166</v>
      </c>
      <c r="C5" s="29">
        <v>9.0836100000000002</v>
      </c>
      <c r="D5" s="8"/>
      <c r="E5" s="88">
        <v>7.1812300000000002</v>
      </c>
      <c r="F5" s="28">
        <v>12</v>
      </c>
      <c r="G5" s="87">
        <f>E5-F5</f>
        <v>-4.8187699999999998</v>
      </c>
      <c r="H5" s="93">
        <f>IF(F5&lt;0.00000001,"",E5/F5)</f>
        <v>0.59843583333333339</v>
      </c>
    </row>
    <row r="6" spans="1:8" ht="14.4" customHeight="1" x14ac:dyDescent="0.3">
      <c r="A6" s="83" t="str">
        <f>HYPERLINK("#'Materiál Žádanky'!A1","Materiál - SZM (Kč)")</f>
        <v>Materiál - SZM (Kč)</v>
      </c>
      <c r="B6" s="10">
        <v>3.44</v>
      </c>
      <c r="C6" s="31">
        <v>2.94</v>
      </c>
      <c r="D6" s="8"/>
      <c r="E6" s="89">
        <v>1.54</v>
      </c>
      <c r="F6" s="30">
        <v>3</v>
      </c>
      <c r="G6" s="90">
        <f>E6-F6</f>
        <v>-1.46</v>
      </c>
      <c r="H6" s="94">
        <f>IF(F6&lt;0.00000001,"",E6/F6)</f>
        <v>0.51333333333333331</v>
      </c>
    </row>
    <row r="7" spans="1:8" ht="14.4" customHeight="1" x14ac:dyDescent="0.3">
      <c r="A7" s="244" t="str">
        <f>HYPERLINK("#'Osobní náklady'!A1","Osobní náklady (Kč) *")</f>
        <v>Osobní náklady (Kč) *</v>
      </c>
      <c r="B7" s="10">
        <v>1846.836</v>
      </c>
      <c r="C7" s="31">
        <v>1794.19057</v>
      </c>
      <c r="D7" s="8"/>
      <c r="E7" s="89">
        <v>1807.9733200000001</v>
      </c>
      <c r="F7" s="30">
        <v>2133</v>
      </c>
      <c r="G7" s="90">
        <f>E7-F7</f>
        <v>-325.02667999999994</v>
      </c>
      <c r="H7" s="94">
        <f>IF(F7&lt;0.00000001,"",E7/F7)</f>
        <v>0.84761993436474448</v>
      </c>
    </row>
    <row r="8" spans="1:8" ht="14.4" customHeight="1" thickBot="1" x14ac:dyDescent="0.35">
      <c r="A8" s="1" t="s">
        <v>62</v>
      </c>
      <c r="B8" s="11">
        <v>2646.5204699999999</v>
      </c>
      <c r="C8" s="33">
        <v>2851.7681400000001</v>
      </c>
      <c r="D8" s="8"/>
      <c r="E8" s="91">
        <v>2559.3052500000099</v>
      </c>
      <c r="F8" s="32">
        <v>2680</v>
      </c>
      <c r="G8" s="92">
        <f>E8-F8</f>
        <v>-120.69474999999011</v>
      </c>
      <c r="H8" s="95">
        <f>IF(F8&lt;0.00000001,"",E8/F8)</f>
        <v>0.9549646455223918</v>
      </c>
    </row>
    <row r="9" spans="1:8" ht="14.4" customHeight="1" thickBot="1" x14ac:dyDescent="0.35">
      <c r="A9" s="2" t="s">
        <v>63</v>
      </c>
      <c r="B9" s="3">
        <v>4509.4981299999999</v>
      </c>
      <c r="C9" s="35">
        <v>4657.9823200000001</v>
      </c>
      <c r="D9" s="8"/>
      <c r="E9" s="3">
        <v>4375.9998000000096</v>
      </c>
      <c r="F9" s="34">
        <v>4828</v>
      </c>
      <c r="G9" s="34">
        <f>E9-F9</f>
        <v>-452.0001999999904</v>
      </c>
      <c r="H9" s="96">
        <f>IF(F9&lt;0.00000001,"",E9/F9)</f>
        <v>0.90637941176470782</v>
      </c>
    </row>
    <row r="10" spans="1:8" ht="14.4" customHeight="1" thickBot="1" x14ac:dyDescent="0.35">
      <c r="A10" s="12"/>
      <c r="B10" s="12"/>
      <c r="C10" s="79"/>
      <c r="D10" s="8"/>
      <c r="E10" s="12"/>
      <c r="F10" s="13"/>
    </row>
    <row r="11" spans="1:8" ht="14.4" customHeight="1" x14ac:dyDescent="0.3">
      <c r="A11" s="104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8">
        <f>IF(ISERROR(VLOOKUP("Celkem:",#REF!,6,0)),0,VLOOKUP("Celkem:",#REF!,6,0)/1000)</f>
        <v>0</v>
      </c>
      <c r="F11" s="28">
        <f>B11</f>
        <v>0</v>
      </c>
      <c r="G11" s="87">
        <f>E11-F11</f>
        <v>0</v>
      </c>
      <c r="H11" s="93" t="str">
        <f>IF(F11&lt;0.00000001,"",E11/F11)</f>
        <v/>
      </c>
    </row>
    <row r="12" spans="1:8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1">
        <f>IF(ISERROR(VLOOKUP("Celkem",#REF!,4,0)),0,VLOOKUP("Celkem",#REF!,4,0)*30)</f>
        <v>0</v>
      </c>
      <c r="F12" s="32">
        <f>B12</f>
        <v>0</v>
      </c>
      <c r="G12" s="92">
        <f>E12-F12</f>
        <v>0</v>
      </c>
      <c r="H12" s="95" t="str">
        <f>IF(F12&lt;0.00000001,"",E12/F12)</f>
        <v/>
      </c>
    </row>
    <row r="13" spans="1:8" ht="14.4" customHeight="1" thickBot="1" x14ac:dyDescent="0.35">
      <c r="A13" s="4" t="s">
        <v>64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7" t="str">
        <f>IF(F13&lt;0.00000001,"",E13/F13)</f>
        <v/>
      </c>
    </row>
    <row r="14" spans="1:8" ht="14.4" customHeight="1" thickBot="1" x14ac:dyDescent="0.35">
      <c r="A14" s="12"/>
      <c r="B14" s="12"/>
      <c r="C14" s="79"/>
      <c r="D14" s="8"/>
      <c r="E14" s="12"/>
      <c r="F14" s="13"/>
    </row>
    <row r="15" spans="1:8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8" t="str">
        <f>IF(ISERROR(F15-E15),"",IF(F15&lt;0.00000001,"",E15/F15))</f>
        <v/>
      </c>
    </row>
    <row r="17" spans="1:8" ht="14.4" customHeight="1" x14ac:dyDescent="0.3">
      <c r="A17" s="84" t="s">
        <v>95</v>
      </c>
    </row>
    <row r="18" spans="1:8" ht="14.4" customHeight="1" x14ac:dyDescent="0.3">
      <c r="A18" s="246" t="s">
        <v>173</v>
      </c>
      <c r="B18" s="247"/>
      <c r="C18" s="247"/>
      <c r="D18" s="247"/>
      <c r="E18" s="247"/>
      <c r="F18" s="247"/>
      <c r="G18" s="247"/>
      <c r="H18" s="247"/>
    </row>
    <row r="19" spans="1:8" x14ac:dyDescent="0.3">
      <c r="A19" s="245" t="s">
        <v>172</v>
      </c>
      <c r="B19" s="247"/>
      <c r="C19" s="247"/>
      <c r="D19" s="247"/>
      <c r="E19" s="247"/>
      <c r="F19" s="247"/>
      <c r="G19" s="247"/>
      <c r="H19" s="247"/>
    </row>
    <row r="20" spans="1:8" ht="14.4" customHeight="1" x14ac:dyDescent="0.3">
      <c r="A20" s="85" t="s">
        <v>96</v>
      </c>
    </row>
    <row r="21" spans="1:8" ht="14.4" customHeight="1" x14ac:dyDescent="0.3">
      <c r="A21" s="85" t="s">
        <v>97</v>
      </c>
    </row>
    <row r="22" spans="1:8" ht="14.4" customHeight="1" x14ac:dyDescent="0.3">
      <c r="A22" s="86" t="s">
        <v>98</v>
      </c>
    </row>
    <row r="23" spans="1:8" ht="14.4" customHeight="1" x14ac:dyDescent="0.3">
      <c r="A23" s="86" t="s">
        <v>99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3" priority="4" operator="greaterThan">
      <formula>0</formula>
    </cfRule>
  </conditionalFormatting>
  <conditionalFormatting sqref="G11:G13 G15">
    <cfRule type="cellIs" dxfId="32" priority="3" operator="lessThan">
      <formula>0</formula>
    </cfRule>
  </conditionalFormatting>
  <conditionalFormatting sqref="H5:H9">
    <cfRule type="cellIs" dxfId="31" priority="2" operator="greaterThan">
      <formula>1</formula>
    </cfRule>
  </conditionalFormatting>
  <conditionalFormatting sqref="H11:H13 H15">
    <cfRule type="cellIs" dxfId="3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65" customFormat="1" ht="18.600000000000001" customHeight="1" thickBot="1" x14ac:dyDescent="0.4">
      <c r="A1" s="264" t="s">
        <v>178</v>
      </c>
      <c r="B1" s="264"/>
      <c r="C1" s="264"/>
      <c r="D1" s="264"/>
      <c r="E1" s="264"/>
      <c r="F1" s="264"/>
      <c r="G1" s="264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65" customFormat="1" ht="14.4" customHeight="1" thickBot="1" x14ac:dyDescent="0.3">
      <c r="A2" s="179" t="s">
        <v>176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4.4" customHeight="1" x14ac:dyDescent="0.3">
      <c r="A3" s="58"/>
      <c r="B3" s="265" t="s">
        <v>17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109"/>
      <c r="Q3" s="111"/>
    </row>
    <row r="4" spans="1:17" ht="14.4" customHeight="1" x14ac:dyDescent="0.3">
      <c r="A4" s="59"/>
      <c r="B4" s="20">
        <v>2014</v>
      </c>
      <c r="C4" s="110" t="s">
        <v>18</v>
      </c>
      <c r="D4" s="100" t="s">
        <v>102</v>
      </c>
      <c r="E4" s="100" t="s">
        <v>103</v>
      </c>
      <c r="F4" s="100" t="s">
        <v>104</v>
      </c>
      <c r="G4" s="100" t="s">
        <v>105</v>
      </c>
      <c r="H4" s="100" t="s">
        <v>106</v>
      </c>
      <c r="I4" s="100" t="s">
        <v>107</v>
      </c>
      <c r="J4" s="100" t="s">
        <v>108</v>
      </c>
      <c r="K4" s="100" t="s">
        <v>109</v>
      </c>
      <c r="L4" s="100" t="s">
        <v>110</v>
      </c>
      <c r="M4" s="100" t="s">
        <v>111</v>
      </c>
      <c r="N4" s="100" t="s">
        <v>112</v>
      </c>
      <c r="O4" s="100" t="s">
        <v>113</v>
      </c>
      <c r="P4" s="267" t="s">
        <v>6</v>
      </c>
      <c r="Q4" s="268"/>
    </row>
    <row r="5" spans="1:17" ht="14.4" customHeight="1" thickBot="1" x14ac:dyDescent="0.35">
      <c r="A5" s="60"/>
      <c r="B5" s="21" t="s">
        <v>19</v>
      </c>
      <c r="C5" s="22" t="s">
        <v>19</v>
      </c>
      <c r="D5" s="22" t="s">
        <v>20</v>
      </c>
      <c r="E5" s="22" t="s">
        <v>20</v>
      </c>
      <c r="F5" s="22" t="s">
        <v>20</v>
      </c>
      <c r="G5" s="22" t="s">
        <v>20</v>
      </c>
      <c r="H5" s="22" t="s">
        <v>20</v>
      </c>
      <c r="I5" s="22" t="s">
        <v>20</v>
      </c>
      <c r="J5" s="22" t="s">
        <v>20</v>
      </c>
      <c r="K5" s="22" t="s">
        <v>20</v>
      </c>
      <c r="L5" s="22" t="s">
        <v>20</v>
      </c>
      <c r="M5" s="22" t="s">
        <v>20</v>
      </c>
      <c r="N5" s="22" t="s">
        <v>20</v>
      </c>
      <c r="O5" s="22" t="s">
        <v>20</v>
      </c>
      <c r="P5" s="22" t="s">
        <v>20</v>
      </c>
      <c r="Q5" s="23" t="s">
        <v>21</v>
      </c>
    </row>
    <row r="6" spans="1:17" ht="14.4" customHeight="1" x14ac:dyDescent="0.3">
      <c r="A6" s="14" t="s">
        <v>22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9.8813129168249309E-324</v>
      </c>
      <c r="Q6" s="69" t="s">
        <v>177</v>
      </c>
    </row>
    <row r="7" spans="1:17" ht="14.4" customHeight="1" x14ac:dyDescent="0.3">
      <c r="A7" s="15" t="s">
        <v>23</v>
      </c>
      <c r="B7" s="46">
        <v>57.292595756889</v>
      </c>
      <c r="C7" s="47">
        <v>4.7743829797400004</v>
      </c>
      <c r="D7" s="47">
        <v>4.74899</v>
      </c>
      <c r="E7" s="47">
        <v>2.4322400000000002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7.1812300000000002</v>
      </c>
      <c r="Q7" s="70">
        <v>0.75205843670999994</v>
      </c>
    </row>
    <row r="8" spans="1:17" ht="14.4" customHeight="1" x14ac:dyDescent="0.3">
      <c r="A8" s="15" t="s">
        <v>24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9.8813129168249309E-324</v>
      </c>
      <c r="Q8" s="70" t="s">
        <v>177</v>
      </c>
    </row>
    <row r="9" spans="1:17" ht="14.4" customHeight="1" x14ac:dyDescent="0.3">
      <c r="A9" s="15" t="s">
        <v>25</v>
      </c>
      <c r="B9" s="46">
        <v>11.094806266407</v>
      </c>
      <c r="C9" s="47">
        <v>0.92456718886699996</v>
      </c>
      <c r="D9" s="47">
        <v>0.77</v>
      </c>
      <c r="E9" s="47">
        <v>0.77</v>
      </c>
      <c r="F9" s="47">
        <v>4.9406564584124654E-324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1.54</v>
      </c>
      <c r="Q9" s="70">
        <v>0.83282211316900001</v>
      </c>
    </row>
    <row r="10" spans="1:17" ht="14.4" customHeight="1" x14ac:dyDescent="0.3">
      <c r="A10" s="15" t="s">
        <v>26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9.8813129168249309E-324</v>
      </c>
      <c r="Q10" s="70" t="s">
        <v>177</v>
      </c>
    </row>
    <row r="11" spans="1:17" ht="14.4" customHeight="1" x14ac:dyDescent="0.3">
      <c r="A11" s="15" t="s">
        <v>27</v>
      </c>
      <c r="B11" s="46">
        <v>2622.85112687532</v>
      </c>
      <c r="C11" s="47">
        <v>218.57092723961</v>
      </c>
      <c r="D11" s="47">
        <v>212.209900000001</v>
      </c>
      <c r="E11" s="47">
        <v>107.25915999999999</v>
      </c>
      <c r="F11" s="47">
        <v>4.9406564584124654E-324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319.46906000000098</v>
      </c>
      <c r="Q11" s="70">
        <v>0.73081325141099995</v>
      </c>
    </row>
    <row r="12" spans="1:17" ht="14.4" customHeight="1" x14ac:dyDescent="0.3">
      <c r="A12" s="15" t="s">
        <v>28</v>
      </c>
      <c r="B12" s="46">
        <v>26.249634226066</v>
      </c>
      <c r="C12" s="47">
        <v>2.1874695188379998</v>
      </c>
      <c r="D12" s="47">
        <v>6.0040000000000003E-2</v>
      </c>
      <c r="E12" s="47">
        <v>4.9406564584124654E-324</v>
      </c>
      <c r="F12" s="47">
        <v>4.9406564584124654E-324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6.0040000000000003E-2</v>
      </c>
      <c r="Q12" s="70">
        <v>1.3723619798999999E-2</v>
      </c>
    </row>
    <row r="13" spans="1:17" ht="14.4" customHeight="1" x14ac:dyDescent="0.3">
      <c r="A13" s="15" t="s">
        <v>29</v>
      </c>
      <c r="B13" s="46">
        <v>15.943176095978</v>
      </c>
      <c r="C13" s="47">
        <v>1.328598007998</v>
      </c>
      <c r="D13" s="47">
        <v>5.1784800000000004</v>
      </c>
      <c r="E13" s="47">
        <v>1.2208600000000001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6.3993399999999996</v>
      </c>
      <c r="Q13" s="70">
        <v>2.4083055828300002</v>
      </c>
    </row>
    <row r="14" spans="1:17" ht="14.4" customHeight="1" x14ac:dyDescent="0.3">
      <c r="A14" s="15" t="s">
        <v>30</v>
      </c>
      <c r="B14" s="46">
        <v>6296.8140740747504</v>
      </c>
      <c r="C14" s="47">
        <v>524.73450617289598</v>
      </c>
      <c r="D14" s="47">
        <v>787.49500000000398</v>
      </c>
      <c r="E14" s="47">
        <v>644.57799999999997</v>
      </c>
      <c r="F14" s="47">
        <v>4.9406564584124654E-324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1432.0730000000001</v>
      </c>
      <c r="Q14" s="70">
        <v>1.3645691136689999</v>
      </c>
    </row>
    <row r="15" spans="1:17" ht="14.4" customHeight="1" x14ac:dyDescent="0.3">
      <c r="A15" s="15" t="s">
        <v>31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9.8813129168249309E-324</v>
      </c>
      <c r="Q15" s="70" t="s">
        <v>177</v>
      </c>
    </row>
    <row r="16" spans="1:17" ht="14.4" customHeight="1" x14ac:dyDescent="0.3">
      <c r="A16" s="15" t="s">
        <v>32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9.8813129168249309E-324</v>
      </c>
      <c r="Q16" s="70" t="s">
        <v>177</v>
      </c>
    </row>
    <row r="17" spans="1:17" ht="14.4" customHeight="1" x14ac:dyDescent="0.3">
      <c r="A17" s="15" t="s">
        <v>33</v>
      </c>
      <c r="B17" s="46">
        <v>417.76085662435202</v>
      </c>
      <c r="C17" s="47">
        <v>34.813404718695999</v>
      </c>
      <c r="D17" s="47">
        <v>11.62804</v>
      </c>
      <c r="E17" s="47">
        <v>85.285570000000007</v>
      </c>
      <c r="F17" s="47">
        <v>4.9406564584124654E-324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96.913610000000006</v>
      </c>
      <c r="Q17" s="70">
        <v>1.3919007747600001</v>
      </c>
    </row>
    <row r="18" spans="1:17" ht="14.4" customHeight="1" x14ac:dyDescent="0.3">
      <c r="A18" s="15" t="s">
        <v>34</v>
      </c>
      <c r="B18" s="46">
        <v>0</v>
      </c>
      <c r="C18" s="47">
        <v>0</v>
      </c>
      <c r="D18" s="47">
        <v>0.61899999999999999</v>
      </c>
      <c r="E18" s="47">
        <v>4.9406564584124654E-324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0.61899999999999999</v>
      </c>
      <c r="Q18" s="70" t="s">
        <v>177</v>
      </c>
    </row>
    <row r="19" spans="1:17" ht="14.4" customHeight="1" x14ac:dyDescent="0.3">
      <c r="A19" s="15" t="s">
        <v>35</v>
      </c>
      <c r="B19" s="46">
        <v>1805.92746227265</v>
      </c>
      <c r="C19" s="47">
        <v>150.49395518938701</v>
      </c>
      <c r="D19" s="47">
        <v>54.595440000000004</v>
      </c>
      <c r="E19" s="47">
        <v>48.01576</v>
      </c>
      <c r="F19" s="47">
        <v>4.9406564584124654E-324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102.6112</v>
      </c>
      <c r="Q19" s="70">
        <v>0.34091468946600001</v>
      </c>
    </row>
    <row r="20" spans="1:17" ht="14.4" customHeight="1" x14ac:dyDescent="0.3">
      <c r="A20" s="15" t="s">
        <v>36</v>
      </c>
      <c r="B20" s="46">
        <v>11718.057939754301</v>
      </c>
      <c r="C20" s="47">
        <v>976.50482831286195</v>
      </c>
      <c r="D20" s="47">
        <v>917.70652000000496</v>
      </c>
      <c r="E20" s="47">
        <v>890.26679999999999</v>
      </c>
      <c r="F20" s="47">
        <v>4.9406564584124654E-324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1807.9733200000001</v>
      </c>
      <c r="Q20" s="70">
        <v>0.92573700998599995</v>
      </c>
    </row>
    <row r="21" spans="1:17" ht="14.4" customHeight="1" x14ac:dyDescent="0.3">
      <c r="A21" s="16" t="s">
        <v>37</v>
      </c>
      <c r="B21" s="46">
        <v>3452.6328789055901</v>
      </c>
      <c r="C21" s="47">
        <v>287.719406575466</v>
      </c>
      <c r="D21" s="47">
        <v>300.58000000000101</v>
      </c>
      <c r="E21" s="47">
        <v>300.58</v>
      </c>
      <c r="F21" s="47">
        <v>1.4821969375237396E-323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601.16000000000099</v>
      </c>
      <c r="Q21" s="70">
        <v>1.0446983871460001</v>
      </c>
    </row>
    <row r="22" spans="1:17" ht="14.4" customHeight="1" x14ac:dyDescent="0.3">
      <c r="A22" s="15" t="s">
        <v>38</v>
      </c>
      <c r="B22" s="46">
        <v>4.9406564584124654E-324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9.8813129168249309E-324</v>
      </c>
      <c r="Q22" s="70" t="s">
        <v>177</v>
      </c>
    </row>
    <row r="23" spans="1:17" ht="14.4" customHeight="1" x14ac:dyDescent="0.3">
      <c r="A23" s="16" t="s">
        <v>39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3.9525251667299724E-323</v>
      </c>
      <c r="Q23" s="70" t="s">
        <v>177</v>
      </c>
    </row>
    <row r="24" spans="1:17" ht="14.4" customHeight="1" x14ac:dyDescent="0.3">
      <c r="A24" s="16" t="s">
        <v>40</v>
      </c>
      <c r="B24" s="46">
        <v>0</v>
      </c>
      <c r="C24" s="47">
        <v>4.5474735088646402E-13</v>
      </c>
      <c r="D24" s="47">
        <v>9.0949470177292804E-13</v>
      </c>
      <c r="E24" s="47">
        <v>0</v>
      </c>
      <c r="F24" s="47">
        <v>-1.0869444208507424E-322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9.0949470177292804E-13</v>
      </c>
      <c r="Q24" s="70"/>
    </row>
    <row r="25" spans="1:17" ht="14.4" customHeight="1" x14ac:dyDescent="0.3">
      <c r="A25" s="17" t="s">
        <v>41</v>
      </c>
      <c r="B25" s="49">
        <v>26424.624550852299</v>
      </c>
      <c r="C25" s="50">
        <v>2202.0520459043601</v>
      </c>
      <c r="D25" s="50">
        <v>2295.59141000001</v>
      </c>
      <c r="E25" s="50">
        <v>2080.4083900000001</v>
      </c>
      <c r="F25" s="50">
        <v>4.9406564584124654E-324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4375.9998000000096</v>
      </c>
      <c r="Q25" s="71">
        <v>0.99361861317900002</v>
      </c>
    </row>
    <row r="26" spans="1:17" ht="14.4" customHeight="1" x14ac:dyDescent="0.3">
      <c r="A26" s="15" t="s">
        <v>42</v>
      </c>
      <c r="B26" s="46">
        <v>2114.0038276155401</v>
      </c>
      <c r="C26" s="47">
        <v>176.16698563462799</v>
      </c>
      <c r="D26" s="47">
        <v>156.99177</v>
      </c>
      <c r="E26" s="47">
        <v>146.16618</v>
      </c>
      <c r="F26" s="47">
        <v>4.9406564584124654E-324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303.15795000000003</v>
      </c>
      <c r="Q26" s="70">
        <v>0.86042781769700005</v>
      </c>
    </row>
    <row r="27" spans="1:17" ht="14.4" customHeight="1" x14ac:dyDescent="0.3">
      <c r="A27" s="18" t="s">
        <v>43</v>
      </c>
      <c r="B27" s="49">
        <v>28538.6283784679</v>
      </c>
      <c r="C27" s="50">
        <v>2378.2190315389898</v>
      </c>
      <c r="D27" s="50">
        <v>2452.5831800000101</v>
      </c>
      <c r="E27" s="50">
        <v>2226.5745700000002</v>
      </c>
      <c r="F27" s="50">
        <v>9.8813129168249309E-324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4679.1577500000103</v>
      </c>
      <c r="Q27" s="71">
        <v>0.98375248199300003</v>
      </c>
    </row>
    <row r="28" spans="1:17" ht="14.4" customHeight="1" x14ac:dyDescent="0.3">
      <c r="A28" s="16" t="s">
        <v>44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2.4703282292062327E-322</v>
      </c>
      <c r="Q28" s="70">
        <v>0</v>
      </c>
    </row>
    <row r="29" spans="1:17" ht="14.4" customHeight="1" x14ac:dyDescent="0.3">
      <c r="A29" s="16" t="s">
        <v>45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1.9762625833649862E-323</v>
      </c>
      <c r="Q29" s="70" t="s">
        <v>177</v>
      </c>
    </row>
    <row r="30" spans="1:17" ht="14.4" customHeight="1" x14ac:dyDescent="0.3">
      <c r="A30" s="16" t="s">
        <v>46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9.8813129168249309E-323</v>
      </c>
      <c r="Q30" s="70">
        <v>0</v>
      </c>
    </row>
    <row r="31" spans="1:17" ht="14.4" customHeight="1" thickBot="1" x14ac:dyDescent="0.35">
      <c r="A31" s="19" t="s">
        <v>47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4.9406564584124654E-323</v>
      </c>
      <c r="Q31" s="72" t="s">
        <v>177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4" t="s">
        <v>95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122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48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64" t="s">
        <v>49</v>
      </c>
      <c r="B1" s="264"/>
      <c r="C1" s="264"/>
      <c r="D1" s="264"/>
      <c r="E1" s="264"/>
      <c r="F1" s="264"/>
      <c r="G1" s="264"/>
      <c r="H1" s="269"/>
      <c r="I1" s="269"/>
      <c r="J1" s="269"/>
      <c r="K1" s="269"/>
    </row>
    <row r="2" spans="1:11" s="55" customFormat="1" ht="14.4" customHeight="1" thickBot="1" x14ac:dyDescent="0.35">
      <c r="A2" s="179" t="s">
        <v>176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5" t="s">
        <v>50</v>
      </c>
      <c r="C3" s="266"/>
      <c r="D3" s="266"/>
      <c r="E3" s="266"/>
      <c r="F3" s="272" t="s">
        <v>51</v>
      </c>
      <c r="G3" s="266"/>
      <c r="H3" s="266"/>
      <c r="I3" s="266"/>
      <c r="J3" s="266"/>
      <c r="K3" s="273"/>
    </row>
    <row r="4" spans="1:11" ht="14.4" customHeight="1" x14ac:dyDescent="0.3">
      <c r="A4" s="59"/>
      <c r="B4" s="270"/>
      <c r="C4" s="271"/>
      <c r="D4" s="271"/>
      <c r="E4" s="271"/>
      <c r="F4" s="274" t="s">
        <v>118</v>
      </c>
      <c r="G4" s="276" t="s">
        <v>52</v>
      </c>
      <c r="H4" s="112" t="s">
        <v>84</v>
      </c>
      <c r="I4" s="274" t="s">
        <v>53</v>
      </c>
      <c r="J4" s="276" t="s">
        <v>120</v>
      </c>
      <c r="K4" s="277" t="s">
        <v>121</v>
      </c>
    </row>
    <row r="5" spans="1:11" ht="42" thickBot="1" x14ac:dyDescent="0.35">
      <c r="A5" s="60"/>
      <c r="B5" s="24" t="s">
        <v>114</v>
      </c>
      <c r="C5" s="25" t="s">
        <v>115</v>
      </c>
      <c r="D5" s="26" t="s">
        <v>116</v>
      </c>
      <c r="E5" s="26" t="s">
        <v>117</v>
      </c>
      <c r="F5" s="275"/>
      <c r="G5" s="275"/>
      <c r="H5" s="25" t="s">
        <v>119</v>
      </c>
      <c r="I5" s="275"/>
      <c r="J5" s="275"/>
      <c r="K5" s="278"/>
    </row>
    <row r="6" spans="1:11" ht="14.4" customHeight="1" thickBot="1" x14ac:dyDescent="0.35">
      <c r="A6" s="311" t="s">
        <v>179</v>
      </c>
      <c r="B6" s="293">
        <v>26165.909701217301</v>
      </c>
      <c r="C6" s="293">
        <v>26439.60038</v>
      </c>
      <c r="D6" s="294">
        <v>273.69067878270999</v>
      </c>
      <c r="E6" s="295">
        <v>1.0104598189739999</v>
      </c>
      <c r="F6" s="293">
        <v>26424.624550852299</v>
      </c>
      <c r="G6" s="294">
        <v>4404.1040918087201</v>
      </c>
      <c r="H6" s="296">
        <v>2080.4083900000001</v>
      </c>
      <c r="I6" s="293">
        <v>4375.9998000000096</v>
      </c>
      <c r="J6" s="294">
        <v>-28.104291808711999</v>
      </c>
      <c r="K6" s="297">
        <v>0.165603102196</v>
      </c>
    </row>
    <row r="7" spans="1:11" ht="14.4" customHeight="1" thickBot="1" x14ac:dyDescent="0.35">
      <c r="A7" s="312" t="s">
        <v>180</v>
      </c>
      <c r="B7" s="293">
        <v>8677.4838045757606</v>
      </c>
      <c r="C7" s="293">
        <v>8589.0464699999993</v>
      </c>
      <c r="D7" s="294">
        <v>-88.437334575758996</v>
      </c>
      <c r="E7" s="295">
        <v>0.98980841260300001</v>
      </c>
      <c r="F7" s="293">
        <v>9030.2454132954099</v>
      </c>
      <c r="G7" s="294">
        <v>1505.0409022158999</v>
      </c>
      <c r="H7" s="296">
        <v>756.26026000000002</v>
      </c>
      <c r="I7" s="293">
        <v>1766.7226700000001</v>
      </c>
      <c r="J7" s="294">
        <v>261.68176778410401</v>
      </c>
      <c r="K7" s="297">
        <v>0.195645033898</v>
      </c>
    </row>
    <row r="8" spans="1:11" ht="14.4" customHeight="1" thickBot="1" x14ac:dyDescent="0.35">
      <c r="A8" s="313" t="s">
        <v>181</v>
      </c>
      <c r="B8" s="293">
        <v>2352.53728075551</v>
      </c>
      <c r="C8" s="293">
        <v>2470.0824699999998</v>
      </c>
      <c r="D8" s="294">
        <v>117.54518924448899</v>
      </c>
      <c r="E8" s="295">
        <v>1.0499652822529999</v>
      </c>
      <c r="F8" s="293">
        <v>2733.43133922066</v>
      </c>
      <c r="G8" s="294">
        <v>455.57188987011</v>
      </c>
      <c r="H8" s="296">
        <v>111.68226</v>
      </c>
      <c r="I8" s="293">
        <v>334.64967000000098</v>
      </c>
      <c r="J8" s="294">
        <v>-120.922219870109</v>
      </c>
      <c r="K8" s="297">
        <v>0.12242841632699999</v>
      </c>
    </row>
    <row r="9" spans="1:11" ht="14.4" customHeight="1" thickBot="1" x14ac:dyDescent="0.35">
      <c r="A9" s="314" t="s">
        <v>182</v>
      </c>
      <c r="B9" s="298">
        <v>71.951522474913006</v>
      </c>
      <c r="C9" s="298">
        <v>57.249229999999997</v>
      </c>
      <c r="D9" s="299">
        <v>-14.702292474913</v>
      </c>
      <c r="E9" s="300">
        <v>0.79566391412899995</v>
      </c>
      <c r="F9" s="298">
        <v>57.292595756889</v>
      </c>
      <c r="G9" s="299">
        <v>9.5487659594810008</v>
      </c>
      <c r="H9" s="301">
        <v>2.4322400000000002</v>
      </c>
      <c r="I9" s="298">
        <v>7.1812300000000002</v>
      </c>
      <c r="J9" s="299">
        <v>-2.3675359594810002</v>
      </c>
      <c r="K9" s="302">
        <v>0.12534307278500001</v>
      </c>
    </row>
    <row r="10" spans="1:11" ht="14.4" customHeight="1" thickBot="1" x14ac:dyDescent="0.35">
      <c r="A10" s="315" t="s">
        <v>183</v>
      </c>
      <c r="B10" s="293">
        <v>71.951522474913006</v>
      </c>
      <c r="C10" s="293">
        <v>57.249229999999997</v>
      </c>
      <c r="D10" s="294">
        <v>-14.702292474913</v>
      </c>
      <c r="E10" s="295">
        <v>0.79566391412899995</v>
      </c>
      <c r="F10" s="293">
        <v>57.292595756889</v>
      </c>
      <c r="G10" s="294">
        <v>9.5487659594810008</v>
      </c>
      <c r="H10" s="296">
        <v>2.4322400000000002</v>
      </c>
      <c r="I10" s="293">
        <v>7.1812300000000002</v>
      </c>
      <c r="J10" s="294">
        <v>-2.3675359594810002</v>
      </c>
      <c r="K10" s="297">
        <v>0.12534307278500001</v>
      </c>
    </row>
    <row r="11" spans="1:11" ht="14.4" customHeight="1" thickBot="1" x14ac:dyDescent="0.35">
      <c r="A11" s="314" t="s">
        <v>184</v>
      </c>
      <c r="B11" s="298">
        <v>10.451205002133999</v>
      </c>
      <c r="C11" s="298">
        <v>10.94</v>
      </c>
      <c r="D11" s="299">
        <v>0.48879499786500002</v>
      </c>
      <c r="E11" s="300">
        <v>1.0467692479249999</v>
      </c>
      <c r="F11" s="298">
        <v>11.094806266407</v>
      </c>
      <c r="G11" s="299">
        <v>1.8491343777339999</v>
      </c>
      <c r="H11" s="301">
        <v>0.77</v>
      </c>
      <c r="I11" s="298">
        <v>1.54</v>
      </c>
      <c r="J11" s="299">
        <v>-0.30913437773399999</v>
      </c>
      <c r="K11" s="302">
        <v>0.13880368552799999</v>
      </c>
    </row>
    <row r="12" spans="1:11" ht="14.4" customHeight="1" thickBot="1" x14ac:dyDescent="0.35">
      <c r="A12" s="315" t="s">
        <v>185</v>
      </c>
      <c r="B12" s="293">
        <v>9.5012437837460002</v>
      </c>
      <c r="C12" s="293">
        <v>10.94</v>
      </c>
      <c r="D12" s="294">
        <v>1.4387562162530001</v>
      </c>
      <c r="E12" s="295">
        <v>1.1514281970860001</v>
      </c>
      <c r="F12" s="293">
        <v>11.094806266407</v>
      </c>
      <c r="G12" s="294">
        <v>1.8491343777339999</v>
      </c>
      <c r="H12" s="296">
        <v>0.77</v>
      </c>
      <c r="I12" s="293">
        <v>1.54</v>
      </c>
      <c r="J12" s="294">
        <v>-0.30913437773399999</v>
      </c>
      <c r="K12" s="297">
        <v>0.13880368552799999</v>
      </c>
    </row>
    <row r="13" spans="1:11" ht="14.4" customHeight="1" thickBot="1" x14ac:dyDescent="0.35">
      <c r="A13" s="314" t="s">
        <v>186</v>
      </c>
      <c r="B13" s="298">
        <v>2242.7200061942599</v>
      </c>
      <c r="C13" s="298">
        <v>2356.31288</v>
      </c>
      <c r="D13" s="299">
        <v>113.592873805743</v>
      </c>
      <c r="E13" s="300">
        <v>1.0506496011499999</v>
      </c>
      <c r="F13" s="298">
        <v>2622.85112687532</v>
      </c>
      <c r="G13" s="299">
        <v>437.14185447922</v>
      </c>
      <c r="H13" s="301">
        <v>107.25915999999999</v>
      </c>
      <c r="I13" s="298">
        <v>319.46906000000098</v>
      </c>
      <c r="J13" s="299">
        <v>-117.67279447921899</v>
      </c>
      <c r="K13" s="302">
        <v>0.121802208568</v>
      </c>
    </row>
    <row r="14" spans="1:11" ht="14.4" customHeight="1" thickBot="1" x14ac:dyDescent="0.35">
      <c r="A14" s="315" t="s">
        <v>187</v>
      </c>
      <c r="B14" s="293">
        <v>153.39494422104201</v>
      </c>
      <c r="C14" s="293">
        <v>149.80883</v>
      </c>
      <c r="D14" s="294">
        <v>-3.586114221041</v>
      </c>
      <c r="E14" s="295">
        <v>0.97662169219899997</v>
      </c>
      <c r="F14" s="293">
        <v>146.98604755354401</v>
      </c>
      <c r="G14" s="294">
        <v>24.497674592256999</v>
      </c>
      <c r="H14" s="296">
        <v>0.39423999999999998</v>
      </c>
      <c r="I14" s="293">
        <v>1.3400099999999999</v>
      </c>
      <c r="J14" s="294">
        <v>-23.157664592256999</v>
      </c>
      <c r="K14" s="297">
        <v>9.1165795819999999E-3</v>
      </c>
    </row>
    <row r="15" spans="1:11" ht="14.4" customHeight="1" thickBot="1" x14ac:dyDescent="0.35">
      <c r="A15" s="315" t="s">
        <v>188</v>
      </c>
      <c r="B15" s="293">
        <v>47.048905774684997</v>
      </c>
      <c r="C15" s="293">
        <v>118.18474000000001</v>
      </c>
      <c r="D15" s="294">
        <v>71.135834225314994</v>
      </c>
      <c r="E15" s="295">
        <v>2.511955125289</v>
      </c>
      <c r="F15" s="293">
        <v>121.57051425101</v>
      </c>
      <c r="G15" s="294">
        <v>20.261752375168001</v>
      </c>
      <c r="H15" s="296">
        <v>9.7053100000000008</v>
      </c>
      <c r="I15" s="293">
        <v>12.98526</v>
      </c>
      <c r="J15" s="294">
        <v>-7.276492375168</v>
      </c>
      <c r="K15" s="297">
        <v>0.106812577704</v>
      </c>
    </row>
    <row r="16" spans="1:11" ht="14.4" customHeight="1" thickBot="1" x14ac:dyDescent="0.35">
      <c r="A16" s="315" t="s">
        <v>189</v>
      </c>
      <c r="B16" s="293">
        <v>38.534958504644003</v>
      </c>
      <c r="C16" s="293">
        <v>40.36598</v>
      </c>
      <c r="D16" s="294">
        <v>1.8310214953549999</v>
      </c>
      <c r="E16" s="295">
        <v>1.0475158548600001</v>
      </c>
      <c r="F16" s="293">
        <v>41.885422907102999</v>
      </c>
      <c r="G16" s="294">
        <v>6.9809038178499998</v>
      </c>
      <c r="H16" s="296">
        <v>0.47076000000000001</v>
      </c>
      <c r="I16" s="293">
        <v>2.3105199999999999</v>
      </c>
      <c r="J16" s="294">
        <v>-4.6703838178500003</v>
      </c>
      <c r="K16" s="297">
        <v>5.5162866688000002E-2</v>
      </c>
    </row>
    <row r="17" spans="1:11" ht="14.4" customHeight="1" thickBot="1" x14ac:dyDescent="0.35">
      <c r="A17" s="315" t="s">
        <v>190</v>
      </c>
      <c r="B17" s="293">
        <v>7.0886445361100003</v>
      </c>
      <c r="C17" s="293">
        <v>8.0571300000000008</v>
      </c>
      <c r="D17" s="294">
        <v>0.96848546388900003</v>
      </c>
      <c r="E17" s="295">
        <v>1.1366249159420001</v>
      </c>
      <c r="F17" s="293">
        <v>4.9995948694530004</v>
      </c>
      <c r="G17" s="294">
        <v>0.83326581157500001</v>
      </c>
      <c r="H17" s="296">
        <v>1.11721</v>
      </c>
      <c r="I17" s="293">
        <v>1.11721</v>
      </c>
      <c r="J17" s="294">
        <v>0.28394418842399999</v>
      </c>
      <c r="K17" s="297">
        <v>0.22346010610200001</v>
      </c>
    </row>
    <row r="18" spans="1:11" ht="14.4" customHeight="1" thickBot="1" x14ac:dyDescent="0.35">
      <c r="A18" s="315" t="s">
        <v>191</v>
      </c>
      <c r="B18" s="293">
        <v>13.2826650277</v>
      </c>
      <c r="C18" s="293">
        <v>14.882899999999999</v>
      </c>
      <c r="D18" s="294">
        <v>1.6002349722989999</v>
      </c>
      <c r="E18" s="295">
        <v>1.12047544442</v>
      </c>
      <c r="F18" s="293">
        <v>25.844705392689001</v>
      </c>
      <c r="G18" s="294">
        <v>4.3074508987810001</v>
      </c>
      <c r="H18" s="296">
        <v>4.9406564584124654E-324</v>
      </c>
      <c r="I18" s="293">
        <v>1.9842299999999999</v>
      </c>
      <c r="J18" s="294">
        <v>-2.3232208987809999</v>
      </c>
      <c r="K18" s="297">
        <v>7.6775106152000006E-2</v>
      </c>
    </row>
    <row r="19" spans="1:11" ht="14.4" customHeight="1" thickBot="1" x14ac:dyDescent="0.35">
      <c r="A19" s="315" t="s">
        <v>192</v>
      </c>
      <c r="B19" s="293">
        <v>0</v>
      </c>
      <c r="C19" s="293">
        <v>5.8079999999999998</v>
      </c>
      <c r="D19" s="294">
        <v>5.8079999999999998</v>
      </c>
      <c r="E19" s="303" t="s">
        <v>177</v>
      </c>
      <c r="F19" s="293">
        <v>3.2421465354589998</v>
      </c>
      <c r="G19" s="294">
        <v>0.54035775590900004</v>
      </c>
      <c r="H19" s="296">
        <v>4.9406564584124654E-324</v>
      </c>
      <c r="I19" s="293">
        <v>9.8813129168249309E-324</v>
      </c>
      <c r="J19" s="294">
        <v>-0.54035775590900004</v>
      </c>
      <c r="K19" s="297">
        <v>4.9406564584124654E-324</v>
      </c>
    </row>
    <row r="20" spans="1:11" ht="14.4" customHeight="1" thickBot="1" x14ac:dyDescent="0.35">
      <c r="A20" s="315" t="s">
        <v>193</v>
      </c>
      <c r="B20" s="293">
        <v>1885.01052632759</v>
      </c>
      <c r="C20" s="293">
        <v>1937.94965</v>
      </c>
      <c r="D20" s="294">
        <v>52.939123672415</v>
      </c>
      <c r="E20" s="295">
        <v>1.028084258911</v>
      </c>
      <c r="F20" s="293">
        <v>2207.7965431248099</v>
      </c>
      <c r="G20" s="294">
        <v>367.96609052080203</v>
      </c>
      <c r="H20" s="296">
        <v>84.320350000000005</v>
      </c>
      <c r="I20" s="293">
        <v>282.63428000000101</v>
      </c>
      <c r="J20" s="294">
        <v>-85.331810520800005</v>
      </c>
      <c r="K20" s="297">
        <v>0.12801645191399999</v>
      </c>
    </row>
    <row r="21" spans="1:11" ht="14.4" customHeight="1" thickBot="1" x14ac:dyDescent="0.35">
      <c r="A21" s="315" t="s">
        <v>194</v>
      </c>
      <c r="B21" s="293">
        <v>6.548977411818</v>
      </c>
      <c r="C21" s="293">
        <v>7.1336500000000003</v>
      </c>
      <c r="D21" s="294">
        <v>0.58467258818099999</v>
      </c>
      <c r="E21" s="295">
        <v>1.0892769285049999</v>
      </c>
      <c r="F21" s="293">
        <v>7.9760689197470001</v>
      </c>
      <c r="G21" s="294">
        <v>1.3293448199569999</v>
      </c>
      <c r="H21" s="296">
        <v>0.68367999999999995</v>
      </c>
      <c r="I21" s="293">
        <v>1.0416300000000001</v>
      </c>
      <c r="J21" s="294">
        <v>-0.28771481995699999</v>
      </c>
      <c r="K21" s="297">
        <v>0.13059440815699999</v>
      </c>
    </row>
    <row r="22" spans="1:11" ht="14.4" customHeight="1" thickBot="1" x14ac:dyDescent="0.35">
      <c r="A22" s="315" t="s">
        <v>195</v>
      </c>
      <c r="B22" s="293">
        <v>4.9406564584124654E-324</v>
      </c>
      <c r="C22" s="293">
        <v>6.6960000000000006E-2</v>
      </c>
      <c r="D22" s="294">
        <v>6.6960000000000006E-2</v>
      </c>
      <c r="E22" s="303" t="s">
        <v>196</v>
      </c>
      <c r="F22" s="293">
        <v>6.8091065877999998E-2</v>
      </c>
      <c r="G22" s="294">
        <v>1.1348510979E-2</v>
      </c>
      <c r="H22" s="296">
        <v>4.9406564584124654E-324</v>
      </c>
      <c r="I22" s="293">
        <v>9.8813129168249309E-324</v>
      </c>
      <c r="J22" s="294">
        <v>-1.1348510979E-2</v>
      </c>
      <c r="K22" s="297">
        <v>1.432790372939615E-322</v>
      </c>
    </row>
    <row r="23" spans="1:11" ht="14.4" customHeight="1" thickBot="1" x14ac:dyDescent="0.35">
      <c r="A23" s="315" t="s">
        <v>197</v>
      </c>
      <c r="B23" s="293">
        <v>4.9406564584124654E-324</v>
      </c>
      <c r="C23" s="293">
        <v>74.055040000000005</v>
      </c>
      <c r="D23" s="294">
        <v>74.055040000000005</v>
      </c>
      <c r="E23" s="303" t="s">
        <v>196</v>
      </c>
      <c r="F23" s="293">
        <v>62.481992255622004</v>
      </c>
      <c r="G23" s="294">
        <v>10.413665375937001</v>
      </c>
      <c r="H23" s="296">
        <v>10.56761</v>
      </c>
      <c r="I23" s="293">
        <v>16.05592</v>
      </c>
      <c r="J23" s="294">
        <v>5.6422546240619997</v>
      </c>
      <c r="K23" s="297">
        <v>0.25696875884300002</v>
      </c>
    </row>
    <row r="24" spans="1:11" ht="14.4" customHeight="1" thickBot="1" x14ac:dyDescent="0.35">
      <c r="A24" s="314" t="s">
        <v>198</v>
      </c>
      <c r="B24" s="298">
        <v>14.843623635603</v>
      </c>
      <c r="C24" s="298">
        <v>28.64697</v>
      </c>
      <c r="D24" s="299">
        <v>13.803346364396001</v>
      </c>
      <c r="E24" s="300">
        <v>1.9299175661720001</v>
      </c>
      <c r="F24" s="298">
        <v>26.249634226066</v>
      </c>
      <c r="G24" s="299">
        <v>4.3749390376769997</v>
      </c>
      <c r="H24" s="301">
        <v>4.9406564584124654E-324</v>
      </c>
      <c r="I24" s="298">
        <v>6.0040000000000003E-2</v>
      </c>
      <c r="J24" s="299">
        <v>-4.3148990376769998</v>
      </c>
      <c r="K24" s="302">
        <v>2.2872699659999998E-3</v>
      </c>
    </row>
    <row r="25" spans="1:11" ht="14.4" customHeight="1" thickBot="1" x14ac:dyDescent="0.35">
      <c r="A25" s="315" t="s">
        <v>199</v>
      </c>
      <c r="B25" s="293">
        <v>0</v>
      </c>
      <c r="C25" s="293">
        <v>27.466000000000001</v>
      </c>
      <c r="D25" s="294">
        <v>27.466000000000001</v>
      </c>
      <c r="E25" s="303" t="s">
        <v>177</v>
      </c>
      <c r="F25" s="293">
        <v>22.248888234005999</v>
      </c>
      <c r="G25" s="294">
        <v>3.7081480390010002</v>
      </c>
      <c r="H25" s="296">
        <v>4.9406564584124654E-324</v>
      </c>
      <c r="I25" s="293">
        <v>9.8813129168249309E-324</v>
      </c>
      <c r="J25" s="294">
        <v>-3.7081480390010002</v>
      </c>
      <c r="K25" s="297">
        <v>0</v>
      </c>
    </row>
    <row r="26" spans="1:11" ht="14.4" customHeight="1" thickBot="1" x14ac:dyDescent="0.35">
      <c r="A26" s="315" t="s">
        <v>200</v>
      </c>
      <c r="B26" s="293">
        <v>1.7362008503590001</v>
      </c>
      <c r="C26" s="293">
        <v>1.1809700000000001</v>
      </c>
      <c r="D26" s="294">
        <v>-0.55523085035899999</v>
      </c>
      <c r="E26" s="295">
        <v>0.68020356040899999</v>
      </c>
      <c r="F26" s="293">
        <v>4.0007459920589996</v>
      </c>
      <c r="G26" s="294">
        <v>0.666790998676</v>
      </c>
      <c r="H26" s="296">
        <v>4.9406564584124654E-324</v>
      </c>
      <c r="I26" s="293">
        <v>6.0040000000000003E-2</v>
      </c>
      <c r="J26" s="294">
        <v>-0.60675099867600002</v>
      </c>
      <c r="K26" s="297">
        <v>1.5007201186E-2</v>
      </c>
    </row>
    <row r="27" spans="1:11" ht="14.4" customHeight="1" thickBot="1" x14ac:dyDescent="0.35">
      <c r="A27" s="314" t="s">
        <v>201</v>
      </c>
      <c r="B27" s="298">
        <v>12.570923448602001</v>
      </c>
      <c r="C27" s="298">
        <v>16.933389999999999</v>
      </c>
      <c r="D27" s="299">
        <v>4.3624665513969996</v>
      </c>
      <c r="E27" s="300">
        <v>1.3470283284460001</v>
      </c>
      <c r="F27" s="298">
        <v>15.943176095978</v>
      </c>
      <c r="G27" s="299">
        <v>2.657196015996</v>
      </c>
      <c r="H27" s="301">
        <v>1.2208600000000001</v>
      </c>
      <c r="I27" s="298">
        <v>6.3993399999999996</v>
      </c>
      <c r="J27" s="299">
        <v>3.742143984003</v>
      </c>
      <c r="K27" s="302">
        <v>0.40138426380499997</v>
      </c>
    </row>
    <row r="28" spans="1:11" ht="14.4" customHeight="1" thickBot="1" x14ac:dyDescent="0.35">
      <c r="A28" s="315" t="s">
        <v>202</v>
      </c>
      <c r="B28" s="293">
        <v>6.6964171649660003</v>
      </c>
      <c r="C28" s="293">
        <v>11.115399999999999</v>
      </c>
      <c r="D28" s="294">
        <v>4.4189828350329998</v>
      </c>
      <c r="E28" s="295">
        <v>1.659902560753</v>
      </c>
      <c r="F28" s="293">
        <v>9.9430631404270002</v>
      </c>
      <c r="G28" s="294">
        <v>1.657177190071</v>
      </c>
      <c r="H28" s="296">
        <v>0.76590000000000003</v>
      </c>
      <c r="I28" s="293">
        <v>5.3643000000000001</v>
      </c>
      <c r="J28" s="294">
        <v>3.7071228099279998</v>
      </c>
      <c r="K28" s="297">
        <v>0.53950175355800001</v>
      </c>
    </row>
    <row r="29" spans="1:11" ht="14.4" customHeight="1" thickBot="1" x14ac:dyDescent="0.35">
      <c r="A29" s="315" t="s">
        <v>203</v>
      </c>
      <c r="B29" s="293">
        <v>5.8745062836360002</v>
      </c>
      <c r="C29" s="293">
        <v>5.81799</v>
      </c>
      <c r="D29" s="294">
        <v>-5.6516283636000003E-2</v>
      </c>
      <c r="E29" s="295">
        <v>0.99037939855500001</v>
      </c>
      <c r="F29" s="293">
        <v>0</v>
      </c>
      <c r="G29" s="294">
        <v>0</v>
      </c>
      <c r="H29" s="296">
        <v>4.9406564584124654E-324</v>
      </c>
      <c r="I29" s="293">
        <v>9.8813129168249309E-324</v>
      </c>
      <c r="J29" s="294">
        <v>9.8813129168249309E-324</v>
      </c>
      <c r="K29" s="304" t="s">
        <v>177</v>
      </c>
    </row>
    <row r="30" spans="1:11" ht="14.4" customHeight="1" thickBot="1" x14ac:dyDescent="0.35">
      <c r="A30" s="315" t="s">
        <v>204</v>
      </c>
      <c r="B30" s="293">
        <v>4.9406564584124654E-324</v>
      </c>
      <c r="C30" s="293">
        <v>4.9406564584124654E-324</v>
      </c>
      <c r="D30" s="294">
        <v>0</v>
      </c>
      <c r="E30" s="295">
        <v>1</v>
      </c>
      <c r="F30" s="293">
        <v>4.0003847762289997</v>
      </c>
      <c r="G30" s="294">
        <v>0.66673079603800001</v>
      </c>
      <c r="H30" s="296">
        <v>0.45495999999999998</v>
      </c>
      <c r="I30" s="293">
        <v>1.03504</v>
      </c>
      <c r="J30" s="294">
        <v>0.36830920396099998</v>
      </c>
      <c r="K30" s="297">
        <v>0.258735111219</v>
      </c>
    </row>
    <row r="31" spans="1:11" ht="14.4" customHeight="1" thickBot="1" x14ac:dyDescent="0.35">
      <c r="A31" s="315" t="s">
        <v>205</v>
      </c>
      <c r="B31" s="293">
        <v>4.9406564584124654E-324</v>
      </c>
      <c r="C31" s="293">
        <v>4.9406564584124654E-324</v>
      </c>
      <c r="D31" s="294">
        <v>0</v>
      </c>
      <c r="E31" s="295">
        <v>1</v>
      </c>
      <c r="F31" s="293">
        <v>1.999728179321</v>
      </c>
      <c r="G31" s="294">
        <v>0.33328802988599998</v>
      </c>
      <c r="H31" s="296">
        <v>4.9406564584124654E-324</v>
      </c>
      <c r="I31" s="293">
        <v>9.8813129168249309E-324</v>
      </c>
      <c r="J31" s="294">
        <v>-0.33328802988599998</v>
      </c>
      <c r="K31" s="297">
        <v>4.9406564584124654E-324</v>
      </c>
    </row>
    <row r="32" spans="1:11" ht="14.4" customHeight="1" thickBot="1" x14ac:dyDescent="0.35">
      <c r="A32" s="313" t="s">
        <v>30</v>
      </c>
      <c r="B32" s="293">
        <v>6324.9465238202501</v>
      </c>
      <c r="C32" s="293">
        <v>6118.9639999999999</v>
      </c>
      <c r="D32" s="294">
        <v>-205.982523820247</v>
      </c>
      <c r="E32" s="295">
        <v>0.96743331772899999</v>
      </c>
      <c r="F32" s="293">
        <v>6296.8140740747504</v>
      </c>
      <c r="G32" s="294">
        <v>1049.4690123457899</v>
      </c>
      <c r="H32" s="296">
        <v>644.57799999999997</v>
      </c>
      <c r="I32" s="293">
        <v>1432.0730000000001</v>
      </c>
      <c r="J32" s="294">
        <v>382.60398765421201</v>
      </c>
      <c r="K32" s="297">
        <v>0.22742818561100001</v>
      </c>
    </row>
    <row r="33" spans="1:11" ht="14.4" customHeight="1" thickBot="1" x14ac:dyDescent="0.35">
      <c r="A33" s="314" t="s">
        <v>206</v>
      </c>
      <c r="B33" s="298">
        <v>6324.9465238202501</v>
      </c>
      <c r="C33" s="298">
        <v>6118.9639999999999</v>
      </c>
      <c r="D33" s="299">
        <v>-205.982523820247</v>
      </c>
      <c r="E33" s="300">
        <v>0.96743331772899999</v>
      </c>
      <c r="F33" s="298">
        <v>6296.8140740747504</v>
      </c>
      <c r="G33" s="299">
        <v>1049.4690123457899</v>
      </c>
      <c r="H33" s="301">
        <v>644.57799999999997</v>
      </c>
      <c r="I33" s="298">
        <v>1432.0730000000001</v>
      </c>
      <c r="J33" s="299">
        <v>382.60398765421201</v>
      </c>
      <c r="K33" s="302">
        <v>0.22742818561100001</v>
      </c>
    </row>
    <row r="34" spans="1:11" ht="14.4" customHeight="1" thickBot="1" x14ac:dyDescent="0.35">
      <c r="A34" s="315" t="s">
        <v>207</v>
      </c>
      <c r="B34" s="293">
        <v>429.54577246679702</v>
      </c>
      <c r="C34" s="293">
        <v>434.30500000000001</v>
      </c>
      <c r="D34" s="294">
        <v>4.7592275332030001</v>
      </c>
      <c r="E34" s="295">
        <v>1.011079674945</v>
      </c>
      <c r="F34" s="293">
        <v>431.05909626782301</v>
      </c>
      <c r="G34" s="294">
        <v>71.843182711303001</v>
      </c>
      <c r="H34" s="296">
        <v>28.015999999999998</v>
      </c>
      <c r="I34" s="293">
        <v>59.256999999999998</v>
      </c>
      <c r="J34" s="294">
        <v>-12.586182711303</v>
      </c>
      <c r="K34" s="297">
        <v>0.137468390095</v>
      </c>
    </row>
    <row r="35" spans="1:11" ht="14.4" customHeight="1" thickBot="1" x14ac:dyDescent="0.35">
      <c r="A35" s="315" t="s">
        <v>208</v>
      </c>
      <c r="B35" s="293">
        <v>1500.06446991748</v>
      </c>
      <c r="C35" s="293">
        <v>1477.7339999999999</v>
      </c>
      <c r="D35" s="294">
        <v>-22.330469917477998</v>
      </c>
      <c r="E35" s="295">
        <v>0.98511365986900001</v>
      </c>
      <c r="F35" s="293">
        <v>1600.01083824901</v>
      </c>
      <c r="G35" s="294">
        <v>266.66847304150201</v>
      </c>
      <c r="H35" s="296">
        <v>118.449</v>
      </c>
      <c r="I35" s="293">
        <v>276.47400000000101</v>
      </c>
      <c r="J35" s="294">
        <v>9.8055269584979996</v>
      </c>
      <c r="K35" s="297">
        <v>0.17279507950199999</v>
      </c>
    </row>
    <row r="36" spans="1:11" ht="14.4" customHeight="1" thickBot="1" x14ac:dyDescent="0.35">
      <c r="A36" s="315" t="s">
        <v>209</v>
      </c>
      <c r="B36" s="293">
        <v>4395.3362814359798</v>
      </c>
      <c r="C36" s="293">
        <v>4206.9250000000002</v>
      </c>
      <c r="D36" s="294">
        <v>-188.41128143597399</v>
      </c>
      <c r="E36" s="295">
        <v>0.95713381880799997</v>
      </c>
      <c r="F36" s="293">
        <v>4265.7441395579099</v>
      </c>
      <c r="G36" s="294">
        <v>710.95735659298498</v>
      </c>
      <c r="H36" s="296">
        <v>498.113</v>
      </c>
      <c r="I36" s="293">
        <v>1096.3420000000001</v>
      </c>
      <c r="J36" s="294">
        <v>385.38464340701802</v>
      </c>
      <c r="K36" s="297">
        <v>0.25701072641299999</v>
      </c>
    </row>
    <row r="37" spans="1:11" ht="14.4" customHeight="1" thickBot="1" x14ac:dyDescent="0.35">
      <c r="A37" s="316" t="s">
        <v>210</v>
      </c>
      <c r="B37" s="298">
        <v>1996.4291706919</v>
      </c>
      <c r="C37" s="298">
        <v>2185.0361800000001</v>
      </c>
      <c r="D37" s="299">
        <v>188.6070093081</v>
      </c>
      <c r="E37" s="300">
        <v>1.094472176662</v>
      </c>
      <c r="F37" s="298">
        <v>2223.688318897</v>
      </c>
      <c r="G37" s="299">
        <v>370.614719816167</v>
      </c>
      <c r="H37" s="301">
        <v>133.30133000000001</v>
      </c>
      <c r="I37" s="298">
        <v>200.14381</v>
      </c>
      <c r="J37" s="299">
        <v>-170.47090981616699</v>
      </c>
      <c r="K37" s="302">
        <v>9.0005334064999998E-2</v>
      </c>
    </row>
    <row r="38" spans="1:11" ht="14.4" customHeight="1" thickBot="1" x14ac:dyDescent="0.35">
      <c r="A38" s="313" t="s">
        <v>33</v>
      </c>
      <c r="B38" s="293">
        <v>445.58252755720298</v>
      </c>
      <c r="C38" s="293">
        <v>420.15024</v>
      </c>
      <c r="D38" s="294">
        <v>-25.432287557201999</v>
      </c>
      <c r="E38" s="295">
        <v>0.94292350802699998</v>
      </c>
      <c r="F38" s="293">
        <v>417.76085662435202</v>
      </c>
      <c r="G38" s="294">
        <v>69.626809437391003</v>
      </c>
      <c r="H38" s="296">
        <v>85.285570000000007</v>
      </c>
      <c r="I38" s="293">
        <v>96.913610000000006</v>
      </c>
      <c r="J38" s="294">
        <v>27.286800562608001</v>
      </c>
      <c r="K38" s="297">
        <v>0.23198346246000001</v>
      </c>
    </row>
    <row r="39" spans="1:11" ht="14.4" customHeight="1" thickBot="1" x14ac:dyDescent="0.35">
      <c r="A39" s="317" t="s">
        <v>211</v>
      </c>
      <c r="B39" s="293">
        <v>445.58252755720298</v>
      </c>
      <c r="C39" s="293">
        <v>420.15024</v>
      </c>
      <c r="D39" s="294">
        <v>-25.432287557201999</v>
      </c>
      <c r="E39" s="295">
        <v>0.94292350802699998</v>
      </c>
      <c r="F39" s="293">
        <v>417.76085662435202</v>
      </c>
      <c r="G39" s="294">
        <v>69.626809437391003</v>
      </c>
      <c r="H39" s="296">
        <v>85.285570000000007</v>
      </c>
      <c r="I39" s="293">
        <v>96.913610000000006</v>
      </c>
      <c r="J39" s="294">
        <v>27.286800562608001</v>
      </c>
      <c r="K39" s="297">
        <v>0.23198346246000001</v>
      </c>
    </row>
    <row r="40" spans="1:11" ht="14.4" customHeight="1" thickBot="1" x14ac:dyDescent="0.35">
      <c r="A40" s="315" t="s">
        <v>212</v>
      </c>
      <c r="B40" s="293">
        <v>392.88719394795697</v>
      </c>
      <c r="C40" s="293">
        <v>388.80799999999999</v>
      </c>
      <c r="D40" s="294">
        <v>-4.079193947956</v>
      </c>
      <c r="E40" s="295">
        <v>0.989617391427</v>
      </c>
      <c r="F40" s="293">
        <v>358.53535537244397</v>
      </c>
      <c r="G40" s="294">
        <v>59.755892562074003</v>
      </c>
      <c r="H40" s="296">
        <v>83.463999999999999</v>
      </c>
      <c r="I40" s="293">
        <v>95.092039999999997</v>
      </c>
      <c r="J40" s="294">
        <v>35.336147437926002</v>
      </c>
      <c r="K40" s="297">
        <v>0.26522360647299997</v>
      </c>
    </row>
    <row r="41" spans="1:11" ht="14.4" customHeight="1" thickBot="1" x14ac:dyDescent="0.35">
      <c r="A41" s="315" t="s">
        <v>213</v>
      </c>
      <c r="B41" s="293">
        <v>18.697875841894</v>
      </c>
      <c r="C41" s="293">
        <v>14.081</v>
      </c>
      <c r="D41" s="294">
        <v>-4.6168758418940001</v>
      </c>
      <c r="E41" s="295">
        <v>0.75308019579600005</v>
      </c>
      <c r="F41" s="293">
        <v>18.309451919876</v>
      </c>
      <c r="G41" s="294">
        <v>3.0515753199789999</v>
      </c>
      <c r="H41" s="296">
        <v>4.9406564584124654E-324</v>
      </c>
      <c r="I41" s="293">
        <v>9.8813129168249309E-324</v>
      </c>
      <c r="J41" s="294">
        <v>-3.0515753199789999</v>
      </c>
      <c r="K41" s="297">
        <v>0</v>
      </c>
    </row>
    <row r="42" spans="1:11" ht="14.4" customHeight="1" thickBot="1" x14ac:dyDescent="0.35">
      <c r="A42" s="315" t="s">
        <v>214</v>
      </c>
      <c r="B42" s="293">
        <v>4.9995967953439999</v>
      </c>
      <c r="C42" s="293">
        <v>1.0705100000000001</v>
      </c>
      <c r="D42" s="294">
        <v>-3.9290867953439998</v>
      </c>
      <c r="E42" s="295">
        <v>0.21411926677699999</v>
      </c>
      <c r="F42" s="293">
        <v>24.999957792414001</v>
      </c>
      <c r="G42" s="294">
        <v>4.1666596320689999</v>
      </c>
      <c r="H42" s="296">
        <v>4.9406564584124654E-324</v>
      </c>
      <c r="I42" s="293">
        <v>9.8813129168249309E-324</v>
      </c>
      <c r="J42" s="294">
        <v>-4.1666596320689999</v>
      </c>
      <c r="K42" s="297">
        <v>0</v>
      </c>
    </row>
    <row r="43" spans="1:11" ht="14.4" customHeight="1" thickBot="1" x14ac:dyDescent="0.35">
      <c r="A43" s="315" t="s">
        <v>215</v>
      </c>
      <c r="B43" s="293">
        <v>28.997860972007</v>
      </c>
      <c r="C43" s="293">
        <v>16.190729999999999</v>
      </c>
      <c r="D43" s="294">
        <v>-12.807130972007</v>
      </c>
      <c r="E43" s="295">
        <v>0.55834221757299995</v>
      </c>
      <c r="F43" s="293">
        <v>15.916091539616</v>
      </c>
      <c r="G43" s="294">
        <v>2.6526819232690002</v>
      </c>
      <c r="H43" s="296">
        <v>1.8215699999999999</v>
      </c>
      <c r="I43" s="293">
        <v>1.8215699999999999</v>
      </c>
      <c r="J43" s="294">
        <v>-0.83111192326899996</v>
      </c>
      <c r="K43" s="297">
        <v>0.114448323915</v>
      </c>
    </row>
    <row r="44" spans="1:11" ht="14.4" customHeight="1" thickBot="1" x14ac:dyDescent="0.35">
      <c r="A44" s="318" t="s">
        <v>34</v>
      </c>
      <c r="B44" s="298">
        <v>0</v>
      </c>
      <c r="C44" s="298">
        <v>2.536</v>
      </c>
      <c r="D44" s="299">
        <v>2.536</v>
      </c>
      <c r="E44" s="305" t="s">
        <v>177</v>
      </c>
      <c r="F44" s="298">
        <v>0</v>
      </c>
      <c r="G44" s="299">
        <v>0</v>
      </c>
      <c r="H44" s="301">
        <v>4.9406564584124654E-324</v>
      </c>
      <c r="I44" s="298">
        <v>0.61899999999999999</v>
      </c>
      <c r="J44" s="299">
        <v>0.61899999999999999</v>
      </c>
      <c r="K44" s="306" t="s">
        <v>177</v>
      </c>
    </row>
    <row r="45" spans="1:11" ht="14.4" customHeight="1" thickBot="1" x14ac:dyDescent="0.35">
      <c r="A45" s="314" t="s">
        <v>216</v>
      </c>
      <c r="B45" s="298">
        <v>0</v>
      </c>
      <c r="C45" s="298">
        <v>2.536</v>
      </c>
      <c r="D45" s="299">
        <v>2.536</v>
      </c>
      <c r="E45" s="305" t="s">
        <v>177</v>
      </c>
      <c r="F45" s="298">
        <v>0</v>
      </c>
      <c r="G45" s="299">
        <v>0</v>
      </c>
      <c r="H45" s="301">
        <v>4.9406564584124654E-324</v>
      </c>
      <c r="I45" s="298">
        <v>0.61899999999999999</v>
      </c>
      <c r="J45" s="299">
        <v>0.61899999999999999</v>
      </c>
      <c r="K45" s="306" t="s">
        <v>177</v>
      </c>
    </row>
    <row r="46" spans="1:11" ht="14.4" customHeight="1" thickBot="1" x14ac:dyDescent="0.35">
      <c r="A46" s="315" t="s">
        <v>217</v>
      </c>
      <c r="B46" s="293">
        <v>0</v>
      </c>
      <c r="C46" s="293">
        <v>2.536</v>
      </c>
      <c r="D46" s="294">
        <v>2.536</v>
      </c>
      <c r="E46" s="303" t="s">
        <v>177</v>
      </c>
      <c r="F46" s="293">
        <v>0</v>
      </c>
      <c r="G46" s="294">
        <v>0</v>
      </c>
      <c r="H46" s="296">
        <v>4.9406564584124654E-324</v>
      </c>
      <c r="I46" s="293">
        <v>0.61899999999999999</v>
      </c>
      <c r="J46" s="294">
        <v>0.61899999999999999</v>
      </c>
      <c r="K46" s="304" t="s">
        <v>177</v>
      </c>
    </row>
    <row r="47" spans="1:11" ht="14.4" customHeight="1" thickBot="1" x14ac:dyDescent="0.35">
      <c r="A47" s="313" t="s">
        <v>35</v>
      </c>
      <c r="B47" s="293">
        <v>1550.8466431346999</v>
      </c>
      <c r="C47" s="293">
        <v>1762.3499400000001</v>
      </c>
      <c r="D47" s="294">
        <v>211.50329686530199</v>
      </c>
      <c r="E47" s="295">
        <v>1.1363792466530001</v>
      </c>
      <c r="F47" s="293">
        <v>1805.92746227265</v>
      </c>
      <c r="G47" s="294">
        <v>300.98791037877498</v>
      </c>
      <c r="H47" s="296">
        <v>48.01576</v>
      </c>
      <c r="I47" s="293">
        <v>102.6112</v>
      </c>
      <c r="J47" s="294">
        <v>-198.37671037877499</v>
      </c>
      <c r="K47" s="297">
        <v>5.6819114911000002E-2</v>
      </c>
    </row>
    <row r="48" spans="1:11" ht="14.4" customHeight="1" thickBot="1" x14ac:dyDescent="0.35">
      <c r="A48" s="314" t="s">
        <v>218</v>
      </c>
      <c r="B48" s="298">
        <v>4.6434667919220001</v>
      </c>
      <c r="C48" s="298">
        <v>6.4089299999999998</v>
      </c>
      <c r="D48" s="299">
        <v>1.7654632080770001</v>
      </c>
      <c r="E48" s="300">
        <v>1.3802036898700001</v>
      </c>
      <c r="F48" s="298">
        <v>6.0547178431219999</v>
      </c>
      <c r="G48" s="299">
        <v>1.00911964052</v>
      </c>
      <c r="H48" s="301">
        <v>0.36675999999999997</v>
      </c>
      <c r="I48" s="298">
        <v>0.37648999999999999</v>
      </c>
      <c r="J48" s="299">
        <v>-0.63262964052000004</v>
      </c>
      <c r="K48" s="302">
        <v>6.2181262570999998E-2</v>
      </c>
    </row>
    <row r="49" spans="1:11" ht="14.4" customHeight="1" thickBot="1" x14ac:dyDescent="0.35">
      <c r="A49" s="315" t="s">
        <v>219</v>
      </c>
      <c r="B49" s="293">
        <v>0.56164009999700004</v>
      </c>
      <c r="C49" s="293">
        <v>0.42370000000000002</v>
      </c>
      <c r="D49" s="294">
        <v>-0.13794009999699999</v>
      </c>
      <c r="E49" s="295">
        <v>0.754397700595</v>
      </c>
      <c r="F49" s="293">
        <v>0.43343926469299998</v>
      </c>
      <c r="G49" s="294">
        <v>7.2239877448000006E-2</v>
      </c>
      <c r="H49" s="296">
        <v>3.7999999999999999E-2</v>
      </c>
      <c r="I49" s="293">
        <v>3.7999999999999999E-2</v>
      </c>
      <c r="J49" s="294">
        <v>-3.4239877448E-2</v>
      </c>
      <c r="K49" s="297">
        <v>8.7670875933999998E-2</v>
      </c>
    </row>
    <row r="50" spans="1:11" ht="14.4" customHeight="1" thickBot="1" x14ac:dyDescent="0.35">
      <c r="A50" s="315" t="s">
        <v>220</v>
      </c>
      <c r="B50" s="293">
        <v>4.0818266919250004</v>
      </c>
      <c r="C50" s="293">
        <v>5.9852299999999996</v>
      </c>
      <c r="D50" s="294">
        <v>1.903403308074</v>
      </c>
      <c r="E50" s="295">
        <v>1.466311642245</v>
      </c>
      <c r="F50" s="293">
        <v>5.621278578429</v>
      </c>
      <c r="G50" s="294">
        <v>0.93687976307099996</v>
      </c>
      <c r="H50" s="296">
        <v>0.32876</v>
      </c>
      <c r="I50" s="293">
        <v>0.33849000000000001</v>
      </c>
      <c r="J50" s="294">
        <v>-0.598389763071</v>
      </c>
      <c r="K50" s="297">
        <v>6.0215837958E-2</v>
      </c>
    </row>
    <row r="51" spans="1:11" ht="14.4" customHeight="1" thickBot="1" x14ac:dyDescent="0.35">
      <c r="A51" s="314" t="s">
        <v>221</v>
      </c>
      <c r="B51" s="298">
        <v>1.7711279307500001</v>
      </c>
      <c r="C51" s="298">
        <v>1.62</v>
      </c>
      <c r="D51" s="299">
        <v>-0.15112793075</v>
      </c>
      <c r="E51" s="300">
        <v>0.91467136386500003</v>
      </c>
      <c r="F51" s="298">
        <v>1.6780130766300001</v>
      </c>
      <c r="G51" s="299">
        <v>0.27966884610499998</v>
      </c>
      <c r="H51" s="301">
        <v>4.9406564584124654E-324</v>
      </c>
      <c r="I51" s="298">
        <v>0.40500000000000003</v>
      </c>
      <c r="J51" s="299">
        <v>0.12533115389400001</v>
      </c>
      <c r="K51" s="302">
        <v>0.241356879538</v>
      </c>
    </row>
    <row r="52" spans="1:11" ht="14.4" customHeight="1" thickBot="1" x14ac:dyDescent="0.35">
      <c r="A52" s="315" t="s">
        <v>222</v>
      </c>
      <c r="B52" s="293">
        <v>1.7711279307500001</v>
      </c>
      <c r="C52" s="293">
        <v>1.62</v>
      </c>
      <c r="D52" s="294">
        <v>-0.15112793075</v>
      </c>
      <c r="E52" s="295">
        <v>0.91467136386500003</v>
      </c>
      <c r="F52" s="293">
        <v>1.6780130766300001</v>
      </c>
      <c r="G52" s="294">
        <v>0.27966884610499998</v>
      </c>
      <c r="H52" s="296">
        <v>4.9406564584124654E-324</v>
      </c>
      <c r="I52" s="293">
        <v>0.40500000000000003</v>
      </c>
      <c r="J52" s="294">
        <v>0.12533115389400001</v>
      </c>
      <c r="K52" s="297">
        <v>0.241356879538</v>
      </c>
    </row>
    <row r="53" spans="1:11" ht="14.4" customHeight="1" thickBot="1" x14ac:dyDescent="0.35">
      <c r="A53" s="314" t="s">
        <v>223</v>
      </c>
      <c r="B53" s="298">
        <v>446.30366436832799</v>
      </c>
      <c r="C53" s="298">
        <v>475.59377999999998</v>
      </c>
      <c r="D53" s="299">
        <v>29.290115631671</v>
      </c>
      <c r="E53" s="300">
        <v>1.065628221254</v>
      </c>
      <c r="F53" s="298">
        <v>476.65681053771999</v>
      </c>
      <c r="G53" s="299">
        <v>79.442801756286002</v>
      </c>
      <c r="H53" s="301">
        <v>1</v>
      </c>
      <c r="I53" s="298">
        <v>39.122709999999998</v>
      </c>
      <c r="J53" s="299">
        <v>-40.320091756285997</v>
      </c>
      <c r="K53" s="302">
        <v>8.2077312513000003E-2</v>
      </c>
    </row>
    <row r="54" spans="1:11" ht="14.4" customHeight="1" thickBot="1" x14ac:dyDescent="0.35">
      <c r="A54" s="315" t="s">
        <v>224</v>
      </c>
      <c r="B54" s="293">
        <v>433.00043967677101</v>
      </c>
      <c r="C54" s="293">
        <v>463.39377999999999</v>
      </c>
      <c r="D54" s="294">
        <v>30.393340323229001</v>
      </c>
      <c r="E54" s="295">
        <v>1.0701924006029999</v>
      </c>
      <c r="F54" s="293">
        <v>465.33273097879697</v>
      </c>
      <c r="G54" s="294">
        <v>77.555455163131995</v>
      </c>
      <c r="H54" s="296">
        <v>4.9406564584124654E-324</v>
      </c>
      <c r="I54" s="293">
        <v>36.622709999999998</v>
      </c>
      <c r="J54" s="294">
        <v>-40.932745163131997</v>
      </c>
      <c r="K54" s="297">
        <v>7.8702200730000005E-2</v>
      </c>
    </row>
    <row r="55" spans="1:11" ht="14.4" customHeight="1" thickBot="1" x14ac:dyDescent="0.35">
      <c r="A55" s="315" t="s">
        <v>225</v>
      </c>
      <c r="B55" s="293">
        <v>13.303224691557</v>
      </c>
      <c r="C55" s="293">
        <v>12.2</v>
      </c>
      <c r="D55" s="294">
        <v>-1.1032246915570001</v>
      </c>
      <c r="E55" s="295">
        <v>0.91707088189899999</v>
      </c>
      <c r="F55" s="293">
        <v>11.324079558923</v>
      </c>
      <c r="G55" s="294">
        <v>1.887346593153</v>
      </c>
      <c r="H55" s="296">
        <v>1</v>
      </c>
      <c r="I55" s="293">
        <v>2.5</v>
      </c>
      <c r="J55" s="294">
        <v>0.612653406846</v>
      </c>
      <c r="K55" s="297">
        <v>0.22076849486799999</v>
      </c>
    </row>
    <row r="56" spans="1:11" ht="14.4" customHeight="1" thickBot="1" x14ac:dyDescent="0.35">
      <c r="A56" s="314" t="s">
        <v>226</v>
      </c>
      <c r="B56" s="298">
        <v>1098.0700614305499</v>
      </c>
      <c r="C56" s="298">
        <v>1277.2682299999999</v>
      </c>
      <c r="D56" s="299">
        <v>179.198168569453</v>
      </c>
      <c r="E56" s="300">
        <v>1.1631937477059999</v>
      </c>
      <c r="F56" s="298">
        <v>1271.5379208151801</v>
      </c>
      <c r="G56" s="299">
        <v>211.92298680252901</v>
      </c>
      <c r="H56" s="301">
        <v>46.649000000000001</v>
      </c>
      <c r="I56" s="298">
        <v>62.707000000000001</v>
      </c>
      <c r="J56" s="299">
        <v>-149.21598680252899</v>
      </c>
      <c r="K56" s="302">
        <v>4.9315870940999998E-2</v>
      </c>
    </row>
    <row r="57" spans="1:11" ht="14.4" customHeight="1" thickBot="1" x14ac:dyDescent="0.35">
      <c r="A57" s="315" t="s">
        <v>227</v>
      </c>
      <c r="B57" s="293">
        <v>2.934399710958</v>
      </c>
      <c r="C57" s="293">
        <v>24.975999999999999</v>
      </c>
      <c r="D57" s="294">
        <v>22.041600289041</v>
      </c>
      <c r="E57" s="295">
        <v>8.5114512200650001</v>
      </c>
      <c r="F57" s="293">
        <v>25.633281982086999</v>
      </c>
      <c r="G57" s="294">
        <v>4.2722136636809998</v>
      </c>
      <c r="H57" s="296">
        <v>4.9406564584124654E-324</v>
      </c>
      <c r="I57" s="293">
        <v>9.8813129168249309E-324</v>
      </c>
      <c r="J57" s="294">
        <v>-4.2722136636809998</v>
      </c>
      <c r="K57" s="297">
        <v>0</v>
      </c>
    </row>
    <row r="58" spans="1:11" ht="14.4" customHeight="1" thickBot="1" x14ac:dyDescent="0.35">
      <c r="A58" s="315" t="s">
        <v>228</v>
      </c>
      <c r="B58" s="293">
        <v>1062.64874298073</v>
      </c>
      <c r="C58" s="293">
        <v>1210.8762300000001</v>
      </c>
      <c r="D58" s="294">
        <v>148.22748701927199</v>
      </c>
      <c r="E58" s="295">
        <v>1.139488695581</v>
      </c>
      <c r="F58" s="293">
        <v>1197.1491994268099</v>
      </c>
      <c r="G58" s="294">
        <v>199.52486657113499</v>
      </c>
      <c r="H58" s="296">
        <v>39.197000000000003</v>
      </c>
      <c r="I58" s="293">
        <v>55.255000000000003</v>
      </c>
      <c r="J58" s="294">
        <v>-144.269866571135</v>
      </c>
      <c r="K58" s="297">
        <v>4.6155483397999998E-2</v>
      </c>
    </row>
    <row r="59" spans="1:11" ht="14.4" customHeight="1" thickBot="1" x14ac:dyDescent="0.35">
      <c r="A59" s="315" t="s">
        <v>229</v>
      </c>
      <c r="B59" s="293">
        <v>1.9989689139839999</v>
      </c>
      <c r="C59" s="293">
        <v>2.6240000000000001</v>
      </c>
      <c r="D59" s="294">
        <v>0.62503108601500001</v>
      </c>
      <c r="E59" s="295">
        <v>1.312676741315</v>
      </c>
      <c r="F59" s="293">
        <v>3.0010932502209999</v>
      </c>
      <c r="G59" s="294">
        <v>0.50018220837000005</v>
      </c>
      <c r="H59" s="296">
        <v>1.742</v>
      </c>
      <c r="I59" s="293">
        <v>1.742</v>
      </c>
      <c r="J59" s="294">
        <v>1.2418177916290001</v>
      </c>
      <c r="K59" s="297">
        <v>0.58045513909599999</v>
      </c>
    </row>
    <row r="60" spans="1:11" ht="14.4" customHeight="1" thickBot="1" x14ac:dyDescent="0.35">
      <c r="A60" s="315" t="s">
        <v>230</v>
      </c>
      <c r="B60" s="293">
        <v>30.487949824874999</v>
      </c>
      <c r="C60" s="293">
        <v>38.792000000000002</v>
      </c>
      <c r="D60" s="294">
        <v>8.3040501751240008</v>
      </c>
      <c r="E60" s="295">
        <v>1.27237155082</v>
      </c>
      <c r="F60" s="293">
        <v>45.754346156053998</v>
      </c>
      <c r="G60" s="294">
        <v>7.6257243593419997</v>
      </c>
      <c r="H60" s="296">
        <v>5.71</v>
      </c>
      <c r="I60" s="293">
        <v>5.71</v>
      </c>
      <c r="J60" s="294">
        <v>-1.9157243593419999</v>
      </c>
      <c r="K60" s="297">
        <v>0.124796887721</v>
      </c>
    </row>
    <row r="61" spans="1:11" ht="14.4" customHeight="1" thickBot="1" x14ac:dyDescent="0.35">
      <c r="A61" s="314" t="s">
        <v>231</v>
      </c>
      <c r="B61" s="298">
        <v>0</v>
      </c>
      <c r="C61" s="298">
        <v>1.4590000000000001</v>
      </c>
      <c r="D61" s="299">
        <v>1.4590000000000001</v>
      </c>
      <c r="E61" s="305" t="s">
        <v>177</v>
      </c>
      <c r="F61" s="298">
        <v>49.999999999998998</v>
      </c>
      <c r="G61" s="299">
        <v>8.333333333333</v>
      </c>
      <c r="H61" s="301">
        <v>4.9406564584124654E-324</v>
      </c>
      <c r="I61" s="298">
        <v>9.8813129168249309E-324</v>
      </c>
      <c r="J61" s="299">
        <v>-8.333333333333</v>
      </c>
      <c r="K61" s="302">
        <v>0</v>
      </c>
    </row>
    <row r="62" spans="1:11" ht="14.4" customHeight="1" thickBot="1" x14ac:dyDescent="0.35">
      <c r="A62" s="315" t="s">
        <v>232</v>
      </c>
      <c r="B62" s="293">
        <v>4.9406564584124654E-324</v>
      </c>
      <c r="C62" s="293">
        <v>1.4590000000000001</v>
      </c>
      <c r="D62" s="294">
        <v>1.4590000000000001</v>
      </c>
      <c r="E62" s="303" t="s">
        <v>196</v>
      </c>
      <c r="F62" s="293">
        <v>0</v>
      </c>
      <c r="G62" s="294">
        <v>0</v>
      </c>
      <c r="H62" s="296">
        <v>4.9406564584124654E-324</v>
      </c>
      <c r="I62" s="293">
        <v>9.8813129168249309E-324</v>
      </c>
      <c r="J62" s="294">
        <v>9.8813129168249309E-324</v>
      </c>
      <c r="K62" s="304" t="s">
        <v>177</v>
      </c>
    </row>
    <row r="63" spans="1:11" ht="14.4" customHeight="1" thickBot="1" x14ac:dyDescent="0.35">
      <c r="A63" s="315" t="s">
        <v>233</v>
      </c>
      <c r="B63" s="293">
        <v>4.9406564584124654E-324</v>
      </c>
      <c r="C63" s="293">
        <v>4.9406564584124654E-324</v>
      </c>
      <c r="D63" s="294">
        <v>0</v>
      </c>
      <c r="E63" s="295">
        <v>1</v>
      </c>
      <c r="F63" s="293">
        <v>49.999999999998998</v>
      </c>
      <c r="G63" s="294">
        <v>8.333333333333</v>
      </c>
      <c r="H63" s="296">
        <v>4.9406564584124654E-324</v>
      </c>
      <c r="I63" s="293">
        <v>9.8813129168249309E-324</v>
      </c>
      <c r="J63" s="294">
        <v>-8.333333333333</v>
      </c>
      <c r="K63" s="297">
        <v>0</v>
      </c>
    </row>
    <row r="64" spans="1:11" ht="14.4" customHeight="1" thickBot="1" x14ac:dyDescent="0.35">
      <c r="A64" s="312" t="s">
        <v>36</v>
      </c>
      <c r="B64" s="293">
        <v>12107.996725949801</v>
      </c>
      <c r="C64" s="293">
        <v>12081.18873</v>
      </c>
      <c r="D64" s="294">
        <v>-26.80799594978</v>
      </c>
      <c r="E64" s="295">
        <v>0.99778592639499997</v>
      </c>
      <c r="F64" s="293">
        <v>11718.057939754301</v>
      </c>
      <c r="G64" s="294">
        <v>1953.00965662572</v>
      </c>
      <c r="H64" s="296">
        <v>890.26679999999999</v>
      </c>
      <c r="I64" s="293">
        <v>1807.9733200000001</v>
      </c>
      <c r="J64" s="294">
        <v>-145.036336625719</v>
      </c>
      <c r="K64" s="297">
        <v>0.15428950166399999</v>
      </c>
    </row>
    <row r="65" spans="1:11" ht="14.4" customHeight="1" thickBot="1" x14ac:dyDescent="0.35">
      <c r="A65" s="318" t="s">
        <v>234</v>
      </c>
      <c r="B65" s="298">
        <v>8967.9999999995107</v>
      </c>
      <c r="C65" s="298">
        <v>8970.973</v>
      </c>
      <c r="D65" s="299">
        <v>2.973000000491</v>
      </c>
      <c r="E65" s="300">
        <v>1.000331512042</v>
      </c>
      <c r="F65" s="298">
        <v>8686.9999999998399</v>
      </c>
      <c r="G65" s="299">
        <v>1447.8333333333101</v>
      </c>
      <c r="H65" s="301">
        <v>661.07799999999997</v>
      </c>
      <c r="I65" s="298">
        <v>1341.692</v>
      </c>
      <c r="J65" s="299">
        <v>-106.141333333304</v>
      </c>
      <c r="K65" s="302">
        <v>0.154448256014</v>
      </c>
    </row>
    <row r="66" spans="1:11" ht="14.4" customHeight="1" thickBot="1" x14ac:dyDescent="0.35">
      <c r="A66" s="314" t="s">
        <v>235</v>
      </c>
      <c r="B66" s="298">
        <v>8967.9999999995107</v>
      </c>
      <c r="C66" s="298">
        <v>8883.884</v>
      </c>
      <c r="D66" s="299">
        <v>-84.115999999508006</v>
      </c>
      <c r="E66" s="300">
        <v>0.99062042818899998</v>
      </c>
      <c r="F66" s="298">
        <v>8658.9999999998399</v>
      </c>
      <c r="G66" s="299">
        <v>1443.1666666666399</v>
      </c>
      <c r="H66" s="301">
        <v>654.649</v>
      </c>
      <c r="I66" s="298">
        <v>1331.9680000000001</v>
      </c>
      <c r="J66" s="299">
        <v>-111.198666666637</v>
      </c>
      <c r="K66" s="302">
        <v>0.153824691072</v>
      </c>
    </row>
    <row r="67" spans="1:11" ht="14.4" customHeight="1" thickBot="1" x14ac:dyDescent="0.35">
      <c r="A67" s="315" t="s">
        <v>236</v>
      </c>
      <c r="B67" s="293">
        <v>8967.9999999995107</v>
      </c>
      <c r="C67" s="293">
        <v>8883.884</v>
      </c>
      <c r="D67" s="294">
        <v>-84.115999999508006</v>
      </c>
      <c r="E67" s="295">
        <v>0.99062042818899998</v>
      </c>
      <c r="F67" s="293">
        <v>8658.9999999998399</v>
      </c>
      <c r="G67" s="294">
        <v>1443.1666666666399</v>
      </c>
      <c r="H67" s="296">
        <v>654.649</v>
      </c>
      <c r="I67" s="293">
        <v>1331.9680000000001</v>
      </c>
      <c r="J67" s="294">
        <v>-111.198666666637</v>
      </c>
      <c r="K67" s="297">
        <v>0.153824691072</v>
      </c>
    </row>
    <row r="68" spans="1:11" ht="14.4" customHeight="1" thickBot="1" x14ac:dyDescent="0.35">
      <c r="A68" s="314" t="s">
        <v>237</v>
      </c>
      <c r="B68" s="298">
        <v>0</v>
      </c>
      <c r="C68" s="298">
        <v>87.088999999999999</v>
      </c>
      <c r="D68" s="299">
        <v>87.088999999999999</v>
      </c>
      <c r="E68" s="305" t="s">
        <v>177</v>
      </c>
      <c r="F68" s="298">
        <v>27.999999999999002</v>
      </c>
      <c r="G68" s="299">
        <v>4.6666666666659999</v>
      </c>
      <c r="H68" s="301">
        <v>6.4290000000000003</v>
      </c>
      <c r="I68" s="298">
        <v>9.7240000000000002</v>
      </c>
      <c r="J68" s="299">
        <v>5.0573333333330002</v>
      </c>
      <c r="K68" s="302">
        <v>0.34728571428499999</v>
      </c>
    </row>
    <row r="69" spans="1:11" ht="14.4" customHeight="1" thickBot="1" x14ac:dyDescent="0.35">
      <c r="A69" s="315" t="s">
        <v>238</v>
      </c>
      <c r="B69" s="293">
        <v>0</v>
      </c>
      <c r="C69" s="293">
        <v>87.088999999999999</v>
      </c>
      <c r="D69" s="294">
        <v>87.088999999999999</v>
      </c>
      <c r="E69" s="303" t="s">
        <v>177</v>
      </c>
      <c r="F69" s="293">
        <v>27.999999999999002</v>
      </c>
      <c r="G69" s="294">
        <v>4.6666666666659999</v>
      </c>
      <c r="H69" s="296">
        <v>6.4290000000000003</v>
      </c>
      <c r="I69" s="293">
        <v>9.7240000000000002</v>
      </c>
      <c r="J69" s="294">
        <v>5.0573333333330002</v>
      </c>
      <c r="K69" s="297">
        <v>0.34728571428499999</v>
      </c>
    </row>
    <row r="70" spans="1:11" ht="14.4" customHeight="1" thickBot="1" x14ac:dyDescent="0.35">
      <c r="A70" s="313" t="s">
        <v>239</v>
      </c>
      <c r="B70" s="293">
        <v>3049.9967259502801</v>
      </c>
      <c r="C70" s="293">
        <v>3020.5060800000001</v>
      </c>
      <c r="D70" s="294">
        <v>-29.490645950280001</v>
      </c>
      <c r="E70" s="295">
        <v>0.99033092537400003</v>
      </c>
      <c r="F70" s="293">
        <v>2944.0579397544998</v>
      </c>
      <c r="G70" s="294">
        <v>490.67632329241701</v>
      </c>
      <c r="H70" s="296">
        <v>222.57825</v>
      </c>
      <c r="I70" s="293">
        <v>452.86500000000098</v>
      </c>
      <c r="J70" s="294">
        <v>-37.811323292414997</v>
      </c>
      <c r="K70" s="297">
        <v>0.15382339929</v>
      </c>
    </row>
    <row r="71" spans="1:11" ht="14.4" customHeight="1" thickBot="1" x14ac:dyDescent="0.35">
      <c r="A71" s="314" t="s">
        <v>240</v>
      </c>
      <c r="B71" s="298">
        <v>806.99999378858797</v>
      </c>
      <c r="C71" s="298">
        <v>799.53499999999997</v>
      </c>
      <c r="D71" s="299">
        <v>-7.464993788588</v>
      </c>
      <c r="E71" s="300">
        <v>0.99074969783599998</v>
      </c>
      <c r="F71" s="298">
        <v>779.05793975454299</v>
      </c>
      <c r="G71" s="299">
        <v>129.842989959091</v>
      </c>
      <c r="H71" s="301">
        <v>58.915999999999997</v>
      </c>
      <c r="I71" s="298">
        <v>119.873</v>
      </c>
      <c r="J71" s="299">
        <v>-9.9699899590900003</v>
      </c>
      <c r="K71" s="302">
        <v>0.153869171833</v>
      </c>
    </row>
    <row r="72" spans="1:11" ht="14.4" customHeight="1" thickBot="1" x14ac:dyDescent="0.35">
      <c r="A72" s="315" t="s">
        <v>241</v>
      </c>
      <c r="B72" s="293">
        <v>806.99999378858797</v>
      </c>
      <c r="C72" s="293">
        <v>799.53499999999997</v>
      </c>
      <c r="D72" s="294">
        <v>-7.464993788588</v>
      </c>
      <c r="E72" s="295">
        <v>0.99074969783599998</v>
      </c>
      <c r="F72" s="293">
        <v>779.05793975454299</v>
      </c>
      <c r="G72" s="294">
        <v>129.842989959091</v>
      </c>
      <c r="H72" s="296">
        <v>58.915999999999997</v>
      </c>
      <c r="I72" s="293">
        <v>119.873</v>
      </c>
      <c r="J72" s="294">
        <v>-9.9699899590900003</v>
      </c>
      <c r="K72" s="297">
        <v>0.153869171833</v>
      </c>
    </row>
    <row r="73" spans="1:11" ht="14.4" customHeight="1" thickBot="1" x14ac:dyDescent="0.35">
      <c r="A73" s="314" t="s">
        <v>242</v>
      </c>
      <c r="B73" s="298">
        <v>2242.99673216169</v>
      </c>
      <c r="C73" s="298">
        <v>2220.9710799999998</v>
      </c>
      <c r="D73" s="299">
        <v>-22.025652161690999</v>
      </c>
      <c r="E73" s="300">
        <v>0.99018025668700005</v>
      </c>
      <c r="F73" s="298">
        <v>2164.99999999996</v>
      </c>
      <c r="G73" s="299">
        <v>360.83333333332598</v>
      </c>
      <c r="H73" s="301">
        <v>163.66225</v>
      </c>
      <c r="I73" s="298">
        <v>332.99200000000098</v>
      </c>
      <c r="J73" s="299">
        <v>-27.841333333325</v>
      </c>
      <c r="K73" s="302">
        <v>0.15380692840599999</v>
      </c>
    </row>
    <row r="74" spans="1:11" ht="14.4" customHeight="1" thickBot="1" x14ac:dyDescent="0.35">
      <c r="A74" s="315" t="s">
        <v>243</v>
      </c>
      <c r="B74" s="293">
        <v>2242.99673216169</v>
      </c>
      <c r="C74" s="293">
        <v>2220.9710799999998</v>
      </c>
      <c r="D74" s="294">
        <v>-22.025652161690999</v>
      </c>
      <c r="E74" s="295">
        <v>0.99018025668700005</v>
      </c>
      <c r="F74" s="293">
        <v>2164.99999999996</v>
      </c>
      <c r="G74" s="294">
        <v>360.83333333332598</v>
      </c>
      <c r="H74" s="296">
        <v>163.66225</v>
      </c>
      <c r="I74" s="293">
        <v>332.99200000000098</v>
      </c>
      <c r="J74" s="294">
        <v>-27.841333333325</v>
      </c>
      <c r="K74" s="297">
        <v>0.15380692840599999</v>
      </c>
    </row>
    <row r="75" spans="1:11" ht="14.4" customHeight="1" thickBot="1" x14ac:dyDescent="0.35">
      <c r="A75" s="313" t="s">
        <v>244</v>
      </c>
      <c r="B75" s="293">
        <v>89.999999999994998</v>
      </c>
      <c r="C75" s="293">
        <v>89.709649999999996</v>
      </c>
      <c r="D75" s="294">
        <v>-0.290349999995</v>
      </c>
      <c r="E75" s="295">
        <v>0.996773888888</v>
      </c>
      <c r="F75" s="293">
        <v>86.999999999997996</v>
      </c>
      <c r="G75" s="294">
        <v>14.499999999999</v>
      </c>
      <c r="H75" s="296">
        <v>6.6105499999999999</v>
      </c>
      <c r="I75" s="293">
        <v>13.416320000000001</v>
      </c>
      <c r="J75" s="294">
        <v>-1.0836799999990001</v>
      </c>
      <c r="K75" s="297">
        <v>0.154210574712</v>
      </c>
    </row>
    <row r="76" spans="1:11" ht="14.4" customHeight="1" thickBot="1" x14ac:dyDescent="0.35">
      <c r="A76" s="314" t="s">
        <v>245</v>
      </c>
      <c r="B76" s="298">
        <v>89.999999999994998</v>
      </c>
      <c r="C76" s="298">
        <v>89.709649999999996</v>
      </c>
      <c r="D76" s="299">
        <v>-0.290349999995</v>
      </c>
      <c r="E76" s="300">
        <v>0.996773888888</v>
      </c>
      <c r="F76" s="298">
        <v>86.999999999997996</v>
      </c>
      <c r="G76" s="299">
        <v>14.499999999999</v>
      </c>
      <c r="H76" s="301">
        <v>6.6105499999999999</v>
      </c>
      <c r="I76" s="298">
        <v>13.416320000000001</v>
      </c>
      <c r="J76" s="299">
        <v>-1.0836799999990001</v>
      </c>
      <c r="K76" s="302">
        <v>0.154210574712</v>
      </c>
    </row>
    <row r="77" spans="1:11" ht="14.4" customHeight="1" thickBot="1" x14ac:dyDescent="0.35">
      <c r="A77" s="315" t="s">
        <v>246</v>
      </c>
      <c r="B77" s="293">
        <v>89.999999999994998</v>
      </c>
      <c r="C77" s="293">
        <v>89.709649999999996</v>
      </c>
      <c r="D77" s="294">
        <v>-0.290349999995</v>
      </c>
      <c r="E77" s="295">
        <v>0.996773888888</v>
      </c>
      <c r="F77" s="293">
        <v>86.999999999997996</v>
      </c>
      <c r="G77" s="294">
        <v>14.499999999999</v>
      </c>
      <c r="H77" s="296">
        <v>6.6105499999999999</v>
      </c>
      <c r="I77" s="293">
        <v>13.416320000000001</v>
      </c>
      <c r="J77" s="294">
        <v>-1.0836799999990001</v>
      </c>
      <c r="K77" s="297">
        <v>0.154210574712</v>
      </c>
    </row>
    <row r="78" spans="1:11" ht="14.4" customHeight="1" thickBot="1" x14ac:dyDescent="0.35">
      <c r="A78" s="312" t="s">
        <v>247</v>
      </c>
      <c r="B78" s="293">
        <v>0</v>
      </c>
      <c r="C78" s="293">
        <v>2.5</v>
      </c>
      <c r="D78" s="294">
        <v>2.5</v>
      </c>
      <c r="E78" s="303" t="s">
        <v>177</v>
      </c>
      <c r="F78" s="293">
        <v>0</v>
      </c>
      <c r="G78" s="294">
        <v>0</v>
      </c>
      <c r="H78" s="296">
        <v>4.9406564584124654E-324</v>
      </c>
      <c r="I78" s="293">
        <v>9.8813129168249309E-324</v>
      </c>
      <c r="J78" s="294">
        <v>9.8813129168249309E-324</v>
      </c>
      <c r="K78" s="304" t="s">
        <v>177</v>
      </c>
    </row>
    <row r="79" spans="1:11" ht="14.4" customHeight="1" thickBot="1" x14ac:dyDescent="0.35">
      <c r="A79" s="313" t="s">
        <v>248</v>
      </c>
      <c r="B79" s="293">
        <v>0</v>
      </c>
      <c r="C79" s="293">
        <v>2.5</v>
      </c>
      <c r="D79" s="294">
        <v>2.5</v>
      </c>
      <c r="E79" s="303" t="s">
        <v>177</v>
      </c>
      <c r="F79" s="293">
        <v>0</v>
      </c>
      <c r="G79" s="294">
        <v>0</v>
      </c>
      <c r="H79" s="296">
        <v>4.9406564584124654E-324</v>
      </c>
      <c r="I79" s="293">
        <v>9.8813129168249309E-324</v>
      </c>
      <c r="J79" s="294">
        <v>9.8813129168249309E-324</v>
      </c>
      <c r="K79" s="304" t="s">
        <v>177</v>
      </c>
    </row>
    <row r="80" spans="1:11" ht="14.4" customHeight="1" thickBot="1" x14ac:dyDescent="0.35">
      <c r="A80" s="317" t="s">
        <v>249</v>
      </c>
      <c r="B80" s="293">
        <v>0</v>
      </c>
      <c r="C80" s="293">
        <v>2.5</v>
      </c>
      <c r="D80" s="294">
        <v>2.5</v>
      </c>
      <c r="E80" s="303" t="s">
        <v>177</v>
      </c>
      <c r="F80" s="293">
        <v>0</v>
      </c>
      <c r="G80" s="294">
        <v>0</v>
      </c>
      <c r="H80" s="296">
        <v>4.9406564584124654E-324</v>
      </c>
      <c r="I80" s="293">
        <v>9.8813129168249309E-324</v>
      </c>
      <c r="J80" s="294">
        <v>9.8813129168249309E-324</v>
      </c>
      <c r="K80" s="304" t="s">
        <v>177</v>
      </c>
    </row>
    <row r="81" spans="1:11" ht="14.4" customHeight="1" thickBot="1" x14ac:dyDescent="0.35">
      <c r="A81" s="315" t="s">
        <v>250</v>
      </c>
      <c r="B81" s="293">
        <v>0</v>
      </c>
      <c r="C81" s="293">
        <v>2.5</v>
      </c>
      <c r="D81" s="294">
        <v>2.5</v>
      </c>
      <c r="E81" s="303" t="s">
        <v>177</v>
      </c>
      <c r="F81" s="293">
        <v>0</v>
      </c>
      <c r="G81" s="294">
        <v>0</v>
      </c>
      <c r="H81" s="296">
        <v>4.9406564584124654E-324</v>
      </c>
      <c r="I81" s="293">
        <v>9.8813129168249309E-324</v>
      </c>
      <c r="J81" s="294">
        <v>9.8813129168249309E-324</v>
      </c>
      <c r="K81" s="304" t="s">
        <v>177</v>
      </c>
    </row>
    <row r="82" spans="1:11" ht="14.4" customHeight="1" thickBot="1" x14ac:dyDescent="0.35">
      <c r="A82" s="312" t="s">
        <v>251</v>
      </c>
      <c r="B82" s="293">
        <v>3383.9999999998099</v>
      </c>
      <c r="C82" s="293">
        <v>3581.8290000000002</v>
      </c>
      <c r="D82" s="294">
        <v>197.829000000186</v>
      </c>
      <c r="E82" s="295">
        <v>1.0584601063829999</v>
      </c>
      <c r="F82" s="293">
        <v>3452.6328789055901</v>
      </c>
      <c r="G82" s="294">
        <v>575.43881315093199</v>
      </c>
      <c r="H82" s="296">
        <v>300.58</v>
      </c>
      <c r="I82" s="293">
        <v>601.16000000000099</v>
      </c>
      <c r="J82" s="294">
        <v>25.721186849068999</v>
      </c>
      <c r="K82" s="297">
        <v>0.174116397857</v>
      </c>
    </row>
    <row r="83" spans="1:11" ht="14.4" customHeight="1" thickBot="1" x14ac:dyDescent="0.35">
      <c r="A83" s="313" t="s">
        <v>252</v>
      </c>
      <c r="B83" s="293">
        <v>3383.9999999998099</v>
      </c>
      <c r="C83" s="293">
        <v>3581.8290000000002</v>
      </c>
      <c r="D83" s="294">
        <v>197.829000000186</v>
      </c>
      <c r="E83" s="295">
        <v>1.0584601063829999</v>
      </c>
      <c r="F83" s="293">
        <v>3452.6328789055901</v>
      </c>
      <c r="G83" s="294">
        <v>575.43881315093199</v>
      </c>
      <c r="H83" s="296">
        <v>300.58</v>
      </c>
      <c r="I83" s="293">
        <v>601.16000000000099</v>
      </c>
      <c r="J83" s="294">
        <v>25.721186849068999</v>
      </c>
      <c r="K83" s="297">
        <v>0.174116397857</v>
      </c>
    </row>
    <row r="84" spans="1:11" ht="14.4" customHeight="1" thickBot="1" x14ac:dyDescent="0.35">
      <c r="A84" s="314" t="s">
        <v>253</v>
      </c>
      <c r="B84" s="298">
        <v>3383.9999999998099</v>
      </c>
      <c r="C84" s="298">
        <v>3543.0639999999999</v>
      </c>
      <c r="D84" s="299">
        <v>159.06400000018601</v>
      </c>
      <c r="E84" s="300">
        <v>1.0470047281320001</v>
      </c>
      <c r="F84" s="298">
        <v>3452.6328789055901</v>
      </c>
      <c r="G84" s="299">
        <v>575.43881315093199</v>
      </c>
      <c r="H84" s="301">
        <v>300.58</v>
      </c>
      <c r="I84" s="298">
        <v>601.16000000000099</v>
      </c>
      <c r="J84" s="299">
        <v>25.721186849068999</v>
      </c>
      <c r="K84" s="302">
        <v>0.174116397857</v>
      </c>
    </row>
    <row r="85" spans="1:11" ht="14.4" customHeight="1" thickBot="1" x14ac:dyDescent="0.35">
      <c r="A85" s="315" t="s">
        <v>254</v>
      </c>
      <c r="B85" s="293">
        <v>55.999999999996</v>
      </c>
      <c r="C85" s="293">
        <v>95.11</v>
      </c>
      <c r="D85" s="294">
        <v>39.110000000002998</v>
      </c>
      <c r="E85" s="295">
        <v>1.6983928571419999</v>
      </c>
      <c r="F85" s="293">
        <v>102.6392782209</v>
      </c>
      <c r="G85" s="294">
        <v>17.106546370149999</v>
      </c>
      <c r="H85" s="296">
        <v>8.5879999999999992</v>
      </c>
      <c r="I85" s="293">
        <v>17.175999999999998</v>
      </c>
      <c r="J85" s="294">
        <v>6.9453629848999998E-2</v>
      </c>
      <c r="K85" s="297">
        <v>0.16734334357799999</v>
      </c>
    </row>
    <row r="86" spans="1:11" ht="14.4" customHeight="1" thickBot="1" x14ac:dyDescent="0.35">
      <c r="A86" s="315" t="s">
        <v>255</v>
      </c>
      <c r="B86" s="293">
        <v>1333.99999999993</v>
      </c>
      <c r="C86" s="293">
        <v>1310.7850000000001</v>
      </c>
      <c r="D86" s="294">
        <v>-23.214999999926</v>
      </c>
      <c r="E86" s="295">
        <v>0.982597451274</v>
      </c>
      <c r="F86" s="293">
        <v>1180.99999999998</v>
      </c>
      <c r="G86" s="294">
        <v>196.83333333332999</v>
      </c>
      <c r="H86" s="296">
        <v>110.03700000000001</v>
      </c>
      <c r="I86" s="293">
        <v>220.07400000000101</v>
      </c>
      <c r="J86" s="294">
        <v>23.240666666669998</v>
      </c>
      <c r="K86" s="297">
        <v>0.18634546994000001</v>
      </c>
    </row>
    <row r="87" spans="1:11" ht="14.4" customHeight="1" thickBot="1" x14ac:dyDescent="0.35">
      <c r="A87" s="315" t="s">
        <v>256</v>
      </c>
      <c r="B87" s="293">
        <v>197.999999999989</v>
      </c>
      <c r="C87" s="293">
        <v>197.49600000000001</v>
      </c>
      <c r="D87" s="294">
        <v>-0.50399999998900002</v>
      </c>
      <c r="E87" s="295">
        <v>0.99745454545400003</v>
      </c>
      <c r="F87" s="293">
        <v>198.001656558588</v>
      </c>
      <c r="G87" s="294">
        <v>33.000276093097</v>
      </c>
      <c r="H87" s="296">
        <v>16.457999999999998</v>
      </c>
      <c r="I87" s="293">
        <v>32.915999999999997</v>
      </c>
      <c r="J87" s="294">
        <v>-8.4276093097000002E-2</v>
      </c>
      <c r="K87" s="297">
        <v>0.166241033393</v>
      </c>
    </row>
    <row r="88" spans="1:11" ht="14.4" customHeight="1" thickBot="1" x14ac:dyDescent="0.35">
      <c r="A88" s="315" t="s">
        <v>257</v>
      </c>
      <c r="B88" s="293">
        <v>462.99999999997499</v>
      </c>
      <c r="C88" s="293">
        <v>607.58600000000001</v>
      </c>
      <c r="D88" s="294">
        <v>144.58600000002599</v>
      </c>
      <c r="E88" s="295">
        <v>1.312280777537</v>
      </c>
      <c r="F88" s="293">
        <v>653.99194412615202</v>
      </c>
      <c r="G88" s="294">
        <v>108.998657354359</v>
      </c>
      <c r="H88" s="296">
        <v>54.503999999999998</v>
      </c>
      <c r="I88" s="293">
        <v>109.008</v>
      </c>
      <c r="J88" s="294">
        <v>9.3426456409999997E-3</v>
      </c>
      <c r="K88" s="297">
        <v>0.166680952233</v>
      </c>
    </row>
    <row r="89" spans="1:11" ht="14.4" customHeight="1" thickBot="1" x14ac:dyDescent="0.35">
      <c r="A89" s="315" t="s">
        <v>258</v>
      </c>
      <c r="B89" s="293">
        <v>1219.99999999993</v>
      </c>
      <c r="C89" s="293">
        <v>1218.8989999999999</v>
      </c>
      <c r="D89" s="294">
        <v>-1.1009999999319999</v>
      </c>
      <c r="E89" s="295">
        <v>0.99909754098299997</v>
      </c>
      <c r="F89" s="293">
        <v>1203.99999999998</v>
      </c>
      <c r="G89" s="294">
        <v>200.66666666666299</v>
      </c>
      <c r="H89" s="296">
        <v>101.56100000000001</v>
      </c>
      <c r="I89" s="293">
        <v>203.12200000000001</v>
      </c>
      <c r="J89" s="294">
        <v>2.4553333333370002</v>
      </c>
      <c r="K89" s="297">
        <v>0.16870598006599999</v>
      </c>
    </row>
    <row r="90" spans="1:11" ht="14.4" customHeight="1" thickBot="1" x14ac:dyDescent="0.35">
      <c r="A90" s="315" t="s">
        <v>259</v>
      </c>
      <c r="B90" s="293">
        <v>112.999999999994</v>
      </c>
      <c r="C90" s="293">
        <v>113.188</v>
      </c>
      <c r="D90" s="294">
        <v>0.18800000000600001</v>
      </c>
      <c r="E90" s="295">
        <v>1.0016637168139999</v>
      </c>
      <c r="F90" s="293">
        <v>112.999999999998</v>
      </c>
      <c r="G90" s="294">
        <v>18.833333333333002</v>
      </c>
      <c r="H90" s="296">
        <v>9.4320000000000004</v>
      </c>
      <c r="I90" s="293">
        <v>18.864000000000001</v>
      </c>
      <c r="J90" s="294">
        <v>3.0666666666999999E-2</v>
      </c>
      <c r="K90" s="297">
        <v>0.16693805309699999</v>
      </c>
    </row>
    <row r="91" spans="1:11" ht="14.4" customHeight="1" thickBot="1" x14ac:dyDescent="0.35">
      <c r="A91" s="314" t="s">
        <v>260</v>
      </c>
      <c r="B91" s="298">
        <v>0</v>
      </c>
      <c r="C91" s="298">
        <v>38.765000000000001</v>
      </c>
      <c r="D91" s="299">
        <v>38.765000000000001</v>
      </c>
      <c r="E91" s="305" t="s">
        <v>177</v>
      </c>
      <c r="F91" s="298">
        <v>0</v>
      </c>
      <c r="G91" s="299">
        <v>0</v>
      </c>
      <c r="H91" s="301">
        <v>4.9406564584124654E-324</v>
      </c>
      <c r="I91" s="298">
        <v>9.8813129168249309E-324</v>
      </c>
      <c r="J91" s="299">
        <v>9.8813129168249309E-324</v>
      </c>
      <c r="K91" s="306" t="s">
        <v>177</v>
      </c>
    </row>
    <row r="92" spans="1:11" ht="14.4" customHeight="1" thickBot="1" x14ac:dyDescent="0.35">
      <c r="A92" s="315" t="s">
        <v>261</v>
      </c>
      <c r="B92" s="293">
        <v>0</v>
      </c>
      <c r="C92" s="293">
        <v>38.228000000000002</v>
      </c>
      <c r="D92" s="294">
        <v>38.228000000000002</v>
      </c>
      <c r="E92" s="303" t="s">
        <v>177</v>
      </c>
      <c r="F92" s="293">
        <v>0</v>
      </c>
      <c r="G92" s="294">
        <v>0</v>
      </c>
      <c r="H92" s="296">
        <v>4.9406564584124654E-324</v>
      </c>
      <c r="I92" s="293">
        <v>9.8813129168249309E-324</v>
      </c>
      <c r="J92" s="294">
        <v>9.8813129168249309E-324</v>
      </c>
      <c r="K92" s="304" t="s">
        <v>177</v>
      </c>
    </row>
    <row r="93" spans="1:11" ht="14.4" customHeight="1" thickBot="1" x14ac:dyDescent="0.35">
      <c r="A93" s="315" t="s">
        <v>262</v>
      </c>
      <c r="B93" s="293">
        <v>4.9406564584124654E-324</v>
      </c>
      <c r="C93" s="293">
        <v>0.53700000000000003</v>
      </c>
      <c r="D93" s="294">
        <v>0.53700000000000003</v>
      </c>
      <c r="E93" s="303" t="s">
        <v>196</v>
      </c>
      <c r="F93" s="293">
        <v>0</v>
      </c>
      <c r="G93" s="294">
        <v>0</v>
      </c>
      <c r="H93" s="296">
        <v>4.9406564584124654E-324</v>
      </c>
      <c r="I93" s="293">
        <v>9.8813129168249309E-324</v>
      </c>
      <c r="J93" s="294">
        <v>9.8813129168249309E-324</v>
      </c>
      <c r="K93" s="304" t="s">
        <v>177</v>
      </c>
    </row>
    <row r="94" spans="1:11" ht="14.4" customHeight="1" thickBot="1" x14ac:dyDescent="0.35">
      <c r="A94" s="311" t="s">
        <v>263</v>
      </c>
      <c r="B94" s="293">
        <v>499.60723830180098</v>
      </c>
      <c r="C94" s="293">
        <v>468.11410000000001</v>
      </c>
      <c r="D94" s="294">
        <v>-31.493138301801</v>
      </c>
      <c r="E94" s="295">
        <v>0.93696420730600005</v>
      </c>
      <c r="F94" s="293">
        <v>57.643769083571001</v>
      </c>
      <c r="G94" s="294">
        <v>9.6072948472610005</v>
      </c>
      <c r="H94" s="296">
        <v>3.6767799999999999</v>
      </c>
      <c r="I94" s="293">
        <v>9.2652699999999992</v>
      </c>
      <c r="J94" s="294">
        <v>-0.34202484726100002</v>
      </c>
      <c r="K94" s="297">
        <v>0.16073324397899999</v>
      </c>
    </row>
    <row r="95" spans="1:11" ht="14.4" customHeight="1" thickBot="1" x14ac:dyDescent="0.35">
      <c r="A95" s="312" t="s">
        <v>264</v>
      </c>
      <c r="B95" s="293">
        <v>499.60723830180098</v>
      </c>
      <c r="C95" s="293">
        <v>468.11410000000001</v>
      </c>
      <c r="D95" s="294">
        <v>-31.493138301801</v>
      </c>
      <c r="E95" s="295">
        <v>0.93696420730600005</v>
      </c>
      <c r="F95" s="293">
        <v>57.643769083571001</v>
      </c>
      <c r="G95" s="294">
        <v>9.6072948472610005</v>
      </c>
      <c r="H95" s="296">
        <v>3.6767799999999999</v>
      </c>
      <c r="I95" s="293">
        <v>9.2652699999999992</v>
      </c>
      <c r="J95" s="294">
        <v>-0.34202484726100002</v>
      </c>
      <c r="K95" s="297">
        <v>0.16073324397899999</v>
      </c>
    </row>
    <row r="96" spans="1:11" ht="14.4" customHeight="1" thickBot="1" x14ac:dyDescent="0.35">
      <c r="A96" s="313" t="s">
        <v>265</v>
      </c>
      <c r="B96" s="293">
        <v>445.566204785953</v>
      </c>
      <c r="C96" s="293">
        <v>408.60268000000002</v>
      </c>
      <c r="D96" s="294">
        <v>-36.963524785952998</v>
      </c>
      <c r="E96" s="295">
        <v>0.91704145334800002</v>
      </c>
      <c r="F96" s="293">
        <v>0</v>
      </c>
      <c r="G96" s="294">
        <v>0</v>
      </c>
      <c r="H96" s="296">
        <v>4.9406564584124654E-324</v>
      </c>
      <c r="I96" s="293">
        <v>9.8813129168249309E-324</v>
      </c>
      <c r="J96" s="294">
        <v>9.8813129168249309E-324</v>
      </c>
      <c r="K96" s="304" t="s">
        <v>177</v>
      </c>
    </row>
    <row r="97" spans="1:11" ht="14.4" customHeight="1" thickBot="1" x14ac:dyDescent="0.35">
      <c r="A97" s="314" t="s">
        <v>266</v>
      </c>
      <c r="B97" s="298">
        <v>445.566204785953</v>
      </c>
      <c r="C97" s="298">
        <v>408.60268000000002</v>
      </c>
      <c r="D97" s="299">
        <v>-36.963524785952998</v>
      </c>
      <c r="E97" s="300">
        <v>0.91704145334800002</v>
      </c>
      <c r="F97" s="298">
        <v>0</v>
      </c>
      <c r="G97" s="299">
        <v>0</v>
      </c>
      <c r="H97" s="301">
        <v>4.9406564584124654E-324</v>
      </c>
      <c r="I97" s="298">
        <v>9.8813129168249309E-324</v>
      </c>
      <c r="J97" s="299">
        <v>9.8813129168249309E-324</v>
      </c>
      <c r="K97" s="306" t="s">
        <v>177</v>
      </c>
    </row>
    <row r="98" spans="1:11" ht="14.4" customHeight="1" thickBot="1" x14ac:dyDescent="0.35">
      <c r="A98" s="315" t="s">
        <v>267</v>
      </c>
      <c r="B98" s="293">
        <v>0</v>
      </c>
      <c r="C98" s="293">
        <v>378.87700000000001</v>
      </c>
      <c r="D98" s="294">
        <v>378.87700000000001</v>
      </c>
      <c r="E98" s="303" t="s">
        <v>177</v>
      </c>
      <c r="F98" s="293">
        <v>0</v>
      </c>
      <c r="G98" s="294">
        <v>0</v>
      </c>
      <c r="H98" s="296">
        <v>4.9406564584124654E-324</v>
      </c>
      <c r="I98" s="293">
        <v>9.8813129168249309E-324</v>
      </c>
      <c r="J98" s="294">
        <v>9.8813129168249309E-324</v>
      </c>
      <c r="K98" s="304" t="s">
        <v>177</v>
      </c>
    </row>
    <row r="99" spans="1:11" ht="14.4" customHeight="1" thickBot="1" x14ac:dyDescent="0.35">
      <c r="A99" s="315" t="s">
        <v>268</v>
      </c>
      <c r="B99" s="293">
        <v>0</v>
      </c>
      <c r="C99" s="293">
        <v>14.081</v>
      </c>
      <c r="D99" s="294">
        <v>14.081</v>
      </c>
      <c r="E99" s="303" t="s">
        <v>177</v>
      </c>
      <c r="F99" s="293">
        <v>0</v>
      </c>
      <c r="G99" s="294">
        <v>0</v>
      </c>
      <c r="H99" s="296">
        <v>4.9406564584124654E-324</v>
      </c>
      <c r="I99" s="293">
        <v>9.8813129168249309E-324</v>
      </c>
      <c r="J99" s="294">
        <v>9.8813129168249309E-324</v>
      </c>
      <c r="K99" s="304" t="s">
        <v>177</v>
      </c>
    </row>
    <row r="100" spans="1:11" ht="14.4" customHeight="1" thickBot="1" x14ac:dyDescent="0.35">
      <c r="A100" s="315" t="s">
        <v>269</v>
      </c>
      <c r="B100" s="293">
        <v>0</v>
      </c>
      <c r="C100" s="293">
        <v>1.0705100000000001</v>
      </c>
      <c r="D100" s="294">
        <v>1.0705100000000001</v>
      </c>
      <c r="E100" s="303" t="s">
        <v>177</v>
      </c>
      <c r="F100" s="293">
        <v>0</v>
      </c>
      <c r="G100" s="294">
        <v>0</v>
      </c>
      <c r="H100" s="296">
        <v>4.9406564584124654E-324</v>
      </c>
      <c r="I100" s="293">
        <v>9.8813129168249309E-324</v>
      </c>
      <c r="J100" s="294">
        <v>9.8813129168249309E-324</v>
      </c>
      <c r="K100" s="304" t="s">
        <v>177</v>
      </c>
    </row>
    <row r="101" spans="1:11" ht="14.4" customHeight="1" thickBot="1" x14ac:dyDescent="0.35">
      <c r="A101" s="315" t="s">
        <v>270</v>
      </c>
      <c r="B101" s="293">
        <v>0</v>
      </c>
      <c r="C101" s="293">
        <v>14.574170000000001</v>
      </c>
      <c r="D101" s="294">
        <v>14.574170000000001</v>
      </c>
      <c r="E101" s="303" t="s">
        <v>177</v>
      </c>
      <c r="F101" s="293">
        <v>0</v>
      </c>
      <c r="G101" s="294">
        <v>0</v>
      </c>
      <c r="H101" s="296">
        <v>4.9406564584124654E-324</v>
      </c>
      <c r="I101" s="293">
        <v>9.8813129168249309E-324</v>
      </c>
      <c r="J101" s="294">
        <v>9.8813129168249309E-324</v>
      </c>
      <c r="K101" s="304" t="s">
        <v>177</v>
      </c>
    </row>
    <row r="102" spans="1:11" ht="14.4" customHeight="1" thickBot="1" x14ac:dyDescent="0.35">
      <c r="A102" s="318" t="s">
        <v>271</v>
      </c>
      <c r="B102" s="298">
        <v>54.041033515848</v>
      </c>
      <c r="C102" s="298">
        <v>59.511420000000001</v>
      </c>
      <c r="D102" s="299">
        <v>5.4703864841519998</v>
      </c>
      <c r="E102" s="300">
        <v>1.1012265333989999</v>
      </c>
      <c r="F102" s="298">
        <v>57.643769083571001</v>
      </c>
      <c r="G102" s="299">
        <v>9.6072948472610005</v>
      </c>
      <c r="H102" s="301">
        <v>3.6767799999999999</v>
      </c>
      <c r="I102" s="298">
        <v>9.2652699999999992</v>
      </c>
      <c r="J102" s="299">
        <v>-0.34202484726100002</v>
      </c>
      <c r="K102" s="302">
        <v>0.16073324397899999</v>
      </c>
    </row>
    <row r="103" spans="1:11" ht="14.4" customHeight="1" thickBot="1" x14ac:dyDescent="0.35">
      <c r="A103" s="314" t="s">
        <v>272</v>
      </c>
      <c r="B103" s="298">
        <v>0</v>
      </c>
      <c r="C103" s="298">
        <v>1.89E-3</v>
      </c>
      <c r="D103" s="299">
        <v>1.89E-3</v>
      </c>
      <c r="E103" s="305" t="s">
        <v>177</v>
      </c>
      <c r="F103" s="298">
        <v>0</v>
      </c>
      <c r="G103" s="299">
        <v>0</v>
      </c>
      <c r="H103" s="301">
        <v>-4.2999999999999999E-4</v>
      </c>
      <c r="I103" s="298">
        <v>-6.9999999999999994E-5</v>
      </c>
      <c r="J103" s="299">
        <v>-6.9999999999999994E-5</v>
      </c>
      <c r="K103" s="306" t="s">
        <v>177</v>
      </c>
    </row>
    <row r="104" spans="1:11" ht="14.4" customHeight="1" thickBot="1" x14ac:dyDescent="0.35">
      <c r="A104" s="315" t="s">
        <v>273</v>
      </c>
      <c r="B104" s="293">
        <v>0</v>
      </c>
      <c r="C104" s="293">
        <v>1.89E-3</v>
      </c>
      <c r="D104" s="294">
        <v>1.89E-3</v>
      </c>
      <c r="E104" s="303" t="s">
        <v>177</v>
      </c>
      <c r="F104" s="293">
        <v>0</v>
      </c>
      <c r="G104" s="294">
        <v>0</v>
      </c>
      <c r="H104" s="296">
        <v>-4.2999999999999999E-4</v>
      </c>
      <c r="I104" s="293">
        <v>-6.9999999999999994E-5</v>
      </c>
      <c r="J104" s="294">
        <v>-6.9999999999999994E-5</v>
      </c>
      <c r="K104" s="304" t="s">
        <v>177</v>
      </c>
    </row>
    <row r="105" spans="1:11" ht="14.4" customHeight="1" thickBot="1" x14ac:dyDescent="0.35">
      <c r="A105" s="314" t="s">
        <v>274</v>
      </c>
      <c r="B105" s="298">
        <v>54.041033515848</v>
      </c>
      <c r="C105" s="298">
        <v>59.509529999999998</v>
      </c>
      <c r="D105" s="299">
        <v>5.4684964841520003</v>
      </c>
      <c r="E105" s="300">
        <v>1.101191559975</v>
      </c>
      <c r="F105" s="298">
        <v>57.643769083571001</v>
      </c>
      <c r="G105" s="299">
        <v>9.6072948472610005</v>
      </c>
      <c r="H105" s="301">
        <v>3.6772100000000001</v>
      </c>
      <c r="I105" s="298">
        <v>9.2653400000000001</v>
      </c>
      <c r="J105" s="299">
        <v>-0.34195484726100001</v>
      </c>
      <c r="K105" s="302">
        <v>0.16073445833399999</v>
      </c>
    </row>
    <row r="106" spans="1:11" ht="14.4" customHeight="1" thickBot="1" x14ac:dyDescent="0.35">
      <c r="A106" s="315" t="s">
        <v>275</v>
      </c>
      <c r="B106" s="293">
        <v>0</v>
      </c>
      <c r="C106" s="293">
        <v>0.502</v>
      </c>
      <c r="D106" s="294">
        <v>0.502</v>
      </c>
      <c r="E106" s="303" t="s">
        <v>177</v>
      </c>
      <c r="F106" s="293">
        <v>0</v>
      </c>
      <c r="G106" s="294">
        <v>0</v>
      </c>
      <c r="H106" s="296">
        <v>4.9406564584124654E-324</v>
      </c>
      <c r="I106" s="293">
        <v>9.8813129168249309E-324</v>
      </c>
      <c r="J106" s="294">
        <v>9.8813129168249309E-324</v>
      </c>
      <c r="K106" s="304" t="s">
        <v>177</v>
      </c>
    </row>
    <row r="107" spans="1:11" ht="14.4" customHeight="1" thickBot="1" x14ac:dyDescent="0.35">
      <c r="A107" s="315" t="s">
        <v>276</v>
      </c>
      <c r="B107" s="293">
        <v>54.041033515848</v>
      </c>
      <c r="C107" s="293">
        <v>59.007530000000003</v>
      </c>
      <c r="D107" s="294">
        <v>4.9664964841519996</v>
      </c>
      <c r="E107" s="295">
        <v>1.0919023223840001</v>
      </c>
      <c r="F107" s="293">
        <v>57.643769083571001</v>
      </c>
      <c r="G107" s="294">
        <v>9.6072948472610005</v>
      </c>
      <c r="H107" s="296">
        <v>3.6772100000000001</v>
      </c>
      <c r="I107" s="293">
        <v>9.2653400000000001</v>
      </c>
      <c r="J107" s="294">
        <v>-0.34195484726100001</v>
      </c>
      <c r="K107" s="297">
        <v>0.16073445833399999</v>
      </c>
    </row>
    <row r="108" spans="1:11" ht="14.4" customHeight="1" thickBot="1" x14ac:dyDescent="0.35">
      <c r="A108" s="311" t="s">
        <v>277</v>
      </c>
      <c r="B108" s="293">
        <v>2361.7737989417201</v>
      </c>
      <c r="C108" s="293">
        <v>1914.80873</v>
      </c>
      <c r="D108" s="294">
        <v>-446.96506894171603</v>
      </c>
      <c r="E108" s="295">
        <v>0.810750263576</v>
      </c>
      <c r="F108" s="293">
        <v>2114.0038276155401</v>
      </c>
      <c r="G108" s="294">
        <v>352.33397126925598</v>
      </c>
      <c r="H108" s="296">
        <v>146.16618</v>
      </c>
      <c r="I108" s="293">
        <v>303.15795000000003</v>
      </c>
      <c r="J108" s="294">
        <v>-49.176021269255997</v>
      </c>
      <c r="K108" s="297">
        <v>0.14340463628200001</v>
      </c>
    </row>
    <row r="109" spans="1:11" ht="14.4" customHeight="1" thickBot="1" x14ac:dyDescent="0.35">
      <c r="A109" s="316" t="s">
        <v>278</v>
      </c>
      <c r="B109" s="298">
        <v>2361.7737989417201</v>
      </c>
      <c r="C109" s="298">
        <v>1914.80873</v>
      </c>
      <c r="D109" s="299">
        <v>-446.96506894171603</v>
      </c>
      <c r="E109" s="300">
        <v>0.810750263576</v>
      </c>
      <c r="F109" s="298">
        <v>2114.0038276155401</v>
      </c>
      <c r="G109" s="299">
        <v>352.33397126925598</v>
      </c>
      <c r="H109" s="301">
        <v>146.16618</v>
      </c>
      <c r="I109" s="298">
        <v>303.15795000000003</v>
      </c>
      <c r="J109" s="299">
        <v>-49.176021269255997</v>
      </c>
      <c r="K109" s="302">
        <v>0.14340463628200001</v>
      </c>
    </row>
    <row r="110" spans="1:11" ht="14.4" customHeight="1" thickBot="1" x14ac:dyDescent="0.35">
      <c r="A110" s="318" t="s">
        <v>42</v>
      </c>
      <c r="B110" s="298">
        <v>2361.7737989417201</v>
      </c>
      <c r="C110" s="298">
        <v>1914.80873</v>
      </c>
      <c r="D110" s="299">
        <v>-446.96506894171603</v>
      </c>
      <c r="E110" s="300">
        <v>0.810750263576</v>
      </c>
      <c r="F110" s="298">
        <v>2114.0038276155401</v>
      </c>
      <c r="G110" s="299">
        <v>352.33397126925598</v>
      </c>
      <c r="H110" s="301">
        <v>146.16618</v>
      </c>
      <c r="I110" s="298">
        <v>303.15795000000003</v>
      </c>
      <c r="J110" s="299">
        <v>-49.176021269255997</v>
      </c>
      <c r="K110" s="302">
        <v>0.14340463628200001</v>
      </c>
    </row>
    <row r="111" spans="1:11" ht="14.4" customHeight="1" thickBot="1" x14ac:dyDescent="0.35">
      <c r="A111" s="314" t="s">
        <v>279</v>
      </c>
      <c r="B111" s="298">
        <v>34.999999999998998</v>
      </c>
      <c r="C111" s="298">
        <v>15.246</v>
      </c>
      <c r="D111" s="299">
        <v>-19.753999999998999</v>
      </c>
      <c r="E111" s="300">
        <v>0.43559999999999999</v>
      </c>
      <c r="F111" s="298">
        <v>35</v>
      </c>
      <c r="G111" s="299">
        <v>5.833333333333</v>
      </c>
      <c r="H111" s="301">
        <v>1.2705</v>
      </c>
      <c r="I111" s="298">
        <v>2.5409999999999999</v>
      </c>
      <c r="J111" s="299">
        <v>-3.292333333333</v>
      </c>
      <c r="K111" s="302">
        <v>7.2599999999999998E-2</v>
      </c>
    </row>
    <row r="112" spans="1:11" ht="14.4" customHeight="1" thickBot="1" x14ac:dyDescent="0.35">
      <c r="A112" s="315" t="s">
        <v>280</v>
      </c>
      <c r="B112" s="293">
        <v>34.999999999998998</v>
      </c>
      <c r="C112" s="293">
        <v>15.246</v>
      </c>
      <c r="D112" s="294">
        <v>-19.753999999998999</v>
      </c>
      <c r="E112" s="295">
        <v>0.43559999999999999</v>
      </c>
      <c r="F112" s="293">
        <v>35</v>
      </c>
      <c r="G112" s="294">
        <v>5.833333333333</v>
      </c>
      <c r="H112" s="296">
        <v>1.2705</v>
      </c>
      <c r="I112" s="293">
        <v>2.5409999999999999</v>
      </c>
      <c r="J112" s="294">
        <v>-3.292333333333</v>
      </c>
      <c r="K112" s="297">
        <v>7.2599999999999998E-2</v>
      </c>
    </row>
    <row r="113" spans="1:11" ht="14.4" customHeight="1" thickBot="1" x14ac:dyDescent="0.35">
      <c r="A113" s="314" t="s">
        <v>281</v>
      </c>
      <c r="B113" s="298">
        <v>43.240518482955999</v>
      </c>
      <c r="C113" s="298">
        <v>25.195</v>
      </c>
      <c r="D113" s="299">
        <v>-18.045518482955998</v>
      </c>
      <c r="E113" s="300">
        <v>0.58267108915200005</v>
      </c>
      <c r="F113" s="298">
        <v>27.003827615536999</v>
      </c>
      <c r="G113" s="299">
        <v>4.5006379359219997</v>
      </c>
      <c r="H113" s="301">
        <v>2.15</v>
      </c>
      <c r="I113" s="298">
        <v>3.85</v>
      </c>
      <c r="J113" s="299">
        <v>-0.65063793592200003</v>
      </c>
      <c r="K113" s="302">
        <v>0.14257238102700001</v>
      </c>
    </row>
    <row r="114" spans="1:11" ht="14.4" customHeight="1" thickBot="1" x14ac:dyDescent="0.35">
      <c r="A114" s="315" t="s">
        <v>282</v>
      </c>
      <c r="B114" s="293">
        <v>43.240518482955999</v>
      </c>
      <c r="C114" s="293">
        <v>25.195</v>
      </c>
      <c r="D114" s="294">
        <v>-18.045518482955998</v>
      </c>
      <c r="E114" s="295">
        <v>0.58267108915200005</v>
      </c>
      <c r="F114" s="293">
        <v>27.003827615536999</v>
      </c>
      <c r="G114" s="294">
        <v>4.5006379359219997</v>
      </c>
      <c r="H114" s="296">
        <v>2.15</v>
      </c>
      <c r="I114" s="293">
        <v>3.85</v>
      </c>
      <c r="J114" s="294">
        <v>-0.65063793592200003</v>
      </c>
      <c r="K114" s="297">
        <v>0.14257238102700001</v>
      </c>
    </row>
    <row r="115" spans="1:11" ht="14.4" customHeight="1" thickBot="1" x14ac:dyDescent="0.35">
      <c r="A115" s="314" t="s">
        <v>283</v>
      </c>
      <c r="B115" s="298">
        <v>389.533280458783</v>
      </c>
      <c r="C115" s="298">
        <v>383.63260000000002</v>
      </c>
      <c r="D115" s="299">
        <v>-5.9006804587830004</v>
      </c>
      <c r="E115" s="300">
        <v>0.98485192214600004</v>
      </c>
      <c r="F115" s="298">
        <v>421</v>
      </c>
      <c r="G115" s="299">
        <v>70.166666666666003</v>
      </c>
      <c r="H115" s="301">
        <v>24.703600000000002</v>
      </c>
      <c r="I115" s="298">
        <v>50.658900000000003</v>
      </c>
      <c r="J115" s="299">
        <v>-19.507766666666001</v>
      </c>
      <c r="K115" s="302">
        <v>0.120329928741</v>
      </c>
    </row>
    <row r="116" spans="1:11" ht="14.4" customHeight="1" thickBot="1" x14ac:dyDescent="0.35">
      <c r="A116" s="315" t="s">
        <v>284</v>
      </c>
      <c r="B116" s="293">
        <v>389.533280458783</v>
      </c>
      <c r="C116" s="293">
        <v>383.63260000000002</v>
      </c>
      <c r="D116" s="294">
        <v>-5.9006804587830004</v>
      </c>
      <c r="E116" s="295">
        <v>0.98485192214600004</v>
      </c>
      <c r="F116" s="293">
        <v>421</v>
      </c>
      <c r="G116" s="294">
        <v>70.166666666666003</v>
      </c>
      <c r="H116" s="296">
        <v>24.703600000000002</v>
      </c>
      <c r="I116" s="293">
        <v>50.658900000000003</v>
      </c>
      <c r="J116" s="294">
        <v>-19.507766666666001</v>
      </c>
      <c r="K116" s="297">
        <v>0.120329928741</v>
      </c>
    </row>
    <row r="117" spans="1:11" ht="14.4" customHeight="1" thickBot="1" x14ac:dyDescent="0.35">
      <c r="A117" s="314" t="s">
        <v>285</v>
      </c>
      <c r="B117" s="298">
        <v>247.99999999999699</v>
      </c>
      <c r="C117" s="298">
        <v>220.27691999999999</v>
      </c>
      <c r="D117" s="299">
        <v>-27.723079999995999</v>
      </c>
      <c r="E117" s="300">
        <v>0.88821338709599995</v>
      </c>
      <c r="F117" s="298">
        <v>306</v>
      </c>
      <c r="G117" s="299">
        <v>51</v>
      </c>
      <c r="H117" s="301">
        <v>13.403740000000001</v>
      </c>
      <c r="I117" s="298">
        <v>31.100339999999999</v>
      </c>
      <c r="J117" s="299">
        <v>-19.899660000000001</v>
      </c>
      <c r="K117" s="302">
        <v>0.101635098039</v>
      </c>
    </row>
    <row r="118" spans="1:11" ht="14.4" customHeight="1" thickBot="1" x14ac:dyDescent="0.35">
      <c r="A118" s="315" t="s">
        <v>286</v>
      </c>
      <c r="B118" s="293">
        <v>247.99999999999699</v>
      </c>
      <c r="C118" s="293">
        <v>220.27691999999999</v>
      </c>
      <c r="D118" s="294">
        <v>-27.723079999995999</v>
      </c>
      <c r="E118" s="295">
        <v>0.88821338709599995</v>
      </c>
      <c r="F118" s="293">
        <v>306</v>
      </c>
      <c r="G118" s="294">
        <v>51</v>
      </c>
      <c r="H118" s="296">
        <v>13.403740000000001</v>
      </c>
      <c r="I118" s="293">
        <v>31.100339999999999</v>
      </c>
      <c r="J118" s="294">
        <v>-19.899660000000001</v>
      </c>
      <c r="K118" s="297">
        <v>0.101635098039</v>
      </c>
    </row>
    <row r="119" spans="1:11" ht="14.4" customHeight="1" thickBot="1" x14ac:dyDescent="0.35">
      <c r="A119" s="314" t="s">
        <v>287</v>
      </c>
      <c r="B119" s="298">
        <v>1645.99999999998</v>
      </c>
      <c r="C119" s="298">
        <v>1270.45821</v>
      </c>
      <c r="D119" s="299">
        <v>-375.54178999997998</v>
      </c>
      <c r="E119" s="300">
        <v>0.77184581409399999</v>
      </c>
      <c r="F119" s="298">
        <v>1325</v>
      </c>
      <c r="G119" s="299">
        <v>220.833333333333</v>
      </c>
      <c r="H119" s="301">
        <v>104.63834</v>
      </c>
      <c r="I119" s="298">
        <v>215.00771</v>
      </c>
      <c r="J119" s="299">
        <v>-5.8256233333329996</v>
      </c>
      <c r="K119" s="302">
        <v>0.162269969811</v>
      </c>
    </row>
    <row r="120" spans="1:11" ht="14.4" customHeight="1" thickBot="1" x14ac:dyDescent="0.35">
      <c r="A120" s="315" t="s">
        <v>288</v>
      </c>
      <c r="B120" s="293">
        <v>1645.99999999998</v>
      </c>
      <c r="C120" s="293">
        <v>1270.45821</v>
      </c>
      <c r="D120" s="294">
        <v>-375.54178999997998</v>
      </c>
      <c r="E120" s="295">
        <v>0.77184581409399999</v>
      </c>
      <c r="F120" s="293">
        <v>1325</v>
      </c>
      <c r="G120" s="294">
        <v>220.833333333333</v>
      </c>
      <c r="H120" s="296">
        <v>104.63834</v>
      </c>
      <c r="I120" s="293">
        <v>215.00771</v>
      </c>
      <c r="J120" s="294">
        <v>-5.8256233333329996</v>
      </c>
      <c r="K120" s="297">
        <v>0.162269969811</v>
      </c>
    </row>
    <row r="121" spans="1:11" ht="14.4" customHeight="1" thickBot="1" x14ac:dyDescent="0.35">
      <c r="A121" s="319"/>
      <c r="B121" s="293">
        <v>-28028.076261857201</v>
      </c>
      <c r="C121" s="293">
        <v>-27886.295010000002</v>
      </c>
      <c r="D121" s="294">
        <v>141.78125185716999</v>
      </c>
      <c r="E121" s="295">
        <v>0.99494145618300001</v>
      </c>
      <c r="F121" s="293">
        <v>-28480.984609384301</v>
      </c>
      <c r="G121" s="294">
        <v>-4746.8307682307204</v>
      </c>
      <c r="H121" s="296">
        <v>-2222.89779</v>
      </c>
      <c r="I121" s="293">
        <v>-4669.8924800000104</v>
      </c>
      <c r="J121" s="294">
        <v>76.938288230705993</v>
      </c>
      <c r="K121" s="297">
        <v>0.16396527521900001</v>
      </c>
    </row>
    <row r="122" spans="1:11" ht="14.4" customHeight="1" thickBot="1" x14ac:dyDescent="0.35">
      <c r="A122" s="320" t="s">
        <v>54</v>
      </c>
      <c r="B122" s="307">
        <v>-28028.076261857201</v>
      </c>
      <c r="C122" s="307">
        <v>-27886.295010000002</v>
      </c>
      <c r="D122" s="308">
        <v>141.78125185720501</v>
      </c>
      <c r="E122" s="309">
        <v>-0.884245875244</v>
      </c>
      <c r="F122" s="307">
        <v>-28480.984609384301</v>
      </c>
      <c r="G122" s="308">
        <v>-4746.8307682307204</v>
      </c>
      <c r="H122" s="307">
        <v>-2222.89779</v>
      </c>
      <c r="I122" s="307">
        <v>-4669.8924800000104</v>
      </c>
      <c r="J122" s="308">
        <v>76.938288230705993</v>
      </c>
      <c r="K122" s="310">
        <v>0.16396527521900001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69" bestFit="1" customWidth="1"/>
    <col min="2" max="2" width="9.33203125" style="169" customWidth="1"/>
    <col min="3" max="3" width="28.88671875" style="101" bestFit="1" customWidth="1"/>
    <col min="4" max="4" width="12.77734375" style="170" bestFit="1" customWidth="1"/>
    <col min="5" max="5" width="11.109375" style="170" customWidth="1"/>
    <col min="6" max="6" width="6.6640625" style="171" customWidth="1"/>
    <col min="7" max="7" width="12.21875" style="168" bestFit="1" customWidth="1"/>
    <col min="8" max="8" width="0" style="101" hidden="1" customWidth="1"/>
    <col min="9" max="16384" width="8.88671875" style="101"/>
  </cols>
  <sheetData>
    <row r="1" spans="1:8" ht="18.600000000000001" customHeight="1" thickBot="1" x14ac:dyDescent="0.4">
      <c r="A1" s="279" t="s">
        <v>81</v>
      </c>
      <c r="B1" s="280"/>
      <c r="C1" s="280"/>
      <c r="D1" s="280"/>
      <c r="E1" s="280"/>
      <c r="F1" s="280"/>
      <c r="G1" s="256"/>
    </row>
    <row r="2" spans="1:8" ht="14.4" customHeight="1" thickBot="1" x14ac:dyDescent="0.35">
      <c r="A2" s="179" t="s">
        <v>176</v>
      </c>
      <c r="B2" s="167"/>
      <c r="C2" s="167"/>
      <c r="D2" s="167"/>
      <c r="E2" s="167"/>
      <c r="F2" s="167"/>
    </row>
    <row r="3" spans="1:8" ht="14.4" customHeight="1" thickBot="1" x14ac:dyDescent="0.35">
      <c r="A3" s="61" t="s">
        <v>0</v>
      </c>
      <c r="B3" s="62" t="s">
        <v>1</v>
      </c>
      <c r="C3" s="73" t="s">
        <v>2</v>
      </c>
      <c r="D3" s="74" t="s">
        <v>101</v>
      </c>
      <c r="E3" s="74" t="s">
        <v>4</v>
      </c>
      <c r="F3" s="74" t="s">
        <v>5</v>
      </c>
      <c r="G3" s="75" t="s">
        <v>85</v>
      </c>
    </row>
    <row r="4" spans="1:8" ht="14.4" customHeight="1" x14ac:dyDescent="0.3">
      <c r="A4" s="321" t="s">
        <v>289</v>
      </c>
      <c r="B4" s="322" t="s">
        <v>290</v>
      </c>
      <c r="C4" s="323" t="s">
        <v>291</v>
      </c>
      <c r="D4" s="323" t="s">
        <v>290</v>
      </c>
      <c r="E4" s="323" t="s">
        <v>290</v>
      </c>
      <c r="F4" s="324" t="s">
        <v>290</v>
      </c>
      <c r="G4" s="323" t="s">
        <v>290</v>
      </c>
      <c r="H4" s="323" t="s">
        <v>57</v>
      </c>
    </row>
    <row r="5" spans="1:8" ht="14.4" customHeight="1" x14ac:dyDescent="0.3">
      <c r="A5" s="321" t="s">
        <v>289</v>
      </c>
      <c r="B5" s="322" t="s">
        <v>292</v>
      </c>
      <c r="C5" s="323" t="s">
        <v>293</v>
      </c>
      <c r="D5" s="323">
        <v>9548.7659594816305</v>
      </c>
      <c r="E5" s="323">
        <v>7181.226865679926</v>
      </c>
      <c r="F5" s="324">
        <v>0.75205810846680021</v>
      </c>
      <c r="G5" s="323">
        <v>-2367.5390938017044</v>
      </c>
      <c r="H5" s="323" t="s">
        <v>2</v>
      </c>
    </row>
    <row r="6" spans="1:8" ht="14.4" customHeight="1" x14ac:dyDescent="0.3">
      <c r="A6" s="321" t="s">
        <v>289</v>
      </c>
      <c r="B6" s="322" t="s">
        <v>6</v>
      </c>
      <c r="C6" s="323" t="s">
        <v>291</v>
      </c>
      <c r="D6" s="323">
        <v>9548.7659594816305</v>
      </c>
      <c r="E6" s="323">
        <v>7181.226865679926</v>
      </c>
      <c r="F6" s="324">
        <v>0.75205810846680021</v>
      </c>
      <c r="G6" s="323">
        <v>-2367.5390938017044</v>
      </c>
      <c r="H6" s="323" t="s">
        <v>294</v>
      </c>
    </row>
    <row r="8" spans="1:8" ht="14.4" customHeight="1" x14ac:dyDescent="0.3">
      <c r="A8" s="321" t="s">
        <v>289</v>
      </c>
      <c r="B8" s="322" t="s">
        <v>290</v>
      </c>
      <c r="C8" s="323" t="s">
        <v>291</v>
      </c>
      <c r="D8" s="323" t="s">
        <v>290</v>
      </c>
      <c r="E8" s="323" t="s">
        <v>290</v>
      </c>
      <c r="F8" s="324" t="s">
        <v>290</v>
      </c>
      <c r="G8" s="323" t="s">
        <v>290</v>
      </c>
      <c r="H8" s="323" t="s">
        <v>57</v>
      </c>
    </row>
    <row r="9" spans="1:8" ht="14.4" customHeight="1" x14ac:dyDescent="0.3">
      <c r="A9" s="321" t="s">
        <v>295</v>
      </c>
      <c r="B9" s="322" t="s">
        <v>292</v>
      </c>
      <c r="C9" s="323" t="s">
        <v>293</v>
      </c>
      <c r="D9" s="323">
        <v>8708.5883478456508</v>
      </c>
      <c r="E9" s="323">
        <v>7181.226865679926</v>
      </c>
      <c r="F9" s="324">
        <v>0.82461434377667342</v>
      </c>
      <c r="G9" s="323">
        <v>-1527.3614821657247</v>
      </c>
      <c r="H9" s="323" t="s">
        <v>2</v>
      </c>
    </row>
    <row r="10" spans="1:8" ht="14.4" customHeight="1" x14ac:dyDescent="0.3">
      <c r="A10" s="321" t="s">
        <v>295</v>
      </c>
      <c r="B10" s="322" t="s">
        <v>6</v>
      </c>
      <c r="C10" s="323" t="s">
        <v>296</v>
      </c>
      <c r="D10" s="323">
        <v>8708.5883478456508</v>
      </c>
      <c r="E10" s="323">
        <v>7181.226865679926</v>
      </c>
      <c r="F10" s="324">
        <v>0.82461434377667342</v>
      </c>
      <c r="G10" s="323">
        <v>-1527.3614821657247</v>
      </c>
      <c r="H10" s="323" t="s">
        <v>297</v>
      </c>
    </row>
    <row r="11" spans="1:8" ht="14.4" customHeight="1" x14ac:dyDescent="0.3">
      <c r="A11" s="321" t="s">
        <v>290</v>
      </c>
      <c r="B11" s="322" t="s">
        <v>290</v>
      </c>
      <c r="C11" s="323" t="s">
        <v>290</v>
      </c>
      <c r="D11" s="323" t="s">
        <v>290</v>
      </c>
      <c r="E11" s="323" t="s">
        <v>290</v>
      </c>
      <c r="F11" s="324" t="s">
        <v>290</v>
      </c>
      <c r="G11" s="323" t="s">
        <v>290</v>
      </c>
      <c r="H11" s="323" t="s">
        <v>298</v>
      </c>
    </row>
    <row r="12" spans="1:8" ht="14.4" customHeight="1" x14ac:dyDescent="0.3">
      <c r="A12" s="321" t="s">
        <v>289</v>
      </c>
      <c r="B12" s="322" t="s">
        <v>6</v>
      </c>
      <c r="C12" s="323" t="s">
        <v>291</v>
      </c>
      <c r="D12" s="323">
        <v>9548.7659594816305</v>
      </c>
      <c r="E12" s="323">
        <v>7181.226865679926</v>
      </c>
      <c r="F12" s="324">
        <v>0.75205810846680021</v>
      </c>
      <c r="G12" s="323">
        <v>-2367.5390938017044</v>
      </c>
      <c r="H12" s="323" t="s">
        <v>294</v>
      </c>
    </row>
  </sheetData>
  <autoFilter ref="A3:G3"/>
  <mergeCells count="1">
    <mergeCell ref="A1:G1"/>
  </mergeCells>
  <conditionalFormatting sqref="F7 F13:F65536">
    <cfRule type="cellIs" dxfId="29" priority="15" stopIfTrue="1" operator="greaterThan">
      <formula>1</formula>
    </cfRule>
  </conditionalFormatting>
  <conditionalFormatting sqref="B4:B6">
    <cfRule type="expression" dxfId="28" priority="12">
      <formula>AND(LEFT(H4,6)&lt;&gt;"mezera",H4&lt;&gt;"")</formula>
    </cfRule>
  </conditionalFormatting>
  <conditionalFormatting sqref="A4:A6">
    <cfRule type="expression" dxfId="27" priority="10">
      <formula>AND(H4&lt;&gt;"",H4&lt;&gt;"mezeraKL")</formula>
    </cfRule>
  </conditionalFormatting>
  <conditionalFormatting sqref="G4:G6">
    <cfRule type="cellIs" dxfId="26" priority="9" operator="greaterThan">
      <formula>0</formula>
    </cfRule>
  </conditionalFormatting>
  <conditionalFormatting sqref="F4:F6">
    <cfRule type="cellIs" dxfId="25" priority="8" operator="greaterThan">
      <formula>1</formula>
    </cfRule>
  </conditionalFormatting>
  <conditionalFormatting sqref="B4:G6">
    <cfRule type="expression" dxfId="24" priority="11">
      <formula>OR($H4="KL",$H4="SumaKL")</formula>
    </cfRule>
    <cfRule type="expression" dxfId="23" priority="13">
      <formula>$H4="SumaNS"</formula>
    </cfRule>
  </conditionalFormatting>
  <conditionalFormatting sqref="A4:G6">
    <cfRule type="expression" dxfId="22" priority="14">
      <formula>$H4&lt;&gt;""</formula>
    </cfRule>
  </conditionalFormatting>
  <conditionalFormatting sqref="F8:F12">
    <cfRule type="cellIs" dxfId="21" priority="3" operator="greaterThan">
      <formula>1</formula>
    </cfRule>
  </conditionalFormatting>
  <conditionalFormatting sqref="B8:B12">
    <cfRule type="expression" dxfId="20" priority="6">
      <formula>AND(LEFT(H8,6)&lt;&gt;"mezera",H8&lt;&gt;"")</formula>
    </cfRule>
  </conditionalFormatting>
  <conditionalFormatting sqref="A8:A12">
    <cfRule type="expression" dxfId="19" priority="4">
      <formula>AND(H8&lt;&gt;"",H8&lt;&gt;"mezeraKL")</formula>
    </cfRule>
  </conditionalFormatting>
  <conditionalFormatting sqref="G8:G12">
    <cfRule type="cellIs" dxfId="18" priority="2" operator="greaterThan">
      <formula>0</formula>
    </cfRule>
  </conditionalFormatting>
  <conditionalFormatting sqref="B8:G12">
    <cfRule type="expression" dxfId="17" priority="5">
      <formula>OR($H8="KL",$H8="SumaKL")</formula>
    </cfRule>
    <cfRule type="expression" dxfId="16" priority="7">
      <formula>$H8="SumaNS"</formula>
    </cfRule>
  </conditionalFormatting>
  <conditionalFormatting sqref="A8:G12">
    <cfRule type="expression" dxfId="15" priority="1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1" hidden="1" customWidth="1" outlineLevel="1"/>
    <col min="2" max="2" width="28.33203125" style="101" hidden="1" customWidth="1" outlineLevel="1"/>
    <col min="3" max="3" width="5.33203125" style="170" bestFit="1" customWidth="1" collapsed="1"/>
    <col min="4" max="4" width="18.77734375" style="174" customWidth="1"/>
    <col min="5" max="5" width="9" style="170" bestFit="1" customWidth="1"/>
    <col min="6" max="6" width="18.77734375" style="174" customWidth="1"/>
    <col min="7" max="7" width="5" style="170" customWidth="1"/>
    <col min="8" max="8" width="12.44140625" style="170" hidden="1" customWidth="1" outlineLevel="1"/>
    <col min="9" max="9" width="8.5546875" style="170" hidden="1" customWidth="1" outlineLevel="1"/>
    <col min="10" max="10" width="25.77734375" style="170" customWidth="1" collapsed="1"/>
    <col min="11" max="11" width="8.77734375" style="170" customWidth="1"/>
    <col min="12" max="13" width="7.77734375" style="168" customWidth="1"/>
    <col min="14" max="14" width="11.109375" style="168" customWidth="1"/>
    <col min="15" max="16384" width="8.88671875" style="101"/>
  </cols>
  <sheetData>
    <row r="1" spans="1:14" ht="18.600000000000001" customHeight="1" thickBot="1" x14ac:dyDescent="0.4">
      <c r="A1" s="28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4.4" customHeight="1" thickBot="1" x14ac:dyDescent="0.35">
      <c r="A2" s="179" t="s">
        <v>176</v>
      </c>
      <c r="B2" s="57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173"/>
      <c r="N2" s="173"/>
    </row>
    <row r="3" spans="1:14" ht="14.4" customHeight="1" thickBot="1" x14ac:dyDescent="0.35">
      <c r="A3" s="57"/>
      <c r="B3" s="57"/>
      <c r="C3" s="281"/>
      <c r="D3" s="282"/>
      <c r="E3" s="282"/>
      <c r="F3" s="282"/>
      <c r="G3" s="282"/>
      <c r="H3" s="282"/>
      <c r="I3" s="282"/>
      <c r="J3" s="283" t="s">
        <v>79</v>
      </c>
      <c r="K3" s="284"/>
      <c r="L3" s="76">
        <f>IF(M3&lt;&gt;0,N3/M3,0)</f>
        <v>115.82623976903106</v>
      </c>
      <c r="M3" s="76">
        <f>SUBTOTAL(9,M5:M1048576)</f>
        <v>62</v>
      </c>
      <c r="N3" s="77">
        <f>SUBTOTAL(9,N5:N1048576)</f>
        <v>7181.226865679926</v>
      </c>
    </row>
    <row r="4" spans="1:14" s="169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11</v>
      </c>
      <c r="H4" s="326" t="s">
        <v>12</v>
      </c>
      <c r="I4" s="326" t="s">
        <v>13</v>
      </c>
      <c r="J4" s="327" t="s">
        <v>14</v>
      </c>
      <c r="K4" s="327" t="s">
        <v>15</v>
      </c>
      <c r="L4" s="328" t="s">
        <v>86</v>
      </c>
      <c r="M4" s="328" t="s">
        <v>16</v>
      </c>
      <c r="N4" s="329" t="s">
        <v>94</v>
      </c>
    </row>
    <row r="5" spans="1:14" ht="14.4" customHeight="1" x14ac:dyDescent="0.3">
      <c r="A5" s="330" t="s">
        <v>289</v>
      </c>
      <c r="B5" s="331" t="s">
        <v>291</v>
      </c>
      <c r="C5" s="332" t="s">
        <v>295</v>
      </c>
      <c r="D5" s="333" t="s">
        <v>296</v>
      </c>
      <c r="E5" s="332" t="s">
        <v>292</v>
      </c>
      <c r="F5" s="333" t="s">
        <v>293</v>
      </c>
      <c r="G5" s="332" t="s">
        <v>299</v>
      </c>
      <c r="H5" s="332" t="s">
        <v>300</v>
      </c>
      <c r="I5" s="332" t="s">
        <v>124</v>
      </c>
      <c r="J5" s="332" t="s">
        <v>301</v>
      </c>
      <c r="K5" s="332"/>
      <c r="L5" s="334">
        <v>57.673999999999992</v>
      </c>
      <c r="M5" s="334">
        <v>30</v>
      </c>
      <c r="N5" s="335">
        <v>1730.2199999999998</v>
      </c>
    </row>
    <row r="6" spans="1:14" ht="14.4" customHeight="1" x14ac:dyDescent="0.3">
      <c r="A6" s="336" t="s">
        <v>289</v>
      </c>
      <c r="B6" s="337" t="s">
        <v>291</v>
      </c>
      <c r="C6" s="338" t="s">
        <v>295</v>
      </c>
      <c r="D6" s="339" t="s">
        <v>296</v>
      </c>
      <c r="E6" s="338" t="s">
        <v>292</v>
      </c>
      <c r="F6" s="339" t="s">
        <v>293</v>
      </c>
      <c r="G6" s="338" t="s">
        <v>299</v>
      </c>
      <c r="H6" s="338" t="s">
        <v>302</v>
      </c>
      <c r="I6" s="338" t="s">
        <v>124</v>
      </c>
      <c r="J6" s="338" t="s">
        <v>303</v>
      </c>
      <c r="K6" s="338" t="s">
        <v>304</v>
      </c>
      <c r="L6" s="340">
        <v>85.873665785757197</v>
      </c>
      <c r="M6" s="340">
        <v>2</v>
      </c>
      <c r="N6" s="341">
        <v>171.74733157151439</v>
      </c>
    </row>
    <row r="7" spans="1:14" ht="14.4" customHeight="1" thickBot="1" x14ac:dyDescent="0.35">
      <c r="A7" s="342" t="s">
        <v>289</v>
      </c>
      <c r="B7" s="343" t="s">
        <v>291</v>
      </c>
      <c r="C7" s="344" t="s">
        <v>295</v>
      </c>
      <c r="D7" s="345" t="s">
        <v>296</v>
      </c>
      <c r="E7" s="344" t="s">
        <v>292</v>
      </c>
      <c r="F7" s="345" t="s">
        <v>293</v>
      </c>
      <c r="G7" s="344" t="s">
        <v>299</v>
      </c>
      <c r="H7" s="344" t="s">
        <v>305</v>
      </c>
      <c r="I7" s="344" t="s">
        <v>124</v>
      </c>
      <c r="J7" s="344" t="s">
        <v>306</v>
      </c>
      <c r="K7" s="344"/>
      <c r="L7" s="346">
        <v>175.97531780361371</v>
      </c>
      <c r="M7" s="346">
        <v>30</v>
      </c>
      <c r="N7" s="347">
        <v>5279.2595341084116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1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169" bestFit="1" customWidth="1"/>
    <col min="2" max="2" width="9.33203125" style="169" customWidth="1"/>
    <col min="3" max="3" width="28.88671875" style="101" bestFit="1" customWidth="1"/>
    <col min="4" max="5" width="11.109375" style="170" customWidth="1"/>
    <col min="6" max="6" width="6.6640625" style="171" customWidth="1"/>
    <col min="7" max="7" width="12.21875" style="168" bestFit="1" customWidth="1"/>
    <col min="8" max="8" width="0" style="101" hidden="1" customWidth="1"/>
    <col min="9" max="16384" width="8.88671875" style="101"/>
  </cols>
  <sheetData>
    <row r="1" spans="1:9" ht="18.600000000000001" customHeight="1" thickBot="1" x14ac:dyDescent="0.4">
      <c r="A1" s="279" t="s">
        <v>82</v>
      </c>
      <c r="B1" s="280"/>
      <c r="C1" s="280"/>
      <c r="D1" s="280"/>
      <c r="E1" s="280"/>
      <c r="F1" s="280"/>
      <c r="G1" s="256"/>
    </row>
    <row r="2" spans="1:9" ht="14.4" customHeight="1" thickBot="1" x14ac:dyDescent="0.35">
      <c r="A2" s="179" t="s">
        <v>176</v>
      </c>
      <c r="B2" s="167"/>
      <c r="C2" s="167"/>
      <c r="D2" s="167"/>
      <c r="E2" s="167"/>
      <c r="F2" s="167"/>
    </row>
    <row r="3" spans="1:9" ht="14.4" customHeight="1" thickBot="1" x14ac:dyDescent="0.35">
      <c r="A3" s="61" t="s">
        <v>0</v>
      </c>
      <c r="B3" s="62" t="s">
        <v>1</v>
      </c>
      <c r="C3" s="73" t="s">
        <v>2</v>
      </c>
      <c r="D3" s="74" t="s">
        <v>3</v>
      </c>
      <c r="E3" s="74" t="s">
        <v>4</v>
      </c>
      <c r="F3" s="74" t="s">
        <v>5</v>
      </c>
      <c r="G3" s="75" t="s">
        <v>85</v>
      </c>
    </row>
    <row r="4" spans="1:9" ht="14.4" customHeight="1" x14ac:dyDescent="0.3">
      <c r="A4" s="321" t="s">
        <v>289</v>
      </c>
      <c r="B4" s="322" t="s">
        <v>290</v>
      </c>
      <c r="C4" s="323" t="s">
        <v>291</v>
      </c>
      <c r="D4" s="323" t="s">
        <v>290</v>
      </c>
      <c r="E4" s="323" t="s">
        <v>290</v>
      </c>
      <c r="F4" s="324" t="s">
        <v>290</v>
      </c>
      <c r="G4" s="323" t="s">
        <v>290</v>
      </c>
      <c r="H4" s="323" t="s">
        <v>57</v>
      </c>
      <c r="I4"/>
    </row>
    <row r="5" spans="1:9" ht="14.4" customHeight="1" x14ac:dyDescent="0.3">
      <c r="A5" s="321" t="s">
        <v>289</v>
      </c>
      <c r="B5" s="322" t="s">
        <v>307</v>
      </c>
      <c r="C5" s="323" t="s">
        <v>308</v>
      </c>
      <c r="D5" s="323">
        <v>1849.1343777345985</v>
      </c>
      <c r="E5" s="323">
        <v>1540</v>
      </c>
      <c r="F5" s="324">
        <v>0.83282211316988031</v>
      </c>
      <c r="G5" s="323">
        <v>-309.1343777345985</v>
      </c>
      <c r="H5" s="323" t="s">
        <v>2</v>
      </c>
      <c r="I5"/>
    </row>
    <row r="6" spans="1:9" ht="14.4" customHeight="1" x14ac:dyDescent="0.3">
      <c r="A6" s="321" t="s">
        <v>289</v>
      </c>
      <c r="B6" s="322" t="s">
        <v>6</v>
      </c>
      <c r="C6" s="323" t="s">
        <v>291</v>
      </c>
      <c r="D6" s="323">
        <v>1849.1343777345985</v>
      </c>
      <c r="E6" s="323">
        <v>1540</v>
      </c>
      <c r="F6" s="324">
        <v>0.83282211316988031</v>
      </c>
      <c r="G6" s="323">
        <v>-309.1343777345985</v>
      </c>
      <c r="H6" s="323" t="s">
        <v>294</v>
      </c>
      <c r="I6"/>
    </row>
    <row r="8" spans="1:9" ht="14.4" customHeight="1" x14ac:dyDescent="0.3">
      <c r="A8" s="321" t="s">
        <v>289</v>
      </c>
      <c r="B8" s="322" t="s">
        <v>290</v>
      </c>
      <c r="C8" s="323" t="s">
        <v>291</v>
      </c>
      <c r="D8" s="323" t="s">
        <v>290</v>
      </c>
      <c r="E8" s="323" t="s">
        <v>290</v>
      </c>
      <c r="F8" s="324" t="s">
        <v>290</v>
      </c>
      <c r="G8" s="323" t="s">
        <v>290</v>
      </c>
      <c r="H8" s="323" t="s">
        <v>57</v>
      </c>
      <c r="I8"/>
    </row>
    <row r="9" spans="1:9" ht="14.4" customHeight="1" x14ac:dyDescent="0.3">
      <c r="A9" s="321" t="s">
        <v>295</v>
      </c>
      <c r="B9" s="322" t="s">
        <v>307</v>
      </c>
      <c r="C9" s="323" t="s">
        <v>308</v>
      </c>
      <c r="D9" s="323">
        <v>1602.3577605963435</v>
      </c>
      <c r="E9" s="323">
        <v>1540</v>
      </c>
      <c r="F9" s="324">
        <v>0.96108374663275198</v>
      </c>
      <c r="G9" s="323">
        <v>-62.357760596343496</v>
      </c>
      <c r="H9" s="323" t="s">
        <v>2</v>
      </c>
      <c r="I9"/>
    </row>
    <row r="10" spans="1:9" ht="14.4" customHeight="1" x14ac:dyDescent="0.3">
      <c r="A10" s="321" t="s">
        <v>295</v>
      </c>
      <c r="B10" s="322" t="s">
        <v>6</v>
      </c>
      <c r="C10" s="323" t="s">
        <v>296</v>
      </c>
      <c r="D10" s="323">
        <v>1602.3577605963435</v>
      </c>
      <c r="E10" s="323">
        <v>1540</v>
      </c>
      <c r="F10" s="324">
        <v>0.96108374663275198</v>
      </c>
      <c r="G10" s="323">
        <v>-62.357760596343496</v>
      </c>
      <c r="H10" s="323" t="s">
        <v>297</v>
      </c>
      <c r="I10"/>
    </row>
    <row r="11" spans="1:9" ht="14.4" customHeight="1" x14ac:dyDescent="0.3">
      <c r="A11" s="321" t="s">
        <v>290</v>
      </c>
      <c r="B11" s="322" t="s">
        <v>290</v>
      </c>
      <c r="C11" s="323" t="s">
        <v>290</v>
      </c>
      <c r="D11" s="323" t="s">
        <v>290</v>
      </c>
      <c r="E11" s="323" t="s">
        <v>290</v>
      </c>
      <c r="F11" s="324" t="s">
        <v>290</v>
      </c>
      <c r="G11" s="323" t="s">
        <v>290</v>
      </c>
      <c r="H11" s="323" t="s">
        <v>298</v>
      </c>
      <c r="I11"/>
    </row>
    <row r="12" spans="1:9" ht="14.4" customHeight="1" x14ac:dyDescent="0.3">
      <c r="A12" s="321" t="s">
        <v>289</v>
      </c>
      <c r="B12" s="322" t="s">
        <v>6</v>
      </c>
      <c r="C12" s="323" t="s">
        <v>291</v>
      </c>
      <c r="D12" s="323">
        <v>1849.1343777345985</v>
      </c>
      <c r="E12" s="323">
        <v>1540</v>
      </c>
      <c r="F12" s="324">
        <v>0.83282211316988031</v>
      </c>
      <c r="G12" s="323">
        <v>-309.1343777345985</v>
      </c>
      <c r="H12" s="323" t="s">
        <v>294</v>
      </c>
      <c r="I12"/>
    </row>
  </sheetData>
  <autoFilter ref="A3:G3"/>
  <mergeCells count="1">
    <mergeCell ref="A1:G1"/>
  </mergeCells>
  <conditionalFormatting sqref="F7 F13:F65536">
    <cfRule type="cellIs" dxfId="14" priority="15" stopIfTrue="1" operator="greaterThan">
      <formula>1</formula>
    </cfRule>
  </conditionalFormatting>
  <conditionalFormatting sqref="G4:G6">
    <cfRule type="cellIs" dxfId="13" priority="9" operator="greaterThan">
      <formula>0</formula>
    </cfRule>
  </conditionalFormatting>
  <conditionalFormatting sqref="B4:B6">
    <cfRule type="expression" dxfId="12" priority="12">
      <formula>AND(LEFT(H4,6)&lt;&gt;"mezera",H4&lt;&gt;"")</formula>
    </cfRule>
  </conditionalFormatting>
  <conditionalFormatting sqref="A4:A6">
    <cfRule type="expression" dxfId="11" priority="10">
      <formula>AND(H4&lt;&gt;"",H4&lt;&gt;"mezeraKL")</formula>
    </cfRule>
  </conditionalFormatting>
  <conditionalFormatting sqref="F4:F6">
    <cfRule type="cellIs" dxfId="10" priority="8" operator="greaterThan">
      <formula>1</formula>
    </cfRule>
  </conditionalFormatting>
  <conditionalFormatting sqref="B4:G6">
    <cfRule type="expression" dxfId="9" priority="11">
      <formula>OR($H4="KL",$H4="SumaKL")</formula>
    </cfRule>
    <cfRule type="expression" dxfId="8" priority="13">
      <formula>$H4="SumaNS"</formula>
    </cfRule>
  </conditionalFormatting>
  <conditionalFormatting sqref="A4:G6">
    <cfRule type="expression" dxfId="7" priority="14">
      <formula>$H4&lt;&gt;""</formula>
    </cfRule>
  </conditionalFormatting>
  <conditionalFormatting sqref="G8:G12">
    <cfRule type="cellIs" dxfId="6" priority="1" operator="greaterThan">
      <formula>0</formula>
    </cfRule>
  </conditionalFormatting>
  <conditionalFormatting sqref="F8:F12">
    <cfRule type="cellIs" dxfId="5" priority="2" operator="greaterThan">
      <formula>1</formula>
    </cfRule>
  </conditionalFormatting>
  <conditionalFormatting sqref="B8:B12">
    <cfRule type="expression" dxfId="4" priority="5">
      <formula>AND(LEFT(H8,6)&lt;&gt;"mezera",H8&lt;&gt;"")</formula>
    </cfRule>
  </conditionalFormatting>
  <conditionalFormatting sqref="A8:A12">
    <cfRule type="expression" dxfId="3" priority="3">
      <formula>AND(H8&lt;&gt;"",H8&lt;&gt;"mezeraKL")</formula>
    </cfRule>
  </conditionalFormatting>
  <conditionalFormatting sqref="B8:G12">
    <cfRule type="expression" dxfId="2" priority="4">
      <formula>OR($H8="KL",$H8="SumaKL")</formula>
    </cfRule>
    <cfRule type="expression" dxfId="1" priority="6">
      <formula>$H8="SumaNS"</formula>
    </cfRule>
  </conditionalFormatting>
  <conditionalFormatting sqref="A8:G12">
    <cfRule type="expression" dxfId="0" priority="7">
      <formula>$H8&lt;&gt;""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1" hidden="1" customWidth="1" outlineLevel="1"/>
    <col min="2" max="2" width="28.33203125" style="101" hidden="1" customWidth="1" outlineLevel="1"/>
    <col min="3" max="3" width="5.33203125" style="170" bestFit="1" customWidth="1" collapsed="1"/>
    <col min="4" max="4" width="18.77734375" style="174" customWidth="1"/>
    <col min="5" max="5" width="9" style="170" bestFit="1" customWidth="1"/>
    <col min="6" max="6" width="18.77734375" style="174" customWidth="1"/>
    <col min="7" max="7" width="12.44140625" style="170" hidden="1" customWidth="1" outlineLevel="1"/>
    <col min="8" max="8" width="25.77734375" style="170" customWidth="1" collapsed="1"/>
    <col min="9" max="9" width="7.77734375" style="168" customWidth="1"/>
    <col min="10" max="10" width="10" style="168" customWidth="1"/>
    <col min="11" max="11" width="11.109375" style="168" customWidth="1"/>
    <col min="12" max="16384" width="8.88671875" style="101"/>
  </cols>
  <sheetData>
    <row r="1" spans="1:11" ht="18.600000000000001" customHeight="1" thickBot="1" x14ac:dyDescent="0.4">
      <c r="A1" s="285" t="s">
        <v>311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9" t="s">
        <v>176</v>
      </c>
      <c r="B2" s="57"/>
      <c r="C2" s="172"/>
      <c r="D2" s="172"/>
      <c r="E2" s="172"/>
      <c r="F2" s="172"/>
      <c r="G2" s="172"/>
      <c r="H2" s="172"/>
      <c r="I2" s="173"/>
      <c r="J2" s="173"/>
      <c r="K2" s="173"/>
    </row>
    <row r="3" spans="1:11" ht="14.4" customHeight="1" thickBot="1" x14ac:dyDescent="0.35">
      <c r="A3" s="57"/>
      <c r="B3" s="57"/>
      <c r="C3" s="281"/>
      <c r="D3" s="282"/>
      <c r="E3" s="282"/>
      <c r="F3" s="282"/>
      <c r="G3" s="282"/>
      <c r="H3" s="113" t="s">
        <v>79</v>
      </c>
      <c r="I3" s="76">
        <f>IF(J3&lt;&gt;0,K3/J3,0)</f>
        <v>0.77</v>
      </c>
      <c r="J3" s="76">
        <f>SUBTOTAL(9,J5:J1048576)</f>
        <v>2000</v>
      </c>
      <c r="K3" s="77">
        <f>SUBTOTAL(9,K5:K1048576)</f>
        <v>1540</v>
      </c>
    </row>
    <row r="4" spans="1:11" s="169" customFormat="1" ht="14.4" customHeight="1" thickBot="1" x14ac:dyDescent="0.35">
      <c r="A4" s="325" t="s">
        <v>7</v>
      </c>
      <c r="B4" s="326" t="s">
        <v>8</v>
      </c>
      <c r="C4" s="326" t="s">
        <v>0</v>
      </c>
      <c r="D4" s="326" t="s">
        <v>9</v>
      </c>
      <c r="E4" s="326" t="s">
        <v>10</v>
      </c>
      <c r="F4" s="326" t="s">
        <v>2</v>
      </c>
      <c r="G4" s="326" t="s">
        <v>58</v>
      </c>
      <c r="H4" s="327" t="s">
        <v>14</v>
      </c>
      <c r="I4" s="328" t="s">
        <v>86</v>
      </c>
      <c r="J4" s="328" t="s">
        <v>16</v>
      </c>
      <c r="K4" s="329" t="s">
        <v>94</v>
      </c>
    </row>
    <row r="5" spans="1:11" ht="14.4" customHeight="1" thickBot="1" x14ac:dyDescent="0.35">
      <c r="A5" s="348" t="s">
        <v>289</v>
      </c>
      <c r="B5" s="349" t="s">
        <v>291</v>
      </c>
      <c r="C5" s="350" t="s">
        <v>295</v>
      </c>
      <c r="D5" s="351" t="s">
        <v>296</v>
      </c>
      <c r="E5" s="350" t="s">
        <v>307</v>
      </c>
      <c r="F5" s="351" t="s">
        <v>308</v>
      </c>
      <c r="G5" s="350" t="s">
        <v>309</v>
      </c>
      <c r="H5" s="350" t="s">
        <v>310</v>
      </c>
      <c r="I5" s="352">
        <v>0.77</v>
      </c>
      <c r="J5" s="352">
        <v>2000</v>
      </c>
      <c r="K5" s="353">
        <v>1540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2014-03-27T10:35:28Z</dcterms:modified>
</cp:coreProperties>
</file>