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C16" i="419"/>
  <c r="AB16" i="419"/>
  <c r="AB18" i="419" s="1"/>
  <c r="AA16" i="419"/>
  <c r="Z16" i="419"/>
  <c r="Y16" i="419"/>
  <c r="X16" i="419"/>
  <c r="X18" i="419" s="1"/>
  <c r="W16" i="419"/>
  <c r="V16" i="419"/>
  <c r="U16" i="419"/>
  <c r="T16" i="419"/>
  <c r="T18" i="419" s="1"/>
  <c r="S16" i="419"/>
  <c r="R16" i="419"/>
  <c r="Q16" i="419"/>
  <c r="P16" i="419"/>
  <c r="P18" i="419" s="1"/>
  <c r="O16" i="419"/>
  <c r="N16" i="419"/>
  <c r="M16" i="419"/>
  <c r="L16" i="419"/>
  <c r="L18" i="419" s="1"/>
  <c r="K16" i="419"/>
  <c r="J16" i="419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Z18" i="419"/>
  <c r="AD18" i="419"/>
  <c r="V18" i="419"/>
  <c r="J23" i="419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B27" i="419" s="1"/>
  <c r="C28" i="419"/>
  <c r="F27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B25" i="419" l="1"/>
  <c r="F28" i="419"/>
  <c r="B28" i="419" s="1"/>
  <c r="A7" i="339"/>
  <c r="D3" i="418" l="1"/>
  <c r="AG6" i="419" l="1"/>
  <c r="AC6" i="419"/>
  <c r="Y6" i="419"/>
  <c r="U6" i="419"/>
  <c r="Q6" i="419"/>
  <c r="M6" i="419"/>
  <c r="I6" i="419"/>
  <c r="R6" i="419"/>
  <c r="AF6" i="419"/>
  <c r="AB6" i="419"/>
  <c r="X6" i="419"/>
  <c r="T6" i="419"/>
  <c r="P6" i="419"/>
  <c r="L6" i="419"/>
  <c r="H6" i="419"/>
  <c r="K6" i="419"/>
  <c r="AD6" i="419"/>
  <c r="V6" i="419"/>
  <c r="J6" i="419"/>
  <c r="AH6" i="419"/>
  <c r="AE6" i="419"/>
  <c r="AA6" i="419"/>
  <c r="W6" i="419"/>
  <c r="S6" i="419"/>
  <c r="O6" i="419"/>
  <c r="Z6" i="419"/>
  <c r="N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7" i="414"/>
  <c r="A13" i="414"/>
  <c r="A4" i="414"/>
  <c r="A6" i="339" l="1"/>
  <c r="A5" i="339"/>
  <c r="C13" i="414"/>
  <c r="D4" i="414"/>
  <c r="C16" i="414"/>
  <c r="D16" i="414"/>
  <c r="D13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D17" i="414"/>
  <c r="C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<sst xmlns="http://schemas.openxmlformats.org/spreadsheetml/2006/main" count="702" uniqueCount="354">
  <si>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</si>
  <si>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</si>
  <si>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</si>
  <si>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</si>
  <si>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</si>
  <si>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</si>
  <si>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</si>
  <si>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</si>
  <si>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</si>
  <si>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</si>
  <si>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</si>
  <si>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</si>
  <si>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</si>
  <si>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</si>
  <si>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</si>
  <si>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</si>
  <si>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</si>
  <si>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</si>
  <si>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</si>
  <si>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</si>
  <si>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</si>
  <si>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</si>
  <si>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</si>
  <si>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</si>
  <si>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</si>
  <si>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</si>
  <si>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</si>
  <si>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</si>
  <si>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</si>
  <si>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</si>
  <si>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</si>
  <si>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</si>
  <si>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</si>
  <si>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</si>
  <si>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</si>
  <si>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</si>
  <si>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</si>
  <si>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</si>
  <si>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</si>
  <si>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</si>
  <si>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</si>
  <si>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</si>
  <si>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</si>
  <si>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</si>
  <si>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</si>
  <si>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</si>
  <si>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</si>
  <si>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</si>
  <si>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</si>
  <si>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</si>
  <si>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</si>
  <si>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</si>
  <si>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</si>
  <si>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</si>
  <si>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</si>
  <si>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</si>
  <si>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</si>
  <si>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</si>
  <si>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</si>
  <si>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</si>
  <si>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</si>
  <si>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</si>
  <si>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</si>
  <si>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</si>
  <si>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</si>
  <si>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</si>
  <si>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</si>
  <si>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</si>
  <si>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</si>
  <si>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</si>
  <si>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</si>
  <si>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</si>
  <si>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</si>
  <si>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</si>
  <si>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</si>
  <si>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</si>
  <si>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</si>
  <si>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</si>
  <si>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</si>
  <si>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</si>
  <si>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</si>
  <si>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</si>
  <si>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</si>
  <si>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</si>
  <si>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</si>
  <si>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</si>
  <si>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</si>
  <si>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</si>
  <si>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</si>
  <si>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</si>
  <si>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</si>
  <si>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</si>
  <si>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</si>
  <si>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</si>
  <si>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</si>
  <si>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</si>
  <si>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</si>
  <si>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</si>
  <si>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</si>
  <si>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</si>
  <si>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</si>
  <si>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</si>
  <si>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</si>
  <si>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</si>
  <si>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</si>
  <si>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</si>
  <si>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</si>
  <si>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</si>
  <si>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</si>
  <si>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</si>
  <si>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</si>
  <si>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</si>
  <si>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</si>
  <si>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</si>
  <si>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</si>
  <si>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</si>
  <si>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</si>
  <si>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</si>
  <si>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</si>
  <si>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</si>
  <si>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</si>
  <si>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</si>
  <si>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</si>
  <si>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</si>
  <si>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</si>
  <si>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</si>
  <si>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</si>
  <si>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</si>
  <si>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</si>
  <si>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</si>
  <si>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</si>
  <si>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</si>
  <si>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</si>
  <si>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</si>
  <si>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</si>
  <si>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</si>
  <si>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</si>
  <si>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</si>
  <si>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</si>
  <si>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</si>
  <si>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</si>
  <si>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</si>
  <si>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</si>
  <si>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</si>
  <si>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</si>
  <si>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</si>
  <si>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</si>
  <si>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</si>
  <si>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</si>
  <si>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</si>
  <si>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</si>
  <si>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</si>
  <si>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</si>
  <si>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</si>
  <si>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</si>
  <si>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</si>
  <si>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</si>
  <si>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</si>
  <si>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</si>
  <si>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</si>
  <si>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</si>
  <si>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</si>
  <si>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</si>
  <si>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</si>
  <si>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</si>
  <si>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</si>
  <si>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</si>
  <si>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</si>
  <si>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</si>
  <si>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</si>
  <si>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</si>
  <si>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</si>
  <si>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</si>
  <si>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</si>
  <si>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</si>
  <si>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</si>
  <si>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</si>
  <si>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</si>
  <si>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</si>
  <si>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</si>
  <si>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</si>
  <si>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</si>
  <si>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</si>
  <si>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</si>
  <si>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</si>
  <si>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</si>
  <si>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</si>
  <si>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</si>
  <si>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</si>
  <si>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</si>
  <si>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</si>
  <si>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</si>
  <si>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</si>
  <si>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</si>
  <si>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</si>
  <si>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</si>
  <si>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</si>
  <si>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</si>
  <si>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</si>
  <si>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</si>
  <si>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</si>
  <si>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</si>
  <si>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</si>
  <si>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</si>
  <si>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</si>
  <si>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</si>
  <si>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centrální sterilizace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</si>
  <si>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</si>
  <si>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</si>
  <si>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</si>
  <si>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</si>
  <si>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</si>
  <si>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</si>
  <si>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paušál+TISS (LEK)</t>
  </si>
  <si>
    <t>50115     Zdravotnické prostředky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</si>
  <si>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</si>
  <si>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</si>
  <si>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</si>
  <si>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</si>
  <si>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</si>
  <si>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</si>
  <si>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</si>
  <si>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</si>
  <si>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</si>
  <si>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</si>
  <si>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</si>
  <si>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</si>
  <si>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</si>
  <si>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</si>
  <si>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</si>
  <si>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</si>
  <si>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--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</si>
  <si>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</si>
  <si>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</si>
  <si>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</si>
  <si>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</si>
  <si>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</si>
  <si>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</si>
  <si>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</si>
  <si>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</si>
  <si>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</si>
  <si>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</si>
  <si>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</si>
  <si>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</si>
  <si>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</si>
  <si>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</si>
  <si>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</si>
  <si>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</si>
  <si>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</si>
  <si>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</si>
  <si>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</si>
  <si>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</si>
  <si>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</si>
  <si>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</si>
  <si>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</si>
  <si>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</si>
  <si>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</si>
  <si>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</si>
  <si>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</si>
  <si>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</si>
  <si>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</si>
  <si>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</si>
  <si>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</si>
  <si>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</si>
  <si>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</si>
  <si>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</si>
  <si>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</si>
  <si>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</si>
  <si>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</si>
  <si>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</si>
  <si>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</si>
  <si>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</si>
  <si>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</si>
  <si>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</si>
  <si>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</si>
  <si>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</si>
  <si>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</si>
  <si>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</si>
  <si>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</si>
  <si>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</si>
  <si>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</si>
  <si>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</si>
  <si>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</si>
  <si>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</si>
  <si>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</si>
  <si>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</si>
  <si>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</si>
  <si>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</si>
  <si>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</si>
  <si>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</si>
  <si>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</si>
  <si>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</si>
  <si>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</si>
  <si>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</si>
  <si>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</si>
  <si>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</si>
  <si>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</si>
  <si>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</si>
  <si>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</si>
  <si>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</si>
  <si>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</si>
  <si>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</si>
  <si>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</si>
  <si>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</si>
  <si>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</si>
  <si>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</si>
  <si>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</si>
  <si>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</si>
  <si>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</si>
  <si>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</si>
  <si>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</si>
  <si>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</si>
  <si>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</si>
  <si>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</si>
  <si>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</si>
  <si>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</si>
  <si>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</si>
  <si>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</si>
  <si>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56</t>
  </si>
  <si>
    <t>Oddělení centrální sterilizace</t>
  </si>
  <si>
    <t/>
  </si>
  <si>
    <t>Oddělení centrální sterilizace Celkem</t>
  </si>
  <si>
    <t>SumaKL</t>
  </si>
  <si>
    <t>5693</t>
  </si>
  <si>
    <t>oddělení centrální sterilizace</t>
  </si>
  <si>
    <t>oddělení centrální sterilizace Celkem</t>
  </si>
  <si>
    <t>SumaNS</t>
  </si>
  <si>
    <t>mezeraNS</t>
  </si>
  <si>
    <t>5695</t>
  </si>
  <si>
    <t>OCS - detašované pracoviště Ortopedie</t>
  </si>
  <si>
    <t>OCS - detašované pracoviště Ortopedie Celkem</t>
  </si>
  <si>
    <t>5696</t>
  </si>
  <si>
    <t>OCS - detašované pracoviště  DK</t>
  </si>
  <si>
    <t>OCS - detašované pracoviště  DK Celkem</t>
  </si>
  <si>
    <t>50113001</t>
  </si>
  <si>
    <t>O</t>
  </si>
  <si>
    <t>900503</t>
  </si>
  <si>
    <t>KL AQUA PURIF. 1000G</t>
  </si>
  <si>
    <t>930224</t>
  </si>
  <si>
    <t>KL BENZINUM 900ml/ 600g</t>
  </si>
  <si>
    <t>UN 3295</t>
  </si>
  <si>
    <t>920294</t>
  </si>
  <si>
    <t>KL SOL.FORMALDEHYDI 3% 1 KG</t>
  </si>
  <si>
    <t>Oddělení centrální sterilizace, oddělení centrální</t>
  </si>
  <si>
    <t>Lékárna - léčiva</t>
  </si>
  <si>
    <t>56 - Oddělení centrální sterilizace</t>
  </si>
  <si>
    <t>5693 - oddělení centrální sterilizace</t>
  </si>
  <si>
    <t>50115060     ostatní ZPr - mimo níže uvedené (sk.Z_503)</t>
  </si>
  <si>
    <t>ZM292</t>
  </si>
  <si>
    <t>Rukavice nitril sempercare bez p. M bal. á 200 ks 30803</t>
  </si>
  <si>
    <t>50115067</t>
  </si>
  <si>
    <t>532 SZM Rukavice (112 02 108)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</si>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</sst>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8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3" fontId="39" fillId="4" borderId="63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5" xfId="0" applyNumberFormat="1" applyFont="1" applyBorder="1"/>
    <xf numFmtId="173" fontId="32" fillId="0" borderId="69" xfId="0" applyNumberFormat="1" applyFont="1" applyBorder="1"/>
    <xf numFmtId="173" fontId="32" fillId="0" borderId="67" xfId="0" applyNumberFormat="1" applyFont="1" applyBorder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60" xfId="0" applyNumberFormat="1" applyFont="1" applyBorder="1"/>
    <xf numFmtId="173" fontId="39" fillId="2" borderId="78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1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3" xfId="0" applyNumberFormat="1" applyFont="1" applyBorder="1"/>
    <xf numFmtId="173" fontId="32" fillId="0" borderId="79" xfId="0" applyNumberFormat="1" applyFont="1" applyBorder="1"/>
    <xf numFmtId="173" fontId="32" fillId="0" borderId="57" xfId="0" applyNumberFormat="1" applyFont="1" applyBorder="1"/>
    <xf numFmtId="174" fontId="39" fillId="2" borderId="63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2" fillId="0" borderId="69" xfId="0" applyNumberFormat="1" applyFont="1" applyBorder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3" xfId="0" applyNumberFormat="1" applyFont="1" applyFill="1" applyBorder="1" applyAlignment="1">
      <alignment horizontal="center"/>
    </xf>
    <xf numFmtId="175" fontId="39" fillId="0" borderId="71" xfId="0" applyNumberFormat="1" applyFont="1" applyBorder="1"/>
    <xf numFmtId="0" fontId="31" fillId="2" borderId="86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3" xfId="53" applyNumberFormat="1" applyFont="1" applyFill="1" applyBorder="1" applyAlignment="1">
      <alignment horizontal="left"/>
    </xf>
    <xf numFmtId="164" fontId="31" fillId="2" borderId="104" xfId="53" applyNumberFormat="1" applyFont="1" applyFill="1" applyBorder="1" applyAlignment="1">
      <alignment horizontal="left"/>
    </xf>
    <xf numFmtId="164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4" fontId="32" fillId="0" borderId="57" xfId="0" applyNumberFormat="1" applyFont="1" applyFill="1" applyBorder="1"/>
    <xf numFmtId="164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4" fontId="32" fillId="0" borderId="60" xfId="0" applyNumberFormat="1" applyFont="1" applyFill="1" applyBorder="1"/>
    <xf numFmtId="164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6" xfId="0" applyFont="1" applyFill="1" applyBorder="1"/>
    <xf numFmtId="0" fontId="39" fillId="0" borderId="85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2" xfId="0" applyNumberFormat="1" applyFont="1" applyFill="1" applyBorder="1"/>
    <xf numFmtId="0" fontId="32" fillId="0" borderId="19" xfId="0" applyFont="1" applyFill="1" applyBorder="1"/>
    <xf numFmtId="0" fontId="32" fillId="0" borderId="27" xfId="0" applyFont="1" applyFill="1" applyBorder="1"/>
    <xf numFmtId="164" fontId="32" fillId="0" borderId="27" xfId="0" applyNumberFormat="1" applyFont="1" applyFill="1" applyBorder="1"/>
    <xf numFmtId="164" fontId="32" fillId="0" borderId="27" xfId="0" applyNumberFormat="1" applyFont="1" applyFill="1" applyBorder="1" applyAlignment="1">
      <alignment horizontal="right"/>
    </xf>
    <xf numFmtId="3" fontId="32" fillId="0" borderId="27" xfId="0" applyNumberFormat="1" applyFont="1" applyFill="1" applyBorder="1"/>
    <xf numFmtId="3" fontId="32" fillId="0" borderId="20" xfId="0" applyNumberFormat="1" applyFont="1" applyFill="1" applyBorder="1"/>
    <xf numFmtId="173" fontId="39" fillId="4" borderId="105" xfId="0" applyNumberFormat="1" applyFont="1" applyFill="1" applyBorder="1" applyAlignment="1">
      <alignment horizontal="center"/>
    </xf>
    <xf numFmtId="173" fontId="39" fillId="4" borderId="106" xfId="0" applyNumberFormat="1" applyFont="1" applyFill="1" applyBorder="1" applyAlignment="1">
      <alignment horizontal="center"/>
    </xf>
    <xf numFmtId="173" fontId="32" fillId="0" borderId="107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 wrapText="1"/>
    </xf>
    <xf numFmtId="175" fontId="32" fillId="0" borderId="107" xfId="0" applyNumberFormat="1" applyFont="1" applyBorder="1" applyAlignment="1">
      <alignment horizontal="right"/>
    </xf>
    <xf numFmtId="175" fontId="32" fillId="0" borderId="108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4" fontId="32" fillId="2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111" xfId="0" applyNumberFormat="1" applyFont="1" applyBorder="1"/>
    <xf numFmtId="173" fontId="39" fillId="4" borderId="83" xfId="0" applyNumberFormat="1" applyFont="1" applyFill="1" applyBorder="1" applyAlignment="1"/>
    <xf numFmtId="173" fontId="32" fillId="0" borderId="81" xfId="0" applyNumberFormat="1" applyFont="1" applyBorder="1"/>
    <xf numFmtId="173" fontId="32" fillId="0" borderId="82" xfId="0" applyNumberFormat="1" applyFont="1" applyBorder="1"/>
    <xf numFmtId="173" fontId="39" fillId="2" borderId="83" xfId="0" applyNumberFormat="1" applyFont="1" applyFill="1" applyBorder="1" applyAlignment="1"/>
    <xf numFmtId="173" fontId="32" fillId="0" borderId="111" xfId="0" applyNumberFormat="1" applyFont="1" applyBorder="1"/>
    <xf numFmtId="173" fontId="32" fillId="0" borderId="83" xfId="0" applyNumberFormat="1" applyFont="1" applyBorder="1"/>
    <xf numFmtId="9" fontId="32" fillId="0" borderId="81" xfId="0" applyNumberFormat="1" applyFont="1" applyBorder="1"/>
    <xf numFmtId="173" fontId="39" fillId="4" borderId="112" xfId="0" applyNumberFormat="1" applyFont="1" applyFill="1" applyBorder="1" applyAlignment="1">
      <alignment horizontal="center"/>
    </xf>
    <xf numFmtId="173" fontId="32" fillId="0" borderId="113" xfId="0" applyNumberFormat="1" applyFont="1" applyBorder="1" applyAlignment="1">
      <alignment horizontal="right"/>
    </xf>
    <xf numFmtId="175" fontId="32" fillId="0" borderId="113" xfId="0" applyNumberFormat="1" applyFont="1" applyBorder="1" applyAlignment="1">
      <alignment horizontal="right"/>
    </xf>
    <xf numFmtId="173" fontId="32" fillId="0" borderId="114" xfId="0" applyNumberFormat="1" applyFont="1" applyBorder="1" applyAlignment="1">
      <alignment horizontal="right"/>
    </xf>
    <xf numFmtId="0" fontId="0" fillId="0" borderId="15" xfId="0" applyBorder="1"/>
    <xf numFmtId="173" fontId="39" fillId="4" borderId="62" xfId="0" applyNumberFormat="1" applyFont="1" applyFill="1" applyBorder="1" applyAlignment="1">
      <alignment horizontal="center"/>
    </xf>
    <xf numFmtId="173" fontId="32" fillId="0" borderId="64" xfId="0" applyNumberFormat="1" applyFont="1" applyBorder="1" applyAlignment="1">
      <alignment horizontal="right"/>
    </xf>
    <xf numFmtId="175" fontId="32" fillId="0" borderId="64" xfId="0" applyNumberFormat="1" applyFont="1" applyBorder="1" applyAlignment="1">
      <alignment horizontal="right"/>
    </xf>
    <xf numFmtId="173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1" t="s">
        <v>63</v>
      </c>
      <c r="B1" s="261"/>
    </row>
    <row r="2" spans="1:3" ht="14.4" customHeight="1" thickBot="1" x14ac:dyDescent="0.35">
      <c r="A2" s="175" t="s">
        <v>206</v>
      </c>
      <c r="B2" s="41"/>
    </row>
    <row r="3" spans="1:3" ht="14.4" customHeight="1" thickBot="1" x14ac:dyDescent="0.35">
      <c r="A3" s="257" t="s">
        <v>79</v>
      </c>
      <c r="B3" s="25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208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9" t="s">
        <v>64</v>
      </c>
      <c r="B9" s="25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9" t="s">
        <v>172</v>
      </c>
      <c r="C12" s="42" t="s">
        <v>182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352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60" t="s">
        <v>65</v>
      </c>
      <c r="B17" s="25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97" t="s">
        <v>352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4.4" customHeight="1" thickBot="1" x14ac:dyDescent="0.35">
      <c r="A2" s="175" t="s">
        <v>206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93"/>
      <c r="D3" s="294"/>
      <c r="E3" s="294"/>
      <c r="F3" s="294"/>
      <c r="G3" s="294"/>
      <c r="H3" s="108" t="s">
        <v>75</v>
      </c>
      <c r="I3" s="71">
        <f>IF(J3&lt;&gt;0,K3/J3,0)</f>
        <v>0.71</v>
      </c>
      <c r="J3" s="71">
        <f>SUBTOTAL(9,J5:J1048576)</f>
        <v>4000</v>
      </c>
      <c r="K3" s="72">
        <f>SUBTOTAL(9,K5:K1048576)</f>
        <v>2840</v>
      </c>
    </row>
    <row r="4" spans="1:11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54</v>
      </c>
      <c r="H4" s="343" t="s">
        <v>10</v>
      </c>
      <c r="I4" s="344" t="s">
        <v>81</v>
      </c>
      <c r="J4" s="344" t="s">
        <v>12</v>
      </c>
      <c r="K4" s="345" t="s">
        <v>89</v>
      </c>
    </row>
    <row r="5" spans="1:11" ht="14.4" customHeight="1" thickBot="1" x14ac:dyDescent="0.35">
      <c r="A5" s="382" t="s">
        <v>318</v>
      </c>
      <c r="B5" s="383" t="s">
        <v>319</v>
      </c>
      <c r="C5" s="384" t="s">
        <v>323</v>
      </c>
      <c r="D5" s="385" t="s">
        <v>343</v>
      </c>
      <c r="E5" s="384" t="s">
        <v>350</v>
      </c>
      <c r="F5" s="385" t="s">
        <v>351</v>
      </c>
      <c r="G5" s="384" t="s">
        <v>348</v>
      </c>
      <c r="H5" s="384" t="s">
        <v>349</v>
      </c>
      <c r="I5" s="386">
        <v>0.71</v>
      </c>
      <c r="J5" s="386">
        <v>4000</v>
      </c>
      <c r="K5" s="387">
        <v>2840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5" width="13.109375" hidden="1" customWidth="1"/>
    <col min="6" max="6" width="13.109375" customWidth="1"/>
    <col min="7" max="24" width="13.109375" hidden="1" customWidth="1"/>
    <col min="25" max="25" width="13.109375" customWidth="1"/>
    <col min="26" max="29" width="13.109375" hidden="1" customWidth="1"/>
    <col min="30" max="30" width="13.109375" customWidth="1"/>
    <col min="31" max="34" width="13.109375" hidden="1" customWidth="1"/>
  </cols>
  <sheetData>
    <row r="1" spans="1:35" ht="18.600000000000001" thickBot="1" x14ac:dyDescent="0.4">
      <c r="A1" s="305" t="s">
        <v>61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</row>
    <row r="2" spans="1:35" ht="15" thickBot="1" x14ac:dyDescent="0.35">
      <c r="A2" s="175" t="s">
        <v>206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</row>
    <row r="3" spans="1:35" x14ac:dyDescent="0.3">
      <c r="A3" s="194" t="s">
        <v>132</v>
      </c>
      <c r="B3" s="306" t="s">
        <v>113</v>
      </c>
      <c r="C3" s="177">
        <v>0</v>
      </c>
      <c r="D3" s="178">
        <v>101</v>
      </c>
      <c r="E3" s="178">
        <v>102</v>
      </c>
      <c r="F3" s="197">
        <v>305</v>
      </c>
      <c r="G3" s="197">
        <v>306</v>
      </c>
      <c r="H3" s="197">
        <v>407</v>
      </c>
      <c r="I3" s="197">
        <v>408</v>
      </c>
      <c r="J3" s="197">
        <v>409</v>
      </c>
      <c r="K3" s="197">
        <v>410</v>
      </c>
      <c r="L3" s="197">
        <v>415</v>
      </c>
      <c r="M3" s="197">
        <v>416</v>
      </c>
      <c r="N3" s="197">
        <v>418</v>
      </c>
      <c r="O3" s="197">
        <v>419</v>
      </c>
      <c r="P3" s="197">
        <v>420</v>
      </c>
      <c r="Q3" s="197">
        <v>421</v>
      </c>
      <c r="R3" s="197">
        <v>522</v>
      </c>
      <c r="S3" s="197">
        <v>523</v>
      </c>
      <c r="T3" s="197">
        <v>524</v>
      </c>
      <c r="U3" s="197">
        <v>525</v>
      </c>
      <c r="V3" s="197">
        <v>526</v>
      </c>
      <c r="W3" s="197">
        <v>527</v>
      </c>
      <c r="X3" s="197">
        <v>528</v>
      </c>
      <c r="Y3" s="197">
        <v>629</v>
      </c>
      <c r="Z3" s="197">
        <v>630</v>
      </c>
      <c r="AA3" s="197">
        <v>636</v>
      </c>
      <c r="AB3" s="197">
        <v>637</v>
      </c>
      <c r="AC3" s="197">
        <v>640</v>
      </c>
      <c r="AD3" s="197">
        <v>642</v>
      </c>
      <c r="AE3" s="197">
        <v>743</v>
      </c>
      <c r="AF3" s="178">
        <v>745</v>
      </c>
      <c r="AG3" s="178">
        <v>746</v>
      </c>
      <c r="AH3" s="397">
        <v>930</v>
      </c>
      <c r="AI3" s="413"/>
    </row>
    <row r="4" spans="1:35" ht="36.6" outlineLevel="1" thickBot="1" x14ac:dyDescent="0.35">
      <c r="A4" s="195">
        <v>2015</v>
      </c>
      <c r="B4" s="307"/>
      <c r="C4" s="179" t="s">
        <v>114</v>
      </c>
      <c r="D4" s="180" t="s">
        <v>115</v>
      </c>
      <c r="E4" s="180" t="s">
        <v>116</v>
      </c>
      <c r="F4" s="198" t="s">
        <v>144</v>
      </c>
      <c r="G4" s="198" t="s">
        <v>145</v>
      </c>
      <c r="H4" s="198" t="s">
        <v>205</v>
      </c>
      <c r="I4" s="198" t="s">
        <v>146</v>
      </c>
      <c r="J4" s="198" t="s">
        <v>147</v>
      </c>
      <c r="K4" s="198" t="s">
        <v>148</v>
      </c>
      <c r="L4" s="198" t="s">
        <v>149</v>
      </c>
      <c r="M4" s="198" t="s">
        <v>150</v>
      </c>
      <c r="N4" s="198" t="s">
        <v>151</v>
      </c>
      <c r="O4" s="198" t="s">
        <v>152</v>
      </c>
      <c r="P4" s="198" t="s">
        <v>153</v>
      </c>
      <c r="Q4" s="198" t="s">
        <v>154</v>
      </c>
      <c r="R4" s="198" t="s">
        <v>155</v>
      </c>
      <c r="S4" s="198" t="s">
        <v>156</v>
      </c>
      <c r="T4" s="198" t="s">
        <v>157</v>
      </c>
      <c r="U4" s="198" t="s">
        <v>158</v>
      </c>
      <c r="V4" s="198" t="s">
        <v>159</v>
      </c>
      <c r="W4" s="198" t="s">
        <v>160</v>
      </c>
      <c r="X4" s="198" t="s">
        <v>169</v>
      </c>
      <c r="Y4" s="198" t="s">
        <v>161</v>
      </c>
      <c r="Z4" s="198" t="s">
        <v>170</v>
      </c>
      <c r="AA4" s="198" t="s">
        <v>162</v>
      </c>
      <c r="AB4" s="198" t="s">
        <v>163</v>
      </c>
      <c r="AC4" s="198" t="s">
        <v>164</v>
      </c>
      <c r="AD4" s="198" t="s">
        <v>165</v>
      </c>
      <c r="AE4" s="198" t="s">
        <v>166</v>
      </c>
      <c r="AF4" s="180" t="s">
        <v>167</v>
      </c>
      <c r="AG4" s="180" t="s">
        <v>168</v>
      </c>
      <c r="AH4" s="398" t="s">
        <v>134</v>
      </c>
      <c r="AI4" s="413"/>
    </row>
    <row r="5" spans="1:35" x14ac:dyDescent="0.3">
      <c r="A5" s="181" t="s">
        <v>117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399"/>
      <c r="AI5" s="413"/>
    </row>
    <row r="6" spans="1:35" ht="15" collapsed="1" thickBot="1" x14ac:dyDescent="0.35">
      <c r="A6" s="182" t="s">
        <v>55</v>
      </c>
      <c r="B6" s="220">
        <f xml:space="preserve">
TRUNC(IF($A$4&lt;=12,SUMIFS('ON Data'!F:F,'ON Data'!$D:$D,$A$4,'ON Data'!$E:$E,1),SUMIFS('ON Data'!F:F,'ON Data'!$E:$E,1)/'ON Data'!$D$3),1)</f>
        <v>33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0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Data'!K:K,'ON Data'!$D:$D,$A$4,'ON Data'!$E:$E,1),SUMIFS('ON Data'!K:K,'ON Data'!$E:$E,1)/'ON Data'!$D$3),1)</f>
        <v>16</v>
      </c>
      <c r="G6" s="222">
        <f xml:space="preserve">
TRUNC(IF($A$4&lt;=12,SUMIFS('ON Data'!L:L,'ON Data'!$D:$D,$A$4,'ON Data'!$E:$E,1),SUMIFS('ON Data'!L:L,'ON Data'!$E:$E,1)/'ON Data'!$D$3),1)</f>
        <v>0</v>
      </c>
      <c r="H6" s="222">
        <f xml:space="preserve">
TRUNC(IF($A$4&lt;=12,SUMIFS('ON Data'!M:M,'ON Data'!$D:$D,$A$4,'ON Data'!$E:$E,1),SUMIFS('ON Data'!M:M,'ON Data'!$E:$E,1)/'ON Data'!$D$3),1)</f>
        <v>0</v>
      </c>
      <c r="I6" s="222">
        <f xml:space="preserve">
TRUNC(IF($A$4&lt;=12,SUMIFS('ON Data'!N:N,'ON Data'!$D:$D,$A$4,'ON Data'!$E:$E,1),SUMIFS('ON Data'!N:N,'ON Data'!$E:$E,1)/'ON Data'!$D$3),1)</f>
        <v>0</v>
      </c>
      <c r="J6" s="222">
        <f xml:space="preserve">
TRUNC(IF($A$4&lt;=12,SUMIFS('ON Data'!O:O,'ON Data'!$D:$D,$A$4,'ON Data'!$E:$E,1),SUMIFS('ON Data'!O:O,'ON Data'!$E:$E,1)/'ON Data'!$D$3),1)</f>
        <v>0</v>
      </c>
      <c r="K6" s="222">
        <f xml:space="preserve">
TRUNC(IF($A$4&lt;=12,SUMIFS('ON Data'!P:P,'ON Data'!$D:$D,$A$4,'ON Data'!$E:$E,1),SUMIFS('ON Data'!P:P,'ON Data'!$E:$E,1)/'ON Data'!$D$3),1)</f>
        <v>0</v>
      </c>
      <c r="L6" s="222">
        <f xml:space="preserve">
TRUNC(IF($A$4&lt;=12,SUMIFS('ON Data'!Q:Q,'ON Data'!$D:$D,$A$4,'ON Data'!$E:$E,1),SUMIFS('ON Data'!Q:Q,'ON Data'!$E:$E,1)/'ON Data'!$D$3),1)</f>
        <v>0</v>
      </c>
      <c r="M6" s="222">
        <f xml:space="preserve">
TRUNC(IF($A$4&lt;=12,SUMIFS('ON Data'!R:R,'ON Data'!$D:$D,$A$4,'ON Data'!$E:$E,1),SUMIFS('ON Data'!R:R,'ON Data'!$E:$E,1)/'ON Data'!$D$3),1)</f>
        <v>0</v>
      </c>
      <c r="N6" s="222">
        <f xml:space="preserve">
TRUNC(IF($A$4&lt;=12,SUMIFS('ON Data'!S:S,'ON Data'!$D:$D,$A$4,'ON Data'!$E:$E,1),SUMIFS('ON Data'!S:S,'ON Data'!$E:$E,1)/'ON Data'!$D$3),1)</f>
        <v>0</v>
      </c>
      <c r="O6" s="222">
        <f xml:space="preserve">
TRUNC(IF($A$4&lt;=12,SUMIFS('ON Data'!T:T,'ON Data'!$D:$D,$A$4,'ON Data'!$E:$E,1),SUMIFS('ON Data'!T:T,'ON Data'!$E:$E,1)/'ON Data'!$D$3),1)</f>
        <v>0</v>
      </c>
      <c r="P6" s="222">
        <f xml:space="preserve">
TRUNC(IF($A$4&lt;=12,SUMIFS('ON Data'!U:U,'ON Data'!$D:$D,$A$4,'ON Data'!$E:$E,1),SUMIFS('ON Data'!U:U,'ON Data'!$E:$E,1)/'ON Data'!$D$3),1)</f>
        <v>0</v>
      </c>
      <c r="Q6" s="222">
        <f xml:space="preserve">
TRUNC(IF($A$4&lt;=12,SUMIFS('ON Data'!V:V,'ON Data'!$D:$D,$A$4,'ON Data'!$E:$E,1),SUMIFS('ON Data'!V:V,'ON Data'!$E:$E,1)/'ON Data'!$D$3),1)</f>
        <v>0</v>
      </c>
      <c r="R6" s="222">
        <f xml:space="preserve">
TRUNC(IF($A$4&lt;=12,SUMIFS('ON Data'!W:W,'ON Data'!$D:$D,$A$4,'ON Data'!$E:$E,1),SUMIFS('ON Data'!W:W,'ON Data'!$E:$E,1)/'ON Data'!$D$3),1)</f>
        <v>0</v>
      </c>
      <c r="S6" s="222">
        <f xml:space="preserve">
TRUNC(IF($A$4&lt;=12,SUMIFS('ON Data'!X:X,'ON Data'!$D:$D,$A$4,'ON Data'!$E:$E,1),SUMIFS('ON Data'!X:X,'ON Data'!$E:$E,1)/'ON Data'!$D$3),1)</f>
        <v>0</v>
      </c>
      <c r="T6" s="222">
        <f xml:space="preserve">
TRUNC(IF($A$4&lt;=12,SUMIFS('ON Data'!Y:Y,'ON Data'!$D:$D,$A$4,'ON Data'!$E:$E,1),SUMIFS('ON Data'!Y:Y,'ON Data'!$E:$E,1)/'ON Data'!$D$3),1)</f>
        <v>0</v>
      </c>
      <c r="U6" s="222">
        <f xml:space="preserve">
TRUNC(IF($A$4&lt;=12,SUMIFS('ON Data'!Z:Z,'ON Data'!$D:$D,$A$4,'ON Data'!$E:$E,1),SUMIFS('ON Data'!Z:Z,'ON Data'!$E:$E,1)/'ON Data'!$D$3),1)</f>
        <v>0</v>
      </c>
      <c r="V6" s="222">
        <f xml:space="preserve">
TRUNC(IF($A$4&lt;=12,SUMIFS('ON Data'!AA:AA,'ON Data'!$D:$D,$A$4,'ON Data'!$E:$E,1),SUMIFS('ON Data'!AA:AA,'ON Data'!$E:$E,1)/'ON Data'!$D$3),1)</f>
        <v>0</v>
      </c>
      <c r="W6" s="222">
        <f xml:space="preserve">
TRUNC(IF($A$4&lt;=12,SUMIFS('ON Data'!AB:AB,'ON Data'!$D:$D,$A$4,'ON Data'!$E:$E,1),SUMIFS('ON Data'!AB:AB,'ON Data'!$E:$E,1)/'ON Data'!$D$3),1)</f>
        <v>0</v>
      </c>
      <c r="X6" s="222">
        <f xml:space="preserve">
TRUNC(IF($A$4&lt;=12,SUMIFS('ON Data'!AC:AC,'ON Data'!$D:$D,$A$4,'ON Data'!$E:$E,1),SUMIFS('ON Data'!AC:AC,'ON Data'!$E:$E,1)/'ON Data'!$D$3),1)</f>
        <v>0</v>
      </c>
      <c r="Y6" s="222">
        <f xml:space="preserve">
TRUNC(IF($A$4&lt;=12,SUMIFS('ON Data'!AD:AD,'ON Data'!$D:$D,$A$4,'ON Data'!$E:$E,1),SUMIFS('ON Data'!AD:AD,'ON Data'!$E:$E,1)/'ON Data'!$D$3),1)</f>
        <v>5</v>
      </c>
      <c r="Z6" s="222">
        <f xml:space="preserve">
TRUNC(IF($A$4&lt;=12,SUMIFS('ON Data'!AE:AE,'ON Data'!$D:$D,$A$4,'ON Data'!$E:$E,1),SUMIFS('ON Data'!AE:AE,'ON Data'!$E:$E,1)/'ON Data'!$D$3),1)</f>
        <v>0</v>
      </c>
      <c r="AA6" s="222">
        <f xml:space="preserve">
TRUNC(IF($A$4&lt;=12,SUMIFS('ON Data'!AF:AF,'ON Data'!$D:$D,$A$4,'ON Data'!$E:$E,1),SUMIFS('ON Data'!AF:AF,'ON Data'!$E:$E,1)/'ON Data'!$D$3),1)</f>
        <v>0</v>
      </c>
      <c r="AB6" s="222">
        <f xml:space="preserve">
TRUNC(IF($A$4&lt;=12,SUMIFS('ON Data'!AG:AG,'ON Data'!$D:$D,$A$4,'ON Data'!$E:$E,1),SUMIFS('ON Data'!AG:AG,'ON Data'!$E:$E,1)/'ON Data'!$D$3),1)</f>
        <v>0</v>
      </c>
      <c r="AC6" s="222">
        <f xml:space="preserve">
TRUNC(IF($A$4&lt;=12,SUMIFS('ON Data'!AH:AH,'ON Data'!$D:$D,$A$4,'ON Data'!$E:$E,1),SUMIFS('ON Data'!AH:AH,'ON Data'!$E:$E,1)/'ON Data'!$D$3),1)</f>
        <v>0</v>
      </c>
      <c r="AD6" s="222">
        <f xml:space="preserve">
TRUNC(IF($A$4&lt;=12,SUMIFS('ON Data'!AI:AI,'ON Data'!$D:$D,$A$4,'ON Data'!$E:$E,1),SUMIFS('ON Data'!AI:AI,'ON Data'!$E:$E,1)/'ON Data'!$D$3),1)</f>
        <v>12</v>
      </c>
      <c r="AE6" s="222">
        <f xml:space="preserve">
TRUNC(IF($A$4&lt;=12,SUMIFS('ON Data'!AJ:AJ,'ON Data'!$D:$D,$A$4,'ON Data'!$E:$E,1),SUMIFS('ON Data'!AJ:AJ,'ON Data'!$E:$E,1)/'ON Data'!$D$3),1)</f>
        <v>0</v>
      </c>
      <c r="AF6" s="222">
        <f xml:space="preserve">
TRUNC(IF($A$4&lt;=12,SUMIFS('ON Data'!AK:AK,'ON Data'!$D:$D,$A$4,'ON Data'!$E:$E,1),SUMIFS('ON Data'!AK:AK,'ON Data'!$E:$E,1)/'ON Data'!$D$3),1)</f>
        <v>0</v>
      </c>
      <c r="AG6" s="222">
        <f xml:space="preserve">
TRUNC(IF($A$4&lt;=12,SUMIFS('ON Data'!AL:AL,'ON Data'!$D:$D,$A$4,'ON Data'!$E:$E,1),SUMIFS('ON Data'!AL:AL,'ON Data'!$E:$E,1)/'ON Data'!$D$3),1)</f>
        <v>0</v>
      </c>
      <c r="AH6" s="400">
        <f xml:space="preserve">
TRUNC(IF($A$4&lt;=12,SUMIFS('ON Data'!AN:AN,'ON Data'!$D:$D,$A$4,'ON Data'!$E:$E,1),SUMIFS('ON Data'!AN:AN,'ON Data'!$E:$E,1)/'ON Data'!$D$3),1)</f>
        <v>0</v>
      </c>
      <c r="AI6" s="413"/>
    </row>
    <row r="7" spans="1:35" ht="15" hidden="1" outlineLevel="1" thickBot="1" x14ac:dyDescent="0.35">
      <c r="A7" s="182" t="s">
        <v>62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400"/>
      <c r="AI7" s="413"/>
    </row>
    <row r="8" spans="1:35" ht="15" hidden="1" outlineLevel="1" thickBot="1" x14ac:dyDescent="0.35">
      <c r="A8" s="182" t="s">
        <v>57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400"/>
      <c r="AI8" s="413"/>
    </row>
    <row r="9" spans="1:35" ht="15" hidden="1" outlineLevel="1" thickBot="1" x14ac:dyDescent="0.35">
      <c r="A9" s="183" t="s">
        <v>52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401"/>
      <c r="AI9" s="413"/>
    </row>
    <row r="10" spans="1:35" x14ac:dyDescent="0.3">
      <c r="A10" s="184" t="s">
        <v>118</v>
      </c>
      <c r="B10" s="199"/>
      <c r="C10" s="200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402"/>
      <c r="AI10" s="413"/>
    </row>
    <row r="11" spans="1:35" x14ac:dyDescent="0.3">
      <c r="A11" s="185" t="s">
        <v>119</v>
      </c>
      <c r="B11" s="202">
        <f xml:space="preserve">
IF($A$4&lt;=12,SUMIFS('ON Data'!F:F,'ON Data'!$D:$D,$A$4,'ON Data'!$E:$E,2),SUMIFS('ON Data'!F:F,'ON Data'!$E:$E,2))</f>
        <v>28389.25</v>
      </c>
      <c r="C11" s="203">
        <f xml:space="preserve">
IF($A$4&lt;=12,SUMIFS('ON Data'!G:G,'ON Data'!$D:$D,$A$4,'ON Data'!$E:$E,2),SUMIFS('ON Data'!G:G,'ON Data'!$E:$E,2))</f>
        <v>0</v>
      </c>
      <c r="D11" s="204">
        <f xml:space="preserve">
IF($A$4&lt;=12,SUMIFS('ON Data'!H:H,'ON Data'!$D:$D,$A$4,'ON Data'!$E:$E,2),SUMIFS('ON Data'!H:H,'ON Data'!$E:$E,2))</f>
        <v>0</v>
      </c>
      <c r="E11" s="204">
        <f xml:space="preserve">
IF($A$4&lt;=12,SUMIFS('ON Data'!I:I,'ON Data'!$D:$D,$A$4,'ON Data'!$E:$E,2),SUMIFS('ON Data'!I:I,'ON Data'!$E:$E,2))</f>
        <v>0</v>
      </c>
      <c r="F11" s="204">
        <f xml:space="preserve">
IF($A$4&lt;=12,SUMIFS('ON Data'!K:K,'ON Data'!$D:$D,$A$4,'ON Data'!$E:$E,2),SUMIFS('ON Data'!K:K,'ON Data'!$E:$E,2))</f>
        <v>13609.25</v>
      </c>
      <c r="G11" s="204">
        <f xml:space="preserve">
IF($A$4&lt;=12,SUMIFS('ON Data'!L:L,'ON Data'!$D:$D,$A$4,'ON Data'!$E:$E,2),SUMIFS('ON Data'!L:L,'ON Data'!$E:$E,2))</f>
        <v>0</v>
      </c>
      <c r="H11" s="204">
        <f xml:space="preserve">
IF($A$4&lt;=12,SUMIFS('ON Data'!M:M,'ON Data'!$D:$D,$A$4,'ON Data'!$E:$E,2),SUMIFS('ON Data'!M:M,'ON Data'!$E:$E,2))</f>
        <v>0</v>
      </c>
      <c r="I11" s="204">
        <f xml:space="preserve">
IF($A$4&lt;=12,SUMIFS('ON Data'!N:N,'ON Data'!$D:$D,$A$4,'ON Data'!$E:$E,2),SUMIFS('ON Data'!N:N,'ON Data'!$E:$E,2))</f>
        <v>0</v>
      </c>
      <c r="J11" s="204">
        <f xml:space="preserve">
IF($A$4&lt;=12,SUMIFS('ON Data'!O:O,'ON Data'!$D:$D,$A$4,'ON Data'!$E:$E,2),SUMIFS('ON Data'!O:O,'ON Data'!$E:$E,2))</f>
        <v>0</v>
      </c>
      <c r="K11" s="204">
        <f xml:space="preserve">
IF($A$4&lt;=12,SUMIFS('ON Data'!P:P,'ON Data'!$D:$D,$A$4,'ON Data'!$E:$E,2),SUMIFS('ON Data'!P:P,'ON Data'!$E:$E,2))</f>
        <v>0</v>
      </c>
      <c r="L11" s="204">
        <f xml:space="preserve">
IF($A$4&lt;=12,SUMIFS('ON Data'!Q:Q,'ON Data'!$D:$D,$A$4,'ON Data'!$E:$E,2),SUMIFS('ON Data'!Q:Q,'ON Data'!$E:$E,2))</f>
        <v>0</v>
      </c>
      <c r="M11" s="204">
        <f xml:space="preserve">
IF($A$4&lt;=12,SUMIFS('ON Data'!R:R,'ON Data'!$D:$D,$A$4,'ON Data'!$E:$E,2),SUMIFS('ON Data'!R:R,'ON Data'!$E:$E,2))</f>
        <v>0</v>
      </c>
      <c r="N11" s="204">
        <f xml:space="preserve">
IF($A$4&lt;=12,SUMIFS('ON Data'!S:S,'ON Data'!$D:$D,$A$4,'ON Data'!$E:$E,2),SUMIFS('ON Data'!S:S,'ON Data'!$E:$E,2))</f>
        <v>0</v>
      </c>
      <c r="O11" s="204">
        <f xml:space="preserve">
IF($A$4&lt;=12,SUMIFS('ON Data'!T:T,'ON Data'!$D:$D,$A$4,'ON Data'!$E:$E,2),SUMIFS('ON Data'!T:T,'ON Data'!$E:$E,2))</f>
        <v>0</v>
      </c>
      <c r="P11" s="204">
        <f xml:space="preserve">
IF($A$4&lt;=12,SUMIFS('ON Data'!U:U,'ON Data'!$D:$D,$A$4,'ON Data'!$E:$E,2),SUMIFS('ON Data'!U:U,'ON Data'!$E:$E,2))</f>
        <v>0</v>
      </c>
      <c r="Q11" s="204">
        <f xml:space="preserve">
IF($A$4&lt;=12,SUMIFS('ON Data'!V:V,'ON Data'!$D:$D,$A$4,'ON Data'!$E:$E,2),SUMIFS('ON Data'!V:V,'ON Data'!$E:$E,2))</f>
        <v>0</v>
      </c>
      <c r="R11" s="204">
        <f xml:space="preserve">
IF($A$4&lt;=12,SUMIFS('ON Data'!W:W,'ON Data'!$D:$D,$A$4,'ON Data'!$E:$E,2),SUMIFS('ON Data'!W:W,'ON Data'!$E:$E,2))</f>
        <v>0</v>
      </c>
      <c r="S11" s="204">
        <f xml:space="preserve">
IF($A$4&lt;=12,SUMIFS('ON Data'!X:X,'ON Data'!$D:$D,$A$4,'ON Data'!$E:$E,2),SUMIFS('ON Data'!X:X,'ON Data'!$E:$E,2))</f>
        <v>0</v>
      </c>
      <c r="T11" s="204">
        <f xml:space="preserve">
IF($A$4&lt;=12,SUMIFS('ON Data'!Y:Y,'ON Data'!$D:$D,$A$4,'ON Data'!$E:$E,2),SUMIFS('ON Data'!Y:Y,'ON Data'!$E:$E,2))</f>
        <v>0</v>
      </c>
      <c r="U11" s="204">
        <f xml:space="preserve">
IF($A$4&lt;=12,SUMIFS('ON Data'!Z:Z,'ON Data'!$D:$D,$A$4,'ON Data'!$E:$E,2),SUMIFS('ON Data'!Z:Z,'ON Data'!$E:$E,2))</f>
        <v>0</v>
      </c>
      <c r="V11" s="204">
        <f xml:space="preserve">
IF($A$4&lt;=12,SUMIFS('ON Data'!AA:AA,'ON Data'!$D:$D,$A$4,'ON Data'!$E:$E,2),SUMIFS('ON Data'!AA:AA,'ON Data'!$E:$E,2))</f>
        <v>0</v>
      </c>
      <c r="W11" s="204">
        <f xml:space="preserve">
IF($A$4&lt;=12,SUMIFS('ON Data'!AB:AB,'ON Data'!$D:$D,$A$4,'ON Data'!$E:$E,2),SUMIFS('ON Data'!AB:AB,'ON Data'!$E:$E,2))</f>
        <v>0</v>
      </c>
      <c r="X11" s="204">
        <f xml:space="preserve">
IF($A$4&lt;=12,SUMIFS('ON Data'!AC:AC,'ON Data'!$D:$D,$A$4,'ON Data'!$E:$E,2),SUMIFS('ON Data'!AC:AC,'ON Data'!$E:$E,2))</f>
        <v>0</v>
      </c>
      <c r="Y11" s="204">
        <f xml:space="preserve">
IF($A$4&lt;=12,SUMIFS('ON Data'!AD:AD,'ON Data'!$D:$D,$A$4,'ON Data'!$E:$E,2),SUMIFS('ON Data'!AD:AD,'ON Data'!$E:$E,2))</f>
        <v>4552</v>
      </c>
      <c r="Z11" s="204">
        <f xml:space="preserve">
IF($A$4&lt;=12,SUMIFS('ON Data'!AE:AE,'ON Data'!$D:$D,$A$4,'ON Data'!$E:$E,2),SUMIFS('ON Data'!AE:AE,'ON Data'!$E:$E,2))</f>
        <v>0</v>
      </c>
      <c r="AA11" s="204">
        <f xml:space="preserve">
IF($A$4&lt;=12,SUMIFS('ON Data'!AF:AF,'ON Data'!$D:$D,$A$4,'ON Data'!$E:$E,2),SUMIFS('ON Data'!AF:AF,'ON Data'!$E:$E,2))</f>
        <v>0</v>
      </c>
      <c r="AB11" s="204">
        <f xml:space="preserve">
IF($A$4&lt;=12,SUMIFS('ON Data'!AG:AG,'ON Data'!$D:$D,$A$4,'ON Data'!$E:$E,2),SUMIFS('ON Data'!AG:AG,'ON Data'!$E:$E,2))</f>
        <v>0</v>
      </c>
      <c r="AC11" s="204">
        <f xml:space="preserve">
IF($A$4&lt;=12,SUMIFS('ON Data'!AH:AH,'ON Data'!$D:$D,$A$4,'ON Data'!$E:$E,2),SUMIFS('ON Data'!AH:AH,'ON Data'!$E:$E,2))</f>
        <v>0</v>
      </c>
      <c r="AD11" s="204">
        <f xml:space="preserve">
IF($A$4&lt;=12,SUMIFS('ON Data'!AI:AI,'ON Data'!$D:$D,$A$4,'ON Data'!$E:$E,2),SUMIFS('ON Data'!AI:AI,'ON Data'!$E:$E,2))</f>
        <v>10228</v>
      </c>
      <c r="AE11" s="204">
        <f xml:space="preserve">
IF($A$4&lt;=12,SUMIFS('ON Data'!AJ:AJ,'ON Data'!$D:$D,$A$4,'ON Data'!$E:$E,2),SUMIFS('ON Data'!AJ:AJ,'ON Data'!$E:$E,2))</f>
        <v>0</v>
      </c>
      <c r="AF11" s="204">
        <f xml:space="preserve">
IF($A$4&lt;=12,SUMIFS('ON Data'!AK:AK,'ON Data'!$D:$D,$A$4,'ON Data'!$E:$E,2),SUMIFS('ON Data'!AK:AK,'ON Data'!$E:$E,2))</f>
        <v>0</v>
      </c>
      <c r="AG11" s="204">
        <f xml:space="preserve">
IF($A$4&lt;=12,SUMIFS('ON Data'!AL:AL,'ON Data'!$D:$D,$A$4,'ON Data'!$E:$E,2),SUMIFS('ON Data'!AL:AL,'ON Data'!$E:$E,2))</f>
        <v>0</v>
      </c>
      <c r="AH11" s="403">
        <f xml:space="preserve">
IF($A$4&lt;=12,SUMIFS('ON Data'!AN:AN,'ON Data'!$D:$D,$A$4,'ON Data'!$E:$E,2),SUMIFS('ON Data'!AN:AN,'ON Data'!$E:$E,2))</f>
        <v>0</v>
      </c>
      <c r="AI11" s="413"/>
    </row>
    <row r="12" spans="1:35" x14ac:dyDescent="0.3">
      <c r="A12" s="185" t="s">
        <v>120</v>
      </c>
      <c r="B12" s="202">
        <f xml:space="preserve">
IF($A$4&lt;=12,SUMIFS('ON Data'!F:F,'ON Data'!$D:$D,$A$4,'ON Data'!$E:$E,3),SUMIFS('ON Data'!F:F,'ON Data'!$E:$E,3))</f>
        <v>0</v>
      </c>
      <c r="C12" s="203">
        <f xml:space="preserve">
IF($A$4&lt;=12,SUMIFS('ON Data'!G:G,'ON Data'!$D:$D,$A$4,'ON Data'!$E:$E,3),SUMIFS('ON Data'!G:G,'ON Data'!$E:$E,3))</f>
        <v>0</v>
      </c>
      <c r="D12" s="204">
        <f xml:space="preserve">
IF($A$4&lt;=12,SUMIFS('ON Data'!H:H,'ON Data'!$D:$D,$A$4,'ON Data'!$E:$E,3),SUMIFS('ON Data'!H:H,'ON Data'!$E:$E,3))</f>
        <v>0</v>
      </c>
      <c r="E12" s="204">
        <f xml:space="preserve">
IF($A$4&lt;=12,SUMIFS('ON Data'!I:I,'ON Data'!$D:$D,$A$4,'ON Data'!$E:$E,3),SUMIFS('ON Data'!I:I,'ON Data'!$E:$E,3))</f>
        <v>0</v>
      </c>
      <c r="F12" s="204">
        <f xml:space="preserve">
IF($A$4&lt;=12,SUMIFS('ON Data'!K:K,'ON Data'!$D:$D,$A$4,'ON Data'!$E:$E,3),SUMIFS('ON Data'!K:K,'ON Data'!$E:$E,3))</f>
        <v>0</v>
      </c>
      <c r="G12" s="204">
        <f xml:space="preserve">
IF($A$4&lt;=12,SUMIFS('ON Data'!L:L,'ON Data'!$D:$D,$A$4,'ON Data'!$E:$E,3),SUMIFS('ON Data'!L:L,'ON Data'!$E:$E,3))</f>
        <v>0</v>
      </c>
      <c r="H12" s="204">
        <f xml:space="preserve">
IF($A$4&lt;=12,SUMIFS('ON Data'!M:M,'ON Data'!$D:$D,$A$4,'ON Data'!$E:$E,3),SUMIFS('ON Data'!M:M,'ON Data'!$E:$E,3))</f>
        <v>0</v>
      </c>
      <c r="I12" s="204">
        <f xml:space="preserve">
IF($A$4&lt;=12,SUMIFS('ON Data'!N:N,'ON Data'!$D:$D,$A$4,'ON Data'!$E:$E,3),SUMIFS('ON Data'!N:N,'ON Data'!$E:$E,3))</f>
        <v>0</v>
      </c>
      <c r="J12" s="204">
        <f xml:space="preserve">
IF($A$4&lt;=12,SUMIFS('ON Data'!O:O,'ON Data'!$D:$D,$A$4,'ON Data'!$E:$E,3),SUMIFS('ON Data'!O:O,'ON Data'!$E:$E,3))</f>
        <v>0</v>
      </c>
      <c r="K12" s="204">
        <f xml:space="preserve">
IF($A$4&lt;=12,SUMIFS('ON Data'!P:P,'ON Data'!$D:$D,$A$4,'ON Data'!$E:$E,3),SUMIFS('ON Data'!P:P,'ON Data'!$E:$E,3))</f>
        <v>0</v>
      </c>
      <c r="L12" s="204">
        <f xml:space="preserve">
IF($A$4&lt;=12,SUMIFS('ON Data'!Q:Q,'ON Data'!$D:$D,$A$4,'ON Data'!$E:$E,3),SUMIFS('ON Data'!Q:Q,'ON Data'!$E:$E,3))</f>
        <v>0</v>
      </c>
      <c r="M12" s="204">
        <f xml:space="preserve">
IF($A$4&lt;=12,SUMIFS('ON Data'!R:R,'ON Data'!$D:$D,$A$4,'ON Data'!$E:$E,3),SUMIFS('ON Data'!R:R,'ON Data'!$E:$E,3))</f>
        <v>0</v>
      </c>
      <c r="N12" s="204">
        <f xml:space="preserve">
IF($A$4&lt;=12,SUMIFS('ON Data'!S:S,'ON Data'!$D:$D,$A$4,'ON Data'!$E:$E,3),SUMIFS('ON Data'!S:S,'ON Data'!$E:$E,3))</f>
        <v>0</v>
      </c>
      <c r="O12" s="204">
        <f xml:space="preserve">
IF($A$4&lt;=12,SUMIFS('ON Data'!T:T,'ON Data'!$D:$D,$A$4,'ON Data'!$E:$E,3),SUMIFS('ON Data'!T:T,'ON Data'!$E:$E,3))</f>
        <v>0</v>
      </c>
      <c r="P12" s="204">
        <f xml:space="preserve">
IF($A$4&lt;=12,SUMIFS('ON Data'!U:U,'ON Data'!$D:$D,$A$4,'ON Data'!$E:$E,3),SUMIFS('ON Data'!U:U,'ON Data'!$E:$E,3))</f>
        <v>0</v>
      </c>
      <c r="Q12" s="204">
        <f xml:space="preserve">
IF($A$4&lt;=12,SUMIFS('ON Data'!V:V,'ON Data'!$D:$D,$A$4,'ON Data'!$E:$E,3),SUMIFS('ON Data'!V:V,'ON Data'!$E:$E,3))</f>
        <v>0</v>
      </c>
      <c r="R12" s="204">
        <f xml:space="preserve">
IF($A$4&lt;=12,SUMIFS('ON Data'!W:W,'ON Data'!$D:$D,$A$4,'ON Data'!$E:$E,3),SUMIFS('ON Data'!W:W,'ON Data'!$E:$E,3))</f>
        <v>0</v>
      </c>
      <c r="S12" s="204">
        <f xml:space="preserve">
IF($A$4&lt;=12,SUMIFS('ON Data'!X:X,'ON Data'!$D:$D,$A$4,'ON Data'!$E:$E,3),SUMIFS('ON Data'!X:X,'ON Data'!$E:$E,3))</f>
        <v>0</v>
      </c>
      <c r="T12" s="204">
        <f xml:space="preserve">
IF($A$4&lt;=12,SUMIFS('ON Data'!Y:Y,'ON Data'!$D:$D,$A$4,'ON Data'!$E:$E,3),SUMIFS('ON Data'!Y:Y,'ON Data'!$E:$E,3))</f>
        <v>0</v>
      </c>
      <c r="U12" s="204">
        <f xml:space="preserve">
IF($A$4&lt;=12,SUMIFS('ON Data'!Z:Z,'ON Data'!$D:$D,$A$4,'ON Data'!$E:$E,3),SUMIFS('ON Data'!Z:Z,'ON Data'!$E:$E,3))</f>
        <v>0</v>
      </c>
      <c r="V12" s="204">
        <f xml:space="preserve">
IF($A$4&lt;=12,SUMIFS('ON Data'!AA:AA,'ON Data'!$D:$D,$A$4,'ON Data'!$E:$E,3),SUMIFS('ON Data'!AA:AA,'ON Data'!$E:$E,3))</f>
        <v>0</v>
      </c>
      <c r="W12" s="204">
        <f xml:space="preserve">
IF($A$4&lt;=12,SUMIFS('ON Data'!AB:AB,'ON Data'!$D:$D,$A$4,'ON Data'!$E:$E,3),SUMIFS('ON Data'!AB:AB,'ON Data'!$E:$E,3))</f>
        <v>0</v>
      </c>
      <c r="X12" s="204">
        <f xml:space="preserve">
IF($A$4&lt;=12,SUMIFS('ON Data'!AC:AC,'ON Data'!$D:$D,$A$4,'ON Data'!$E:$E,3),SUMIFS('ON Data'!AC:AC,'ON Data'!$E:$E,3))</f>
        <v>0</v>
      </c>
      <c r="Y12" s="204">
        <f xml:space="preserve">
IF($A$4&lt;=12,SUMIFS('ON Data'!AD:AD,'ON Data'!$D:$D,$A$4,'ON Data'!$E:$E,3),SUMIFS('ON Data'!AD:AD,'ON Data'!$E:$E,3))</f>
        <v>0</v>
      </c>
      <c r="Z12" s="204">
        <f xml:space="preserve">
IF($A$4&lt;=12,SUMIFS('ON Data'!AE:AE,'ON Data'!$D:$D,$A$4,'ON Data'!$E:$E,3),SUMIFS('ON Data'!AE:AE,'ON Data'!$E:$E,3))</f>
        <v>0</v>
      </c>
      <c r="AA12" s="204">
        <f xml:space="preserve">
IF($A$4&lt;=12,SUMIFS('ON Data'!AF:AF,'ON Data'!$D:$D,$A$4,'ON Data'!$E:$E,3),SUMIFS('ON Data'!AF:AF,'ON Data'!$E:$E,3))</f>
        <v>0</v>
      </c>
      <c r="AB12" s="204">
        <f xml:space="preserve">
IF($A$4&lt;=12,SUMIFS('ON Data'!AG:AG,'ON Data'!$D:$D,$A$4,'ON Data'!$E:$E,3),SUMIFS('ON Data'!AG:AG,'ON Data'!$E:$E,3))</f>
        <v>0</v>
      </c>
      <c r="AC12" s="204">
        <f xml:space="preserve">
IF($A$4&lt;=12,SUMIFS('ON Data'!AH:AH,'ON Data'!$D:$D,$A$4,'ON Data'!$E:$E,3),SUMIFS('ON Data'!AH:AH,'ON Data'!$E:$E,3))</f>
        <v>0</v>
      </c>
      <c r="AD12" s="204">
        <f xml:space="preserve">
IF($A$4&lt;=12,SUMIFS('ON Data'!AI:AI,'ON Data'!$D:$D,$A$4,'ON Data'!$E:$E,3),SUMIFS('ON Data'!AI:AI,'ON Data'!$E:$E,3))</f>
        <v>0</v>
      </c>
      <c r="AE12" s="204">
        <f xml:space="preserve">
IF($A$4&lt;=12,SUMIFS('ON Data'!AJ:AJ,'ON Data'!$D:$D,$A$4,'ON Data'!$E:$E,3),SUMIFS('ON Data'!AJ:AJ,'ON Data'!$E:$E,3))</f>
        <v>0</v>
      </c>
      <c r="AF12" s="204">
        <f xml:space="preserve">
IF($A$4&lt;=12,SUMIFS('ON Data'!AK:AK,'ON Data'!$D:$D,$A$4,'ON Data'!$E:$E,3),SUMIFS('ON Data'!AK:AK,'ON Data'!$E:$E,3))</f>
        <v>0</v>
      </c>
      <c r="AG12" s="204">
        <f xml:space="preserve">
IF($A$4&lt;=12,SUMIFS('ON Data'!AL:AL,'ON Data'!$D:$D,$A$4,'ON Data'!$E:$E,3),SUMIFS('ON Data'!AL:AL,'ON Data'!$E:$E,3))</f>
        <v>0</v>
      </c>
      <c r="AH12" s="403">
        <f xml:space="preserve">
IF($A$4&lt;=12,SUMIFS('ON Data'!AN:AN,'ON Data'!$D:$D,$A$4,'ON Data'!$E:$E,3),SUMIFS('ON Data'!AN:AN,'ON Data'!$E:$E,3))</f>
        <v>0</v>
      </c>
      <c r="AI12" s="413"/>
    </row>
    <row r="13" spans="1:35" x14ac:dyDescent="0.3">
      <c r="A13" s="185" t="s">
        <v>127</v>
      </c>
      <c r="B13" s="202">
        <f xml:space="preserve">
IF($A$4&lt;=12,SUMIFS('ON Data'!F:F,'ON Data'!$D:$D,$A$4,'ON Data'!$E:$E,4),SUMIFS('ON Data'!F:F,'ON Data'!$E:$E,4))</f>
        <v>45</v>
      </c>
      <c r="C13" s="203">
        <f xml:space="preserve">
IF($A$4&lt;=12,SUMIFS('ON Data'!G:G,'ON Data'!$D:$D,$A$4,'ON Data'!$E:$E,4),SUMIFS('ON Data'!G:G,'ON Data'!$E:$E,4))</f>
        <v>0</v>
      </c>
      <c r="D13" s="204">
        <f xml:space="preserve">
IF($A$4&lt;=12,SUMIFS('ON Data'!H:H,'ON Data'!$D:$D,$A$4,'ON Data'!$E:$E,4),SUMIFS('ON Data'!H:H,'ON Data'!$E:$E,4))</f>
        <v>0</v>
      </c>
      <c r="E13" s="204">
        <f xml:space="preserve">
IF($A$4&lt;=12,SUMIFS('ON Data'!I:I,'ON Data'!$D:$D,$A$4,'ON Data'!$E:$E,4),SUMIFS('ON Data'!I:I,'ON Data'!$E:$E,4))</f>
        <v>0</v>
      </c>
      <c r="F13" s="204">
        <f xml:space="preserve">
IF($A$4&lt;=12,SUMIFS('ON Data'!K:K,'ON Data'!$D:$D,$A$4,'ON Data'!$E:$E,4),SUMIFS('ON Data'!K:K,'ON Data'!$E:$E,4))</f>
        <v>20</v>
      </c>
      <c r="G13" s="204">
        <f xml:space="preserve">
IF($A$4&lt;=12,SUMIFS('ON Data'!L:L,'ON Data'!$D:$D,$A$4,'ON Data'!$E:$E,4),SUMIFS('ON Data'!L:L,'ON Data'!$E:$E,4))</f>
        <v>0</v>
      </c>
      <c r="H13" s="204">
        <f xml:space="preserve">
IF($A$4&lt;=12,SUMIFS('ON Data'!M:M,'ON Data'!$D:$D,$A$4,'ON Data'!$E:$E,4),SUMIFS('ON Data'!M:M,'ON Data'!$E:$E,4))</f>
        <v>0</v>
      </c>
      <c r="I13" s="204">
        <f xml:space="preserve">
IF($A$4&lt;=12,SUMIFS('ON Data'!N:N,'ON Data'!$D:$D,$A$4,'ON Data'!$E:$E,4),SUMIFS('ON Data'!N:N,'ON Data'!$E:$E,4))</f>
        <v>0</v>
      </c>
      <c r="J13" s="204">
        <f xml:space="preserve">
IF($A$4&lt;=12,SUMIFS('ON Data'!O:O,'ON Data'!$D:$D,$A$4,'ON Data'!$E:$E,4),SUMIFS('ON Data'!O:O,'ON Data'!$E:$E,4))</f>
        <v>0</v>
      </c>
      <c r="K13" s="204">
        <f xml:space="preserve">
IF($A$4&lt;=12,SUMIFS('ON Data'!P:P,'ON Data'!$D:$D,$A$4,'ON Data'!$E:$E,4),SUMIFS('ON Data'!P:P,'ON Data'!$E:$E,4))</f>
        <v>0</v>
      </c>
      <c r="L13" s="204">
        <f xml:space="preserve">
IF($A$4&lt;=12,SUMIFS('ON Data'!Q:Q,'ON Data'!$D:$D,$A$4,'ON Data'!$E:$E,4),SUMIFS('ON Data'!Q:Q,'ON Data'!$E:$E,4))</f>
        <v>0</v>
      </c>
      <c r="M13" s="204">
        <f xml:space="preserve">
IF($A$4&lt;=12,SUMIFS('ON Data'!R:R,'ON Data'!$D:$D,$A$4,'ON Data'!$E:$E,4),SUMIFS('ON Data'!R:R,'ON Data'!$E:$E,4))</f>
        <v>0</v>
      </c>
      <c r="N13" s="204">
        <f xml:space="preserve">
IF($A$4&lt;=12,SUMIFS('ON Data'!S:S,'ON Data'!$D:$D,$A$4,'ON Data'!$E:$E,4),SUMIFS('ON Data'!S:S,'ON Data'!$E:$E,4))</f>
        <v>0</v>
      </c>
      <c r="O13" s="204">
        <f xml:space="preserve">
IF($A$4&lt;=12,SUMIFS('ON Data'!T:T,'ON Data'!$D:$D,$A$4,'ON Data'!$E:$E,4),SUMIFS('ON Data'!T:T,'ON Data'!$E:$E,4))</f>
        <v>0</v>
      </c>
      <c r="P13" s="204">
        <f xml:space="preserve">
IF($A$4&lt;=12,SUMIFS('ON Data'!U:U,'ON Data'!$D:$D,$A$4,'ON Data'!$E:$E,4),SUMIFS('ON Data'!U:U,'ON Data'!$E:$E,4))</f>
        <v>0</v>
      </c>
      <c r="Q13" s="204">
        <f xml:space="preserve">
IF($A$4&lt;=12,SUMIFS('ON Data'!V:V,'ON Data'!$D:$D,$A$4,'ON Data'!$E:$E,4),SUMIFS('ON Data'!V:V,'ON Data'!$E:$E,4))</f>
        <v>0</v>
      </c>
      <c r="R13" s="204">
        <f xml:space="preserve">
IF($A$4&lt;=12,SUMIFS('ON Data'!W:W,'ON Data'!$D:$D,$A$4,'ON Data'!$E:$E,4),SUMIFS('ON Data'!W:W,'ON Data'!$E:$E,4))</f>
        <v>0</v>
      </c>
      <c r="S13" s="204">
        <f xml:space="preserve">
IF($A$4&lt;=12,SUMIFS('ON Data'!X:X,'ON Data'!$D:$D,$A$4,'ON Data'!$E:$E,4),SUMIFS('ON Data'!X:X,'ON Data'!$E:$E,4))</f>
        <v>0</v>
      </c>
      <c r="T13" s="204">
        <f xml:space="preserve">
IF($A$4&lt;=12,SUMIFS('ON Data'!Y:Y,'ON Data'!$D:$D,$A$4,'ON Data'!$E:$E,4),SUMIFS('ON Data'!Y:Y,'ON Data'!$E:$E,4))</f>
        <v>0</v>
      </c>
      <c r="U13" s="204">
        <f xml:space="preserve">
IF($A$4&lt;=12,SUMIFS('ON Data'!Z:Z,'ON Data'!$D:$D,$A$4,'ON Data'!$E:$E,4),SUMIFS('ON Data'!Z:Z,'ON Data'!$E:$E,4))</f>
        <v>0</v>
      </c>
      <c r="V13" s="204">
        <f xml:space="preserve">
IF($A$4&lt;=12,SUMIFS('ON Data'!AA:AA,'ON Data'!$D:$D,$A$4,'ON Data'!$E:$E,4),SUMIFS('ON Data'!AA:AA,'ON Data'!$E:$E,4))</f>
        <v>0</v>
      </c>
      <c r="W13" s="204">
        <f xml:space="preserve">
IF($A$4&lt;=12,SUMIFS('ON Data'!AB:AB,'ON Data'!$D:$D,$A$4,'ON Data'!$E:$E,4),SUMIFS('ON Data'!AB:AB,'ON Data'!$E:$E,4))</f>
        <v>0</v>
      </c>
      <c r="X13" s="204">
        <f xml:space="preserve">
IF($A$4&lt;=12,SUMIFS('ON Data'!AC:AC,'ON Data'!$D:$D,$A$4,'ON Data'!$E:$E,4),SUMIFS('ON Data'!AC:AC,'ON Data'!$E:$E,4))</f>
        <v>0</v>
      </c>
      <c r="Y13" s="204">
        <f xml:space="preserve">
IF($A$4&lt;=12,SUMIFS('ON Data'!AD:AD,'ON Data'!$D:$D,$A$4,'ON Data'!$E:$E,4),SUMIFS('ON Data'!AD:AD,'ON Data'!$E:$E,4))</f>
        <v>10</v>
      </c>
      <c r="Z13" s="204">
        <f xml:space="preserve">
IF($A$4&lt;=12,SUMIFS('ON Data'!AE:AE,'ON Data'!$D:$D,$A$4,'ON Data'!$E:$E,4),SUMIFS('ON Data'!AE:AE,'ON Data'!$E:$E,4))</f>
        <v>0</v>
      </c>
      <c r="AA13" s="204">
        <f xml:space="preserve">
IF($A$4&lt;=12,SUMIFS('ON Data'!AF:AF,'ON Data'!$D:$D,$A$4,'ON Data'!$E:$E,4),SUMIFS('ON Data'!AF:AF,'ON Data'!$E:$E,4))</f>
        <v>0</v>
      </c>
      <c r="AB13" s="204">
        <f xml:space="preserve">
IF($A$4&lt;=12,SUMIFS('ON Data'!AG:AG,'ON Data'!$D:$D,$A$4,'ON Data'!$E:$E,4),SUMIFS('ON Data'!AG:AG,'ON Data'!$E:$E,4))</f>
        <v>0</v>
      </c>
      <c r="AC13" s="204">
        <f xml:space="preserve">
IF($A$4&lt;=12,SUMIFS('ON Data'!AH:AH,'ON Data'!$D:$D,$A$4,'ON Data'!$E:$E,4),SUMIFS('ON Data'!AH:AH,'ON Data'!$E:$E,4))</f>
        <v>0</v>
      </c>
      <c r="AD13" s="204">
        <f xml:space="preserve">
IF($A$4&lt;=12,SUMIFS('ON Data'!AI:AI,'ON Data'!$D:$D,$A$4,'ON Data'!$E:$E,4),SUMIFS('ON Data'!AI:AI,'ON Data'!$E:$E,4))</f>
        <v>15</v>
      </c>
      <c r="AE13" s="204">
        <f xml:space="preserve">
IF($A$4&lt;=12,SUMIFS('ON Data'!AJ:AJ,'ON Data'!$D:$D,$A$4,'ON Data'!$E:$E,4),SUMIFS('ON Data'!AJ:AJ,'ON Data'!$E:$E,4))</f>
        <v>0</v>
      </c>
      <c r="AF13" s="204">
        <f xml:space="preserve">
IF($A$4&lt;=12,SUMIFS('ON Data'!AK:AK,'ON Data'!$D:$D,$A$4,'ON Data'!$E:$E,4),SUMIFS('ON Data'!AK:AK,'ON Data'!$E:$E,4))</f>
        <v>0</v>
      </c>
      <c r="AG13" s="204">
        <f xml:space="preserve">
IF($A$4&lt;=12,SUMIFS('ON Data'!AL:AL,'ON Data'!$D:$D,$A$4,'ON Data'!$E:$E,4),SUMIFS('ON Data'!AL:AL,'ON Data'!$E:$E,4))</f>
        <v>0</v>
      </c>
      <c r="AH13" s="403">
        <f xml:space="preserve">
IF($A$4&lt;=12,SUMIFS('ON Data'!AN:AN,'ON Data'!$D:$D,$A$4,'ON Data'!$E:$E,4),SUMIFS('ON Data'!AN:AN,'ON Data'!$E:$E,4))</f>
        <v>0</v>
      </c>
      <c r="AI13" s="413"/>
    </row>
    <row r="14" spans="1:35" ht="15" thickBot="1" x14ac:dyDescent="0.35">
      <c r="A14" s="186" t="s">
        <v>121</v>
      </c>
      <c r="B14" s="205">
        <f xml:space="preserve">
IF($A$4&lt;=12,SUMIFS('ON Data'!F:F,'ON Data'!$D:$D,$A$4,'ON Data'!$E:$E,5),SUMIFS('ON Data'!F:F,'ON Data'!$E:$E,5))</f>
        <v>0</v>
      </c>
      <c r="C14" s="206">
        <f xml:space="preserve">
IF($A$4&lt;=12,SUMIFS('ON Data'!G:G,'ON Data'!$D:$D,$A$4,'ON Data'!$E:$E,5),SUMIFS('ON Data'!G:G,'ON Data'!$E:$E,5))</f>
        <v>0</v>
      </c>
      <c r="D14" s="207">
        <f xml:space="preserve">
IF($A$4&lt;=12,SUMIFS('ON Data'!H:H,'ON Data'!$D:$D,$A$4,'ON Data'!$E:$E,5),SUMIFS('ON Data'!H:H,'ON Data'!$E:$E,5))</f>
        <v>0</v>
      </c>
      <c r="E14" s="207">
        <f xml:space="preserve">
IF($A$4&lt;=12,SUMIFS('ON Data'!I:I,'ON Data'!$D:$D,$A$4,'ON Data'!$E:$E,5),SUMIFS('ON Data'!I:I,'ON Data'!$E:$E,5))</f>
        <v>0</v>
      </c>
      <c r="F14" s="207">
        <f xml:space="preserve">
IF($A$4&lt;=12,SUMIFS('ON Data'!K:K,'ON Data'!$D:$D,$A$4,'ON Data'!$E:$E,5),SUMIFS('ON Data'!K:K,'ON Data'!$E:$E,5))</f>
        <v>0</v>
      </c>
      <c r="G14" s="207">
        <f xml:space="preserve">
IF($A$4&lt;=12,SUMIFS('ON Data'!L:L,'ON Data'!$D:$D,$A$4,'ON Data'!$E:$E,5),SUMIFS('ON Data'!L:L,'ON Data'!$E:$E,5))</f>
        <v>0</v>
      </c>
      <c r="H14" s="207">
        <f xml:space="preserve">
IF($A$4&lt;=12,SUMIFS('ON Data'!M:M,'ON Data'!$D:$D,$A$4,'ON Data'!$E:$E,5),SUMIFS('ON Data'!M:M,'ON Data'!$E:$E,5))</f>
        <v>0</v>
      </c>
      <c r="I14" s="207">
        <f xml:space="preserve">
IF($A$4&lt;=12,SUMIFS('ON Data'!N:N,'ON Data'!$D:$D,$A$4,'ON Data'!$E:$E,5),SUMIFS('ON Data'!N:N,'ON Data'!$E:$E,5))</f>
        <v>0</v>
      </c>
      <c r="J14" s="207">
        <f xml:space="preserve">
IF($A$4&lt;=12,SUMIFS('ON Data'!O:O,'ON Data'!$D:$D,$A$4,'ON Data'!$E:$E,5),SUMIFS('ON Data'!O:O,'ON Data'!$E:$E,5))</f>
        <v>0</v>
      </c>
      <c r="K14" s="207">
        <f xml:space="preserve">
IF($A$4&lt;=12,SUMIFS('ON Data'!P:P,'ON Data'!$D:$D,$A$4,'ON Data'!$E:$E,5),SUMIFS('ON Data'!P:P,'ON Data'!$E:$E,5))</f>
        <v>0</v>
      </c>
      <c r="L14" s="207">
        <f xml:space="preserve">
IF($A$4&lt;=12,SUMIFS('ON Data'!Q:Q,'ON Data'!$D:$D,$A$4,'ON Data'!$E:$E,5),SUMIFS('ON Data'!Q:Q,'ON Data'!$E:$E,5))</f>
        <v>0</v>
      </c>
      <c r="M14" s="207">
        <f xml:space="preserve">
IF($A$4&lt;=12,SUMIFS('ON Data'!R:R,'ON Data'!$D:$D,$A$4,'ON Data'!$E:$E,5),SUMIFS('ON Data'!R:R,'ON Data'!$E:$E,5))</f>
        <v>0</v>
      </c>
      <c r="N14" s="207">
        <f xml:space="preserve">
IF($A$4&lt;=12,SUMIFS('ON Data'!S:S,'ON Data'!$D:$D,$A$4,'ON Data'!$E:$E,5),SUMIFS('ON Data'!S:S,'ON Data'!$E:$E,5))</f>
        <v>0</v>
      </c>
      <c r="O14" s="207">
        <f xml:space="preserve">
IF($A$4&lt;=12,SUMIFS('ON Data'!T:T,'ON Data'!$D:$D,$A$4,'ON Data'!$E:$E,5),SUMIFS('ON Data'!T:T,'ON Data'!$E:$E,5))</f>
        <v>0</v>
      </c>
      <c r="P14" s="207">
        <f xml:space="preserve">
IF($A$4&lt;=12,SUMIFS('ON Data'!U:U,'ON Data'!$D:$D,$A$4,'ON Data'!$E:$E,5),SUMIFS('ON Data'!U:U,'ON Data'!$E:$E,5))</f>
        <v>0</v>
      </c>
      <c r="Q14" s="207">
        <f xml:space="preserve">
IF($A$4&lt;=12,SUMIFS('ON Data'!V:V,'ON Data'!$D:$D,$A$4,'ON Data'!$E:$E,5),SUMIFS('ON Data'!V:V,'ON Data'!$E:$E,5))</f>
        <v>0</v>
      </c>
      <c r="R14" s="207">
        <f xml:space="preserve">
IF($A$4&lt;=12,SUMIFS('ON Data'!W:W,'ON Data'!$D:$D,$A$4,'ON Data'!$E:$E,5),SUMIFS('ON Data'!W:W,'ON Data'!$E:$E,5))</f>
        <v>0</v>
      </c>
      <c r="S14" s="207">
        <f xml:space="preserve">
IF($A$4&lt;=12,SUMIFS('ON Data'!X:X,'ON Data'!$D:$D,$A$4,'ON Data'!$E:$E,5),SUMIFS('ON Data'!X:X,'ON Data'!$E:$E,5))</f>
        <v>0</v>
      </c>
      <c r="T14" s="207">
        <f xml:space="preserve">
IF($A$4&lt;=12,SUMIFS('ON Data'!Y:Y,'ON Data'!$D:$D,$A$4,'ON Data'!$E:$E,5),SUMIFS('ON Data'!Y:Y,'ON Data'!$E:$E,5))</f>
        <v>0</v>
      </c>
      <c r="U14" s="207">
        <f xml:space="preserve">
IF($A$4&lt;=12,SUMIFS('ON Data'!Z:Z,'ON Data'!$D:$D,$A$4,'ON Data'!$E:$E,5),SUMIFS('ON Data'!Z:Z,'ON Data'!$E:$E,5))</f>
        <v>0</v>
      </c>
      <c r="V14" s="207">
        <f xml:space="preserve">
IF($A$4&lt;=12,SUMIFS('ON Data'!AA:AA,'ON Data'!$D:$D,$A$4,'ON Data'!$E:$E,5),SUMIFS('ON Data'!AA:AA,'ON Data'!$E:$E,5))</f>
        <v>0</v>
      </c>
      <c r="W14" s="207">
        <f xml:space="preserve">
IF($A$4&lt;=12,SUMIFS('ON Data'!AB:AB,'ON Data'!$D:$D,$A$4,'ON Data'!$E:$E,5),SUMIFS('ON Data'!AB:AB,'ON Data'!$E:$E,5))</f>
        <v>0</v>
      </c>
      <c r="X14" s="207">
        <f xml:space="preserve">
IF($A$4&lt;=12,SUMIFS('ON Data'!AC:AC,'ON Data'!$D:$D,$A$4,'ON Data'!$E:$E,5),SUMIFS('ON Data'!AC:AC,'ON Data'!$E:$E,5))</f>
        <v>0</v>
      </c>
      <c r="Y14" s="207">
        <f xml:space="preserve">
IF($A$4&lt;=12,SUMIFS('ON Data'!AD:AD,'ON Data'!$D:$D,$A$4,'ON Data'!$E:$E,5),SUMIFS('ON Data'!AD:AD,'ON Data'!$E:$E,5))</f>
        <v>0</v>
      </c>
      <c r="Z14" s="207">
        <f xml:space="preserve">
IF($A$4&lt;=12,SUMIFS('ON Data'!AE:AE,'ON Data'!$D:$D,$A$4,'ON Data'!$E:$E,5),SUMIFS('ON Data'!AE:AE,'ON Data'!$E:$E,5))</f>
        <v>0</v>
      </c>
      <c r="AA14" s="207">
        <f xml:space="preserve">
IF($A$4&lt;=12,SUMIFS('ON Data'!AF:AF,'ON Data'!$D:$D,$A$4,'ON Data'!$E:$E,5),SUMIFS('ON Data'!AF:AF,'ON Data'!$E:$E,5))</f>
        <v>0</v>
      </c>
      <c r="AB14" s="207">
        <f xml:space="preserve">
IF($A$4&lt;=12,SUMIFS('ON Data'!AG:AG,'ON Data'!$D:$D,$A$4,'ON Data'!$E:$E,5),SUMIFS('ON Data'!AG:AG,'ON Data'!$E:$E,5))</f>
        <v>0</v>
      </c>
      <c r="AC14" s="207">
        <f xml:space="preserve">
IF($A$4&lt;=12,SUMIFS('ON Data'!AH:AH,'ON Data'!$D:$D,$A$4,'ON Data'!$E:$E,5),SUMIFS('ON Data'!AH:AH,'ON Data'!$E:$E,5))</f>
        <v>0</v>
      </c>
      <c r="AD14" s="207">
        <f xml:space="preserve">
IF($A$4&lt;=12,SUMIFS('ON Data'!AI:AI,'ON Data'!$D:$D,$A$4,'ON Data'!$E:$E,5),SUMIFS('ON Data'!AI:AI,'ON Data'!$E:$E,5))</f>
        <v>0</v>
      </c>
      <c r="AE14" s="207">
        <f xml:space="preserve">
IF($A$4&lt;=12,SUMIFS('ON Data'!AJ:AJ,'ON Data'!$D:$D,$A$4,'ON Data'!$E:$E,5),SUMIFS('ON Data'!AJ:AJ,'ON Data'!$E:$E,5))</f>
        <v>0</v>
      </c>
      <c r="AF14" s="207">
        <f xml:space="preserve">
IF($A$4&lt;=12,SUMIFS('ON Data'!AK:AK,'ON Data'!$D:$D,$A$4,'ON Data'!$E:$E,5),SUMIFS('ON Data'!AK:AK,'ON Data'!$E:$E,5))</f>
        <v>0</v>
      </c>
      <c r="AG14" s="207">
        <f xml:space="preserve">
IF($A$4&lt;=12,SUMIFS('ON Data'!AL:AL,'ON Data'!$D:$D,$A$4,'ON Data'!$E:$E,5),SUMIFS('ON Data'!AL:AL,'ON Data'!$E:$E,5))</f>
        <v>0</v>
      </c>
      <c r="AH14" s="404">
        <f xml:space="preserve">
IF($A$4&lt;=12,SUMIFS('ON Data'!AN:AN,'ON Data'!$D:$D,$A$4,'ON Data'!$E:$E,5),SUMIFS('ON Data'!AN:AN,'ON Data'!$E:$E,5))</f>
        <v>0</v>
      </c>
      <c r="AI14" s="413"/>
    </row>
    <row r="15" spans="1:35" x14ac:dyDescent="0.3">
      <c r="A15" s="126" t="s">
        <v>131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405"/>
      <c r="AI15" s="413"/>
    </row>
    <row r="16" spans="1:35" x14ac:dyDescent="0.3">
      <c r="A16" s="187" t="s">
        <v>122</v>
      </c>
      <c r="B16" s="202">
        <f xml:space="preserve">
IF($A$4&lt;=12,SUMIFS('ON Data'!F:F,'ON Data'!$D:$D,$A$4,'ON Data'!$E:$E,7),SUMIFS('ON Data'!F:F,'ON Data'!$E:$E,7))</f>
        <v>0</v>
      </c>
      <c r="C16" s="203">
        <f xml:space="preserve">
IF($A$4&lt;=12,SUMIFS('ON Data'!G:G,'ON Data'!$D:$D,$A$4,'ON Data'!$E:$E,7),SUMIFS('ON Data'!G:G,'ON Data'!$E:$E,7))</f>
        <v>0</v>
      </c>
      <c r="D16" s="204">
        <f xml:space="preserve">
IF($A$4&lt;=12,SUMIFS('ON Data'!H:H,'ON Data'!$D:$D,$A$4,'ON Data'!$E:$E,7),SUMIFS('ON Data'!H:H,'ON Data'!$E:$E,7))</f>
        <v>0</v>
      </c>
      <c r="E16" s="204">
        <f xml:space="preserve">
IF($A$4&lt;=12,SUMIFS('ON Data'!I:I,'ON Data'!$D:$D,$A$4,'ON Data'!$E:$E,7),SUMIFS('ON Data'!I:I,'ON Data'!$E:$E,7))</f>
        <v>0</v>
      </c>
      <c r="F16" s="204">
        <f xml:space="preserve">
IF($A$4&lt;=12,SUMIFS('ON Data'!K:K,'ON Data'!$D:$D,$A$4,'ON Data'!$E:$E,7),SUMIFS('ON Data'!K:K,'ON Data'!$E:$E,7))</f>
        <v>0</v>
      </c>
      <c r="G16" s="204">
        <f xml:space="preserve">
IF($A$4&lt;=12,SUMIFS('ON Data'!L:L,'ON Data'!$D:$D,$A$4,'ON Data'!$E:$E,7),SUMIFS('ON Data'!L:L,'ON Data'!$E:$E,7))</f>
        <v>0</v>
      </c>
      <c r="H16" s="204">
        <f xml:space="preserve">
IF($A$4&lt;=12,SUMIFS('ON Data'!M:M,'ON Data'!$D:$D,$A$4,'ON Data'!$E:$E,7),SUMIFS('ON Data'!M:M,'ON Data'!$E:$E,7))</f>
        <v>0</v>
      </c>
      <c r="I16" s="204">
        <f xml:space="preserve">
IF($A$4&lt;=12,SUMIFS('ON Data'!N:N,'ON Data'!$D:$D,$A$4,'ON Data'!$E:$E,7),SUMIFS('ON Data'!N:N,'ON Data'!$E:$E,7))</f>
        <v>0</v>
      </c>
      <c r="J16" s="204">
        <f xml:space="preserve">
IF($A$4&lt;=12,SUMIFS('ON Data'!O:O,'ON Data'!$D:$D,$A$4,'ON Data'!$E:$E,7),SUMIFS('ON Data'!O:O,'ON Data'!$E:$E,7))</f>
        <v>0</v>
      </c>
      <c r="K16" s="204">
        <f xml:space="preserve">
IF($A$4&lt;=12,SUMIFS('ON Data'!P:P,'ON Data'!$D:$D,$A$4,'ON Data'!$E:$E,7),SUMIFS('ON Data'!P:P,'ON Data'!$E:$E,7))</f>
        <v>0</v>
      </c>
      <c r="L16" s="204">
        <f xml:space="preserve">
IF($A$4&lt;=12,SUMIFS('ON Data'!Q:Q,'ON Data'!$D:$D,$A$4,'ON Data'!$E:$E,7),SUMIFS('ON Data'!Q:Q,'ON Data'!$E:$E,7))</f>
        <v>0</v>
      </c>
      <c r="M16" s="204">
        <f xml:space="preserve">
IF($A$4&lt;=12,SUMIFS('ON Data'!R:R,'ON Data'!$D:$D,$A$4,'ON Data'!$E:$E,7),SUMIFS('ON Data'!R:R,'ON Data'!$E:$E,7))</f>
        <v>0</v>
      </c>
      <c r="N16" s="204">
        <f xml:space="preserve">
IF($A$4&lt;=12,SUMIFS('ON Data'!S:S,'ON Data'!$D:$D,$A$4,'ON Data'!$E:$E,7),SUMIFS('ON Data'!S:S,'ON Data'!$E:$E,7))</f>
        <v>0</v>
      </c>
      <c r="O16" s="204">
        <f xml:space="preserve">
IF($A$4&lt;=12,SUMIFS('ON Data'!T:T,'ON Data'!$D:$D,$A$4,'ON Data'!$E:$E,7),SUMIFS('ON Data'!T:T,'ON Data'!$E:$E,7))</f>
        <v>0</v>
      </c>
      <c r="P16" s="204">
        <f xml:space="preserve">
IF($A$4&lt;=12,SUMIFS('ON Data'!U:U,'ON Data'!$D:$D,$A$4,'ON Data'!$E:$E,7),SUMIFS('ON Data'!U:U,'ON Data'!$E:$E,7))</f>
        <v>0</v>
      </c>
      <c r="Q16" s="204">
        <f xml:space="preserve">
IF($A$4&lt;=12,SUMIFS('ON Data'!V:V,'ON Data'!$D:$D,$A$4,'ON Data'!$E:$E,7),SUMIFS('ON Data'!V:V,'ON Data'!$E:$E,7))</f>
        <v>0</v>
      </c>
      <c r="R16" s="204">
        <f xml:space="preserve">
IF($A$4&lt;=12,SUMIFS('ON Data'!W:W,'ON Data'!$D:$D,$A$4,'ON Data'!$E:$E,7),SUMIFS('ON Data'!W:W,'ON Data'!$E:$E,7))</f>
        <v>0</v>
      </c>
      <c r="S16" s="204">
        <f xml:space="preserve">
IF($A$4&lt;=12,SUMIFS('ON Data'!X:X,'ON Data'!$D:$D,$A$4,'ON Data'!$E:$E,7),SUMIFS('ON Data'!X:X,'ON Data'!$E:$E,7))</f>
        <v>0</v>
      </c>
      <c r="T16" s="204">
        <f xml:space="preserve">
IF($A$4&lt;=12,SUMIFS('ON Data'!Y:Y,'ON Data'!$D:$D,$A$4,'ON Data'!$E:$E,7),SUMIFS('ON Data'!Y:Y,'ON Data'!$E:$E,7))</f>
        <v>0</v>
      </c>
      <c r="U16" s="204">
        <f xml:space="preserve">
IF($A$4&lt;=12,SUMIFS('ON Data'!Z:Z,'ON Data'!$D:$D,$A$4,'ON Data'!$E:$E,7),SUMIFS('ON Data'!Z:Z,'ON Data'!$E:$E,7))</f>
        <v>0</v>
      </c>
      <c r="V16" s="204">
        <f xml:space="preserve">
IF($A$4&lt;=12,SUMIFS('ON Data'!AA:AA,'ON Data'!$D:$D,$A$4,'ON Data'!$E:$E,7),SUMIFS('ON Data'!AA:AA,'ON Data'!$E:$E,7))</f>
        <v>0</v>
      </c>
      <c r="W16" s="204">
        <f xml:space="preserve">
IF($A$4&lt;=12,SUMIFS('ON Data'!AB:AB,'ON Data'!$D:$D,$A$4,'ON Data'!$E:$E,7),SUMIFS('ON Data'!AB:AB,'ON Data'!$E:$E,7))</f>
        <v>0</v>
      </c>
      <c r="X16" s="204">
        <f xml:space="preserve">
IF($A$4&lt;=12,SUMIFS('ON Data'!AC:AC,'ON Data'!$D:$D,$A$4,'ON Data'!$E:$E,7),SUMIFS('ON Data'!AC:AC,'ON Data'!$E:$E,7))</f>
        <v>0</v>
      </c>
      <c r="Y16" s="204">
        <f xml:space="preserve">
IF($A$4&lt;=12,SUMIFS('ON Data'!AD:AD,'ON Data'!$D:$D,$A$4,'ON Data'!$E:$E,7),SUMIFS('ON Data'!AD:AD,'ON Data'!$E:$E,7))</f>
        <v>0</v>
      </c>
      <c r="Z16" s="204">
        <f xml:space="preserve">
IF($A$4&lt;=12,SUMIFS('ON Data'!AE:AE,'ON Data'!$D:$D,$A$4,'ON Data'!$E:$E,7),SUMIFS('ON Data'!AE:AE,'ON Data'!$E:$E,7))</f>
        <v>0</v>
      </c>
      <c r="AA16" s="204">
        <f xml:space="preserve">
IF($A$4&lt;=12,SUMIFS('ON Data'!AF:AF,'ON Data'!$D:$D,$A$4,'ON Data'!$E:$E,7),SUMIFS('ON Data'!AF:AF,'ON Data'!$E:$E,7))</f>
        <v>0</v>
      </c>
      <c r="AB16" s="204">
        <f xml:space="preserve">
IF($A$4&lt;=12,SUMIFS('ON Data'!AG:AG,'ON Data'!$D:$D,$A$4,'ON Data'!$E:$E,7),SUMIFS('ON Data'!AG:AG,'ON Data'!$E:$E,7))</f>
        <v>0</v>
      </c>
      <c r="AC16" s="204">
        <f xml:space="preserve">
IF($A$4&lt;=12,SUMIFS('ON Data'!AH:AH,'ON Data'!$D:$D,$A$4,'ON Data'!$E:$E,7),SUMIFS('ON Data'!AH:AH,'ON Data'!$E:$E,7))</f>
        <v>0</v>
      </c>
      <c r="AD16" s="204">
        <f xml:space="preserve">
IF($A$4&lt;=12,SUMIFS('ON Data'!AI:AI,'ON Data'!$D:$D,$A$4,'ON Data'!$E:$E,7),SUMIFS('ON Data'!AI:AI,'ON Data'!$E:$E,7))</f>
        <v>0</v>
      </c>
      <c r="AE16" s="204">
        <f xml:space="preserve">
IF($A$4&lt;=12,SUMIFS('ON Data'!AJ:AJ,'ON Data'!$D:$D,$A$4,'ON Data'!$E:$E,7),SUMIFS('ON Data'!AJ:AJ,'ON Data'!$E:$E,7))</f>
        <v>0</v>
      </c>
      <c r="AF16" s="204">
        <f xml:space="preserve">
IF($A$4&lt;=12,SUMIFS('ON Data'!AK:AK,'ON Data'!$D:$D,$A$4,'ON Data'!$E:$E,7),SUMIFS('ON Data'!AK:AK,'ON Data'!$E:$E,7))</f>
        <v>0</v>
      </c>
      <c r="AG16" s="204">
        <f xml:space="preserve">
IF($A$4&lt;=12,SUMIFS('ON Data'!AL:AL,'ON Data'!$D:$D,$A$4,'ON Data'!$E:$E,7),SUMIFS('ON Data'!AL:AL,'ON Data'!$E:$E,7))</f>
        <v>0</v>
      </c>
      <c r="AH16" s="403">
        <f xml:space="preserve">
IF($A$4&lt;=12,SUMIFS('ON Data'!AN:AN,'ON Data'!$D:$D,$A$4,'ON Data'!$E:$E,7),SUMIFS('ON Data'!AN:AN,'ON Data'!$E:$E,7))</f>
        <v>0</v>
      </c>
      <c r="AI16" s="413"/>
    </row>
    <row r="17" spans="1:35" x14ac:dyDescent="0.3">
      <c r="A17" s="187" t="s">
        <v>123</v>
      </c>
      <c r="B17" s="202">
        <f xml:space="preserve">
IF($A$4&lt;=12,SUMIFS('ON Data'!F:F,'ON Data'!$D:$D,$A$4,'ON Data'!$E:$E,8),SUMIFS('ON Data'!F:F,'ON Data'!$E:$E,8))</f>
        <v>0</v>
      </c>
      <c r="C17" s="203">
        <f xml:space="preserve">
IF($A$4&lt;=12,SUMIFS('ON Data'!G:G,'ON Data'!$D:$D,$A$4,'ON Data'!$E:$E,8),SUMIFS('ON Data'!G:G,'ON Data'!$E:$E,8))</f>
        <v>0</v>
      </c>
      <c r="D17" s="204">
        <f xml:space="preserve">
IF($A$4&lt;=12,SUMIFS('ON Data'!H:H,'ON Data'!$D:$D,$A$4,'ON Data'!$E:$E,8),SUMIFS('ON Data'!H:H,'ON Data'!$E:$E,8))</f>
        <v>0</v>
      </c>
      <c r="E17" s="204">
        <f xml:space="preserve">
IF($A$4&lt;=12,SUMIFS('ON Data'!I:I,'ON Data'!$D:$D,$A$4,'ON Data'!$E:$E,8),SUMIFS('ON Data'!I:I,'ON Data'!$E:$E,8))</f>
        <v>0</v>
      </c>
      <c r="F17" s="204">
        <f xml:space="preserve">
IF($A$4&lt;=12,SUMIFS('ON Data'!K:K,'ON Data'!$D:$D,$A$4,'ON Data'!$E:$E,8),SUMIFS('ON Data'!K:K,'ON Data'!$E:$E,8))</f>
        <v>0</v>
      </c>
      <c r="G17" s="204">
        <f xml:space="preserve">
IF($A$4&lt;=12,SUMIFS('ON Data'!L:L,'ON Data'!$D:$D,$A$4,'ON Data'!$E:$E,8),SUMIFS('ON Data'!L:L,'ON Data'!$E:$E,8))</f>
        <v>0</v>
      </c>
      <c r="H17" s="204">
        <f xml:space="preserve">
IF($A$4&lt;=12,SUMIFS('ON Data'!M:M,'ON Data'!$D:$D,$A$4,'ON Data'!$E:$E,8),SUMIFS('ON Data'!M:M,'ON Data'!$E:$E,8))</f>
        <v>0</v>
      </c>
      <c r="I17" s="204">
        <f xml:space="preserve">
IF($A$4&lt;=12,SUMIFS('ON Data'!N:N,'ON Data'!$D:$D,$A$4,'ON Data'!$E:$E,8),SUMIFS('ON Data'!N:N,'ON Data'!$E:$E,8))</f>
        <v>0</v>
      </c>
      <c r="J17" s="204">
        <f xml:space="preserve">
IF($A$4&lt;=12,SUMIFS('ON Data'!O:O,'ON Data'!$D:$D,$A$4,'ON Data'!$E:$E,8),SUMIFS('ON Data'!O:O,'ON Data'!$E:$E,8))</f>
        <v>0</v>
      </c>
      <c r="K17" s="204">
        <f xml:space="preserve">
IF($A$4&lt;=12,SUMIFS('ON Data'!P:P,'ON Data'!$D:$D,$A$4,'ON Data'!$E:$E,8),SUMIFS('ON Data'!P:P,'ON Data'!$E:$E,8))</f>
        <v>0</v>
      </c>
      <c r="L17" s="204">
        <f xml:space="preserve">
IF($A$4&lt;=12,SUMIFS('ON Data'!Q:Q,'ON Data'!$D:$D,$A$4,'ON Data'!$E:$E,8),SUMIFS('ON Data'!Q:Q,'ON Data'!$E:$E,8))</f>
        <v>0</v>
      </c>
      <c r="M17" s="204">
        <f xml:space="preserve">
IF($A$4&lt;=12,SUMIFS('ON Data'!R:R,'ON Data'!$D:$D,$A$4,'ON Data'!$E:$E,8),SUMIFS('ON Data'!R:R,'ON Data'!$E:$E,8))</f>
        <v>0</v>
      </c>
      <c r="N17" s="204">
        <f xml:space="preserve">
IF($A$4&lt;=12,SUMIFS('ON Data'!S:S,'ON Data'!$D:$D,$A$4,'ON Data'!$E:$E,8),SUMIFS('ON Data'!S:S,'ON Data'!$E:$E,8))</f>
        <v>0</v>
      </c>
      <c r="O17" s="204">
        <f xml:space="preserve">
IF($A$4&lt;=12,SUMIFS('ON Data'!T:T,'ON Data'!$D:$D,$A$4,'ON Data'!$E:$E,8),SUMIFS('ON Data'!T:T,'ON Data'!$E:$E,8))</f>
        <v>0</v>
      </c>
      <c r="P17" s="204">
        <f xml:space="preserve">
IF($A$4&lt;=12,SUMIFS('ON Data'!U:U,'ON Data'!$D:$D,$A$4,'ON Data'!$E:$E,8),SUMIFS('ON Data'!U:U,'ON Data'!$E:$E,8))</f>
        <v>0</v>
      </c>
      <c r="Q17" s="204">
        <f xml:space="preserve">
IF($A$4&lt;=12,SUMIFS('ON Data'!V:V,'ON Data'!$D:$D,$A$4,'ON Data'!$E:$E,8),SUMIFS('ON Data'!V:V,'ON Data'!$E:$E,8))</f>
        <v>0</v>
      </c>
      <c r="R17" s="204">
        <f xml:space="preserve">
IF($A$4&lt;=12,SUMIFS('ON Data'!W:W,'ON Data'!$D:$D,$A$4,'ON Data'!$E:$E,8),SUMIFS('ON Data'!W:W,'ON Data'!$E:$E,8))</f>
        <v>0</v>
      </c>
      <c r="S17" s="204">
        <f xml:space="preserve">
IF($A$4&lt;=12,SUMIFS('ON Data'!X:X,'ON Data'!$D:$D,$A$4,'ON Data'!$E:$E,8),SUMIFS('ON Data'!X:X,'ON Data'!$E:$E,8))</f>
        <v>0</v>
      </c>
      <c r="T17" s="204">
        <f xml:space="preserve">
IF($A$4&lt;=12,SUMIFS('ON Data'!Y:Y,'ON Data'!$D:$D,$A$4,'ON Data'!$E:$E,8),SUMIFS('ON Data'!Y:Y,'ON Data'!$E:$E,8))</f>
        <v>0</v>
      </c>
      <c r="U17" s="204">
        <f xml:space="preserve">
IF($A$4&lt;=12,SUMIFS('ON Data'!Z:Z,'ON Data'!$D:$D,$A$4,'ON Data'!$E:$E,8),SUMIFS('ON Data'!Z:Z,'ON Data'!$E:$E,8))</f>
        <v>0</v>
      </c>
      <c r="V17" s="204">
        <f xml:space="preserve">
IF($A$4&lt;=12,SUMIFS('ON Data'!AA:AA,'ON Data'!$D:$D,$A$4,'ON Data'!$E:$E,8),SUMIFS('ON Data'!AA:AA,'ON Data'!$E:$E,8))</f>
        <v>0</v>
      </c>
      <c r="W17" s="204">
        <f xml:space="preserve">
IF($A$4&lt;=12,SUMIFS('ON Data'!AB:AB,'ON Data'!$D:$D,$A$4,'ON Data'!$E:$E,8),SUMIFS('ON Data'!AB:AB,'ON Data'!$E:$E,8))</f>
        <v>0</v>
      </c>
      <c r="X17" s="204">
        <f xml:space="preserve">
IF($A$4&lt;=12,SUMIFS('ON Data'!AC:AC,'ON Data'!$D:$D,$A$4,'ON Data'!$E:$E,8),SUMIFS('ON Data'!AC:AC,'ON Data'!$E:$E,8))</f>
        <v>0</v>
      </c>
      <c r="Y17" s="204">
        <f xml:space="preserve">
IF($A$4&lt;=12,SUMIFS('ON Data'!AD:AD,'ON Data'!$D:$D,$A$4,'ON Data'!$E:$E,8),SUMIFS('ON Data'!AD:AD,'ON Data'!$E:$E,8))</f>
        <v>0</v>
      </c>
      <c r="Z17" s="204">
        <f xml:space="preserve">
IF($A$4&lt;=12,SUMIFS('ON Data'!AE:AE,'ON Data'!$D:$D,$A$4,'ON Data'!$E:$E,8),SUMIFS('ON Data'!AE:AE,'ON Data'!$E:$E,8))</f>
        <v>0</v>
      </c>
      <c r="AA17" s="204">
        <f xml:space="preserve">
IF($A$4&lt;=12,SUMIFS('ON Data'!AF:AF,'ON Data'!$D:$D,$A$4,'ON Data'!$E:$E,8),SUMIFS('ON Data'!AF:AF,'ON Data'!$E:$E,8))</f>
        <v>0</v>
      </c>
      <c r="AB17" s="204">
        <f xml:space="preserve">
IF($A$4&lt;=12,SUMIFS('ON Data'!AG:AG,'ON Data'!$D:$D,$A$4,'ON Data'!$E:$E,8),SUMIFS('ON Data'!AG:AG,'ON Data'!$E:$E,8))</f>
        <v>0</v>
      </c>
      <c r="AC17" s="204">
        <f xml:space="preserve">
IF($A$4&lt;=12,SUMIFS('ON Data'!AH:AH,'ON Data'!$D:$D,$A$4,'ON Data'!$E:$E,8),SUMIFS('ON Data'!AH:AH,'ON Data'!$E:$E,8))</f>
        <v>0</v>
      </c>
      <c r="AD17" s="204">
        <f xml:space="preserve">
IF($A$4&lt;=12,SUMIFS('ON Data'!AI:AI,'ON Data'!$D:$D,$A$4,'ON Data'!$E:$E,8),SUMIFS('ON Data'!AI:AI,'ON Data'!$E:$E,8))</f>
        <v>0</v>
      </c>
      <c r="AE17" s="204">
        <f xml:space="preserve">
IF($A$4&lt;=12,SUMIFS('ON Data'!AJ:AJ,'ON Data'!$D:$D,$A$4,'ON Data'!$E:$E,8),SUMIFS('ON Data'!AJ:AJ,'ON Data'!$E:$E,8))</f>
        <v>0</v>
      </c>
      <c r="AF17" s="204">
        <f xml:space="preserve">
IF($A$4&lt;=12,SUMIFS('ON Data'!AK:AK,'ON Data'!$D:$D,$A$4,'ON Data'!$E:$E,8),SUMIFS('ON Data'!AK:AK,'ON Data'!$E:$E,8))</f>
        <v>0</v>
      </c>
      <c r="AG17" s="204">
        <f xml:space="preserve">
IF($A$4&lt;=12,SUMIFS('ON Data'!AL:AL,'ON Data'!$D:$D,$A$4,'ON Data'!$E:$E,8),SUMIFS('ON Data'!AL:AL,'ON Data'!$E:$E,8))</f>
        <v>0</v>
      </c>
      <c r="AH17" s="403">
        <f xml:space="preserve">
IF($A$4&lt;=12,SUMIFS('ON Data'!AN:AN,'ON Data'!$D:$D,$A$4,'ON Data'!$E:$E,8),SUMIFS('ON Data'!AN:AN,'ON Data'!$E:$E,8))</f>
        <v>0</v>
      </c>
      <c r="AI17" s="413"/>
    </row>
    <row r="18" spans="1:35" x14ac:dyDescent="0.3">
      <c r="A18" s="187" t="s">
        <v>124</v>
      </c>
      <c r="B18" s="202">
        <f xml:space="preserve">
B19-B16-B17</f>
        <v>65572</v>
      </c>
      <c r="C18" s="203">
        <f t="shared" ref="C18:G18" si="0" xml:space="preserve">
C19-C16-C17</f>
        <v>0</v>
      </c>
      <c r="D18" s="204">
        <f t="shared" si="0"/>
        <v>0</v>
      </c>
      <c r="E18" s="204">
        <f t="shared" si="0"/>
        <v>0</v>
      </c>
      <c r="F18" s="204">
        <f t="shared" si="0"/>
        <v>36824</v>
      </c>
      <c r="G18" s="204">
        <f t="shared" si="0"/>
        <v>0</v>
      </c>
      <c r="H18" s="204">
        <f t="shared" ref="H18:AH18" si="1" xml:space="preserve">
H19-H16-H17</f>
        <v>0</v>
      </c>
      <c r="I18" s="204">
        <f t="shared" si="1"/>
        <v>0</v>
      </c>
      <c r="J18" s="204">
        <f t="shared" si="1"/>
        <v>0</v>
      </c>
      <c r="K18" s="204">
        <f t="shared" si="1"/>
        <v>0</v>
      </c>
      <c r="L18" s="204">
        <f t="shared" si="1"/>
        <v>0</v>
      </c>
      <c r="M18" s="204">
        <f t="shared" si="1"/>
        <v>0</v>
      </c>
      <c r="N18" s="204">
        <f t="shared" si="1"/>
        <v>0</v>
      </c>
      <c r="O18" s="204">
        <f t="shared" si="1"/>
        <v>0</v>
      </c>
      <c r="P18" s="204">
        <f t="shared" si="1"/>
        <v>0</v>
      </c>
      <c r="Q18" s="204">
        <f t="shared" si="1"/>
        <v>0</v>
      </c>
      <c r="R18" s="204">
        <f t="shared" si="1"/>
        <v>0</v>
      </c>
      <c r="S18" s="204">
        <f t="shared" si="1"/>
        <v>0</v>
      </c>
      <c r="T18" s="204">
        <f t="shared" si="1"/>
        <v>0</v>
      </c>
      <c r="U18" s="204">
        <f t="shared" si="1"/>
        <v>0</v>
      </c>
      <c r="V18" s="204">
        <f t="shared" si="1"/>
        <v>0</v>
      </c>
      <c r="W18" s="204">
        <f t="shared" si="1"/>
        <v>0</v>
      </c>
      <c r="X18" s="204">
        <f t="shared" si="1"/>
        <v>0</v>
      </c>
      <c r="Y18" s="204">
        <f t="shared" si="1"/>
        <v>15876</v>
      </c>
      <c r="Z18" s="204">
        <f t="shared" si="1"/>
        <v>0</v>
      </c>
      <c r="AA18" s="204">
        <f t="shared" si="1"/>
        <v>0</v>
      </c>
      <c r="AB18" s="204">
        <f t="shared" si="1"/>
        <v>0</v>
      </c>
      <c r="AC18" s="204">
        <f t="shared" si="1"/>
        <v>0</v>
      </c>
      <c r="AD18" s="204">
        <f t="shared" si="1"/>
        <v>12872</v>
      </c>
      <c r="AE18" s="204">
        <f t="shared" si="1"/>
        <v>0</v>
      </c>
      <c r="AF18" s="204">
        <f t="shared" si="1"/>
        <v>0</v>
      </c>
      <c r="AG18" s="204">
        <f t="shared" si="1"/>
        <v>0</v>
      </c>
      <c r="AH18" s="403">
        <f t="shared" si="1"/>
        <v>0</v>
      </c>
      <c r="AI18" s="413"/>
    </row>
    <row r="19" spans="1:35" ht="15" thickBot="1" x14ac:dyDescent="0.35">
      <c r="A19" s="188" t="s">
        <v>125</v>
      </c>
      <c r="B19" s="211">
        <f xml:space="preserve">
IF($A$4&lt;=12,SUMIFS('ON Data'!F:F,'ON Data'!$D:$D,$A$4,'ON Data'!$E:$E,9),SUMIFS('ON Data'!F:F,'ON Data'!$E:$E,9))</f>
        <v>65572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0</v>
      </c>
      <c r="E19" s="213">
        <f xml:space="preserve">
IF($A$4&lt;=12,SUMIFS('ON Data'!I:I,'ON Data'!$D:$D,$A$4,'ON Data'!$E:$E,9),SUMIFS('ON Data'!I:I,'ON Data'!$E:$E,9))</f>
        <v>0</v>
      </c>
      <c r="F19" s="213">
        <f xml:space="preserve">
IF($A$4&lt;=12,SUMIFS('ON Data'!K:K,'ON Data'!$D:$D,$A$4,'ON Data'!$E:$E,9),SUMIFS('ON Data'!K:K,'ON Data'!$E:$E,9))</f>
        <v>36824</v>
      </c>
      <c r="G19" s="213">
        <f xml:space="preserve">
IF($A$4&lt;=12,SUMIFS('ON Data'!L:L,'ON Data'!$D:$D,$A$4,'ON Data'!$E:$E,9),SUMIFS('ON Data'!L:L,'ON Data'!$E:$E,9))</f>
        <v>0</v>
      </c>
      <c r="H19" s="213">
        <f xml:space="preserve">
IF($A$4&lt;=12,SUMIFS('ON Data'!M:M,'ON Data'!$D:$D,$A$4,'ON Data'!$E:$E,9),SUMIFS('ON Data'!M:M,'ON Data'!$E:$E,9))</f>
        <v>0</v>
      </c>
      <c r="I19" s="213">
        <f xml:space="preserve">
IF($A$4&lt;=12,SUMIFS('ON Data'!N:N,'ON Data'!$D:$D,$A$4,'ON Data'!$E:$E,9),SUMIFS('ON Data'!N:N,'ON Data'!$E:$E,9))</f>
        <v>0</v>
      </c>
      <c r="J19" s="213">
        <f xml:space="preserve">
IF($A$4&lt;=12,SUMIFS('ON Data'!O:O,'ON Data'!$D:$D,$A$4,'ON Data'!$E:$E,9),SUMIFS('ON Data'!O:O,'ON Data'!$E:$E,9))</f>
        <v>0</v>
      </c>
      <c r="K19" s="213">
        <f xml:space="preserve">
IF($A$4&lt;=12,SUMIFS('ON Data'!P:P,'ON Data'!$D:$D,$A$4,'ON Data'!$E:$E,9),SUMIFS('ON Data'!P:P,'ON Data'!$E:$E,9))</f>
        <v>0</v>
      </c>
      <c r="L19" s="213">
        <f xml:space="preserve">
IF($A$4&lt;=12,SUMIFS('ON Data'!Q:Q,'ON Data'!$D:$D,$A$4,'ON Data'!$E:$E,9),SUMIFS('ON Data'!Q:Q,'ON Data'!$E:$E,9))</f>
        <v>0</v>
      </c>
      <c r="M19" s="213">
        <f xml:space="preserve">
IF($A$4&lt;=12,SUMIFS('ON Data'!R:R,'ON Data'!$D:$D,$A$4,'ON Data'!$E:$E,9),SUMIFS('ON Data'!R:R,'ON Data'!$E:$E,9))</f>
        <v>0</v>
      </c>
      <c r="N19" s="213">
        <f xml:space="preserve">
IF($A$4&lt;=12,SUMIFS('ON Data'!S:S,'ON Data'!$D:$D,$A$4,'ON Data'!$E:$E,9),SUMIFS('ON Data'!S:S,'ON Data'!$E:$E,9))</f>
        <v>0</v>
      </c>
      <c r="O19" s="213">
        <f xml:space="preserve">
IF($A$4&lt;=12,SUMIFS('ON Data'!T:T,'ON Data'!$D:$D,$A$4,'ON Data'!$E:$E,9),SUMIFS('ON Data'!T:T,'ON Data'!$E:$E,9))</f>
        <v>0</v>
      </c>
      <c r="P19" s="213">
        <f xml:space="preserve">
IF($A$4&lt;=12,SUMIFS('ON Data'!U:U,'ON Data'!$D:$D,$A$4,'ON Data'!$E:$E,9),SUMIFS('ON Data'!U:U,'ON Data'!$E:$E,9))</f>
        <v>0</v>
      </c>
      <c r="Q19" s="213">
        <f xml:space="preserve">
IF($A$4&lt;=12,SUMIFS('ON Data'!V:V,'ON Data'!$D:$D,$A$4,'ON Data'!$E:$E,9),SUMIFS('ON Data'!V:V,'ON Data'!$E:$E,9))</f>
        <v>0</v>
      </c>
      <c r="R19" s="213">
        <f xml:space="preserve">
IF($A$4&lt;=12,SUMIFS('ON Data'!W:W,'ON Data'!$D:$D,$A$4,'ON Data'!$E:$E,9),SUMIFS('ON Data'!W:W,'ON Data'!$E:$E,9))</f>
        <v>0</v>
      </c>
      <c r="S19" s="213">
        <f xml:space="preserve">
IF($A$4&lt;=12,SUMIFS('ON Data'!X:X,'ON Data'!$D:$D,$A$4,'ON Data'!$E:$E,9),SUMIFS('ON Data'!X:X,'ON Data'!$E:$E,9))</f>
        <v>0</v>
      </c>
      <c r="T19" s="213">
        <f xml:space="preserve">
IF($A$4&lt;=12,SUMIFS('ON Data'!Y:Y,'ON Data'!$D:$D,$A$4,'ON Data'!$E:$E,9),SUMIFS('ON Data'!Y:Y,'ON Data'!$E:$E,9))</f>
        <v>0</v>
      </c>
      <c r="U19" s="213">
        <f xml:space="preserve">
IF($A$4&lt;=12,SUMIFS('ON Data'!Z:Z,'ON Data'!$D:$D,$A$4,'ON Data'!$E:$E,9),SUMIFS('ON Data'!Z:Z,'ON Data'!$E:$E,9))</f>
        <v>0</v>
      </c>
      <c r="V19" s="213">
        <f xml:space="preserve">
IF($A$4&lt;=12,SUMIFS('ON Data'!AA:AA,'ON Data'!$D:$D,$A$4,'ON Data'!$E:$E,9),SUMIFS('ON Data'!AA:AA,'ON Data'!$E:$E,9))</f>
        <v>0</v>
      </c>
      <c r="W19" s="213">
        <f xml:space="preserve">
IF($A$4&lt;=12,SUMIFS('ON Data'!AB:AB,'ON Data'!$D:$D,$A$4,'ON Data'!$E:$E,9),SUMIFS('ON Data'!AB:AB,'ON Data'!$E:$E,9))</f>
        <v>0</v>
      </c>
      <c r="X19" s="213">
        <f xml:space="preserve">
IF($A$4&lt;=12,SUMIFS('ON Data'!AC:AC,'ON Data'!$D:$D,$A$4,'ON Data'!$E:$E,9),SUMIFS('ON Data'!AC:AC,'ON Data'!$E:$E,9))</f>
        <v>0</v>
      </c>
      <c r="Y19" s="213">
        <f xml:space="preserve">
IF($A$4&lt;=12,SUMIFS('ON Data'!AD:AD,'ON Data'!$D:$D,$A$4,'ON Data'!$E:$E,9),SUMIFS('ON Data'!AD:AD,'ON Data'!$E:$E,9))</f>
        <v>15876</v>
      </c>
      <c r="Z19" s="213">
        <f xml:space="preserve">
IF($A$4&lt;=12,SUMIFS('ON Data'!AE:AE,'ON Data'!$D:$D,$A$4,'ON Data'!$E:$E,9),SUMIFS('ON Data'!AE:AE,'ON Data'!$E:$E,9))</f>
        <v>0</v>
      </c>
      <c r="AA19" s="213">
        <f xml:space="preserve">
IF($A$4&lt;=12,SUMIFS('ON Data'!AF:AF,'ON Data'!$D:$D,$A$4,'ON Data'!$E:$E,9),SUMIFS('ON Data'!AF:AF,'ON Data'!$E:$E,9))</f>
        <v>0</v>
      </c>
      <c r="AB19" s="213">
        <f xml:space="preserve">
IF($A$4&lt;=12,SUMIFS('ON Data'!AG:AG,'ON Data'!$D:$D,$A$4,'ON Data'!$E:$E,9),SUMIFS('ON Data'!AG:AG,'ON Data'!$E:$E,9))</f>
        <v>0</v>
      </c>
      <c r="AC19" s="213">
        <f xml:space="preserve">
IF($A$4&lt;=12,SUMIFS('ON Data'!AH:AH,'ON Data'!$D:$D,$A$4,'ON Data'!$E:$E,9),SUMIFS('ON Data'!AH:AH,'ON Data'!$E:$E,9))</f>
        <v>0</v>
      </c>
      <c r="AD19" s="213">
        <f xml:space="preserve">
IF($A$4&lt;=12,SUMIFS('ON Data'!AI:AI,'ON Data'!$D:$D,$A$4,'ON Data'!$E:$E,9),SUMIFS('ON Data'!AI:AI,'ON Data'!$E:$E,9))</f>
        <v>12872</v>
      </c>
      <c r="AE19" s="213">
        <f xml:space="preserve">
IF($A$4&lt;=12,SUMIFS('ON Data'!AJ:AJ,'ON Data'!$D:$D,$A$4,'ON Data'!$E:$E,9),SUMIFS('ON Data'!AJ:AJ,'ON Data'!$E:$E,9))</f>
        <v>0</v>
      </c>
      <c r="AF19" s="213">
        <f xml:space="preserve">
IF($A$4&lt;=12,SUMIFS('ON Data'!AK:AK,'ON Data'!$D:$D,$A$4,'ON Data'!$E:$E,9),SUMIFS('ON Data'!AK:AK,'ON Data'!$E:$E,9))</f>
        <v>0</v>
      </c>
      <c r="AG19" s="213">
        <f xml:space="preserve">
IF($A$4&lt;=12,SUMIFS('ON Data'!AL:AL,'ON Data'!$D:$D,$A$4,'ON Data'!$E:$E,9),SUMIFS('ON Data'!AL:AL,'ON Data'!$E:$E,9))</f>
        <v>0</v>
      </c>
      <c r="AH19" s="406">
        <f xml:space="preserve">
IF($A$4&lt;=12,SUMIFS('ON Data'!AN:AN,'ON Data'!$D:$D,$A$4,'ON Data'!$E:$E,9),SUMIFS('ON Data'!AN:AN,'ON Data'!$E:$E,9))</f>
        <v>0</v>
      </c>
      <c r="AI19" s="413"/>
    </row>
    <row r="20" spans="1:35" ht="15" collapsed="1" thickBot="1" x14ac:dyDescent="0.35">
      <c r="A20" s="189" t="s">
        <v>55</v>
      </c>
      <c r="B20" s="214">
        <f xml:space="preserve">
IF($A$4&lt;=12,SUMIFS('ON Data'!F:F,'ON Data'!$D:$D,$A$4,'ON Data'!$E:$E,6),SUMIFS('ON Data'!F:F,'ON Data'!$E:$E,6))</f>
        <v>4289016</v>
      </c>
      <c r="C20" s="215">
        <f xml:space="preserve">
IF($A$4&lt;=12,SUMIFS('ON Data'!G:G,'ON Data'!$D:$D,$A$4,'ON Data'!$E:$E,6),SUMIFS('ON Data'!G:G,'ON Data'!$E:$E,6))</f>
        <v>0</v>
      </c>
      <c r="D20" s="216">
        <f xml:space="preserve">
IF($A$4&lt;=12,SUMIFS('ON Data'!H:H,'ON Data'!$D:$D,$A$4,'ON Data'!$E:$E,6),SUMIFS('ON Data'!H:H,'ON Data'!$E:$E,6))</f>
        <v>0</v>
      </c>
      <c r="E20" s="216">
        <f xml:space="preserve">
IF($A$4&lt;=12,SUMIFS('ON Data'!I:I,'ON Data'!$D:$D,$A$4,'ON Data'!$E:$E,6),SUMIFS('ON Data'!I:I,'ON Data'!$E:$E,6))</f>
        <v>0</v>
      </c>
      <c r="F20" s="216">
        <f xml:space="preserve">
IF($A$4&lt;=12,SUMIFS('ON Data'!K:K,'ON Data'!$D:$D,$A$4,'ON Data'!$E:$E,6),SUMIFS('ON Data'!K:K,'ON Data'!$E:$E,6))</f>
        <v>2612324</v>
      </c>
      <c r="G20" s="216">
        <f xml:space="preserve">
IF($A$4&lt;=12,SUMIFS('ON Data'!L:L,'ON Data'!$D:$D,$A$4,'ON Data'!$E:$E,6),SUMIFS('ON Data'!L:L,'ON Data'!$E:$E,6))</f>
        <v>0</v>
      </c>
      <c r="H20" s="216">
        <f xml:space="preserve">
IF($A$4&lt;=12,SUMIFS('ON Data'!M:M,'ON Data'!$D:$D,$A$4,'ON Data'!$E:$E,6),SUMIFS('ON Data'!M:M,'ON Data'!$E:$E,6))</f>
        <v>0</v>
      </c>
      <c r="I20" s="216">
        <f xml:space="preserve">
IF($A$4&lt;=12,SUMIFS('ON Data'!N:N,'ON Data'!$D:$D,$A$4,'ON Data'!$E:$E,6),SUMIFS('ON Data'!N:N,'ON Data'!$E:$E,6))</f>
        <v>0</v>
      </c>
      <c r="J20" s="216">
        <f xml:space="preserve">
IF($A$4&lt;=12,SUMIFS('ON Data'!O:O,'ON Data'!$D:$D,$A$4,'ON Data'!$E:$E,6),SUMIFS('ON Data'!O:O,'ON Data'!$E:$E,6))</f>
        <v>0</v>
      </c>
      <c r="K20" s="216">
        <f xml:space="preserve">
IF($A$4&lt;=12,SUMIFS('ON Data'!P:P,'ON Data'!$D:$D,$A$4,'ON Data'!$E:$E,6),SUMIFS('ON Data'!P:P,'ON Data'!$E:$E,6))</f>
        <v>0</v>
      </c>
      <c r="L20" s="216">
        <f xml:space="preserve">
IF($A$4&lt;=12,SUMIFS('ON Data'!Q:Q,'ON Data'!$D:$D,$A$4,'ON Data'!$E:$E,6),SUMIFS('ON Data'!Q:Q,'ON Data'!$E:$E,6))</f>
        <v>0</v>
      </c>
      <c r="M20" s="216">
        <f xml:space="preserve">
IF($A$4&lt;=12,SUMIFS('ON Data'!R:R,'ON Data'!$D:$D,$A$4,'ON Data'!$E:$E,6),SUMIFS('ON Data'!R:R,'ON Data'!$E:$E,6))</f>
        <v>0</v>
      </c>
      <c r="N20" s="216">
        <f xml:space="preserve">
IF($A$4&lt;=12,SUMIFS('ON Data'!S:S,'ON Data'!$D:$D,$A$4,'ON Data'!$E:$E,6),SUMIFS('ON Data'!S:S,'ON Data'!$E:$E,6))</f>
        <v>0</v>
      </c>
      <c r="O20" s="216">
        <f xml:space="preserve">
IF($A$4&lt;=12,SUMIFS('ON Data'!T:T,'ON Data'!$D:$D,$A$4,'ON Data'!$E:$E,6),SUMIFS('ON Data'!T:T,'ON Data'!$E:$E,6))</f>
        <v>0</v>
      </c>
      <c r="P20" s="216">
        <f xml:space="preserve">
IF($A$4&lt;=12,SUMIFS('ON Data'!U:U,'ON Data'!$D:$D,$A$4,'ON Data'!$E:$E,6),SUMIFS('ON Data'!U:U,'ON Data'!$E:$E,6))</f>
        <v>0</v>
      </c>
      <c r="Q20" s="216">
        <f xml:space="preserve">
IF($A$4&lt;=12,SUMIFS('ON Data'!V:V,'ON Data'!$D:$D,$A$4,'ON Data'!$E:$E,6),SUMIFS('ON Data'!V:V,'ON Data'!$E:$E,6))</f>
        <v>0</v>
      </c>
      <c r="R20" s="216">
        <f xml:space="preserve">
IF($A$4&lt;=12,SUMIFS('ON Data'!W:W,'ON Data'!$D:$D,$A$4,'ON Data'!$E:$E,6),SUMIFS('ON Data'!W:W,'ON Data'!$E:$E,6))</f>
        <v>0</v>
      </c>
      <c r="S20" s="216">
        <f xml:space="preserve">
IF($A$4&lt;=12,SUMIFS('ON Data'!X:X,'ON Data'!$D:$D,$A$4,'ON Data'!$E:$E,6),SUMIFS('ON Data'!X:X,'ON Data'!$E:$E,6))</f>
        <v>0</v>
      </c>
      <c r="T20" s="216">
        <f xml:space="preserve">
IF($A$4&lt;=12,SUMIFS('ON Data'!Y:Y,'ON Data'!$D:$D,$A$4,'ON Data'!$E:$E,6),SUMIFS('ON Data'!Y:Y,'ON Data'!$E:$E,6))</f>
        <v>0</v>
      </c>
      <c r="U20" s="216">
        <f xml:space="preserve">
IF($A$4&lt;=12,SUMIFS('ON Data'!Z:Z,'ON Data'!$D:$D,$A$4,'ON Data'!$E:$E,6),SUMIFS('ON Data'!Z:Z,'ON Data'!$E:$E,6))</f>
        <v>0</v>
      </c>
      <c r="V20" s="216">
        <f xml:space="preserve">
IF($A$4&lt;=12,SUMIFS('ON Data'!AA:AA,'ON Data'!$D:$D,$A$4,'ON Data'!$E:$E,6),SUMIFS('ON Data'!AA:AA,'ON Data'!$E:$E,6))</f>
        <v>0</v>
      </c>
      <c r="W20" s="216">
        <f xml:space="preserve">
IF($A$4&lt;=12,SUMIFS('ON Data'!AB:AB,'ON Data'!$D:$D,$A$4,'ON Data'!$E:$E,6),SUMIFS('ON Data'!AB:AB,'ON Data'!$E:$E,6))</f>
        <v>0</v>
      </c>
      <c r="X20" s="216">
        <f xml:space="preserve">
IF($A$4&lt;=12,SUMIFS('ON Data'!AC:AC,'ON Data'!$D:$D,$A$4,'ON Data'!$E:$E,6),SUMIFS('ON Data'!AC:AC,'ON Data'!$E:$E,6))</f>
        <v>0</v>
      </c>
      <c r="Y20" s="216">
        <f xml:space="preserve">
IF($A$4&lt;=12,SUMIFS('ON Data'!AD:AD,'ON Data'!$D:$D,$A$4,'ON Data'!$E:$E,6),SUMIFS('ON Data'!AD:AD,'ON Data'!$E:$E,6))</f>
        <v>570416</v>
      </c>
      <c r="Z20" s="216">
        <f xml:space="preserve">
IF($A$4&lt;=12,SUMIFS('ON Data'!AE:AE,'ON Data'!$D:$D,$A$4,'ON Data'!$E:$E,6),SUMIFS('ON Data'!AE:AE,'ON Data'!$E:$E,6))</f>
        <v>0</v>
      </c>
      <c r="AA20" s="216">
        <f xml:space="preserve">
IF($A$4&lt;=12,SUMIFS('ON Data'!AF:AF,'ON Data'!$D:$D,$A$4,'ON Data'!$E:$E,6),SUMIFS('ON Data'!AF:AF,'ON Data'!$E:$E,6))</f>
        <v>0</v>
      </c>
      <c r="AB20" s="216">
        <f xml:space="preserve">
IF($A$4&lt;=12,SUMIFS('ON Data'!AG:AG,'ON Data'!$D:$D,$A$4,'ON Data'!$E:$E,6),SUMIFS('ON Data'!AG:AG,'ON Data'!$E:$E,6))</f>
        <v>0</v>
      </c>
      <c r="AC20" s="216">
        <f xml:space="preserve">
IF($A$4&lt;=12,SUMIFS('ON Data'!AH:AH,'ON Data'!$D:$D,$A$4,'ON Data'!$E:$E,6),SUMIFS('ON Data'!AH:AH,'ON Data'!$E:$E,6))</f>
        <v>0</v>
      </c>
      <c r="AD20" s="216">
        <f xml:space="preserve">
IF($A$4&lt;=12,SUMIFS('ON Data'!AI:AI,'ON Data'!$D:$D,$A$4,'ON Data'!$E:$E,6),SUMIFS('ON Data'!AI:AI,'ON Data'!$E:$E,6))</f>
        <v>1106276</v>
      </c>
      <c r="AE20" s="216">
        <f xml:space="preserve">
IF($A$4&lt;=12,SUMIFS('ON Data'!AJ:AJ,'ON Data'!$D:$D,$A$4,'ON Data'!$E:$E,6),SUMIFS('ON Data'!AJ:AJ,'ON Data'!$E:$E,6))</f>
        <v>0</v>
      </c>
      <c r="AF20" s="216">
        <f xml:space="preserve">
IF($A$4&lt;=12,SUMIFS('ON Data'!AK:AK,'ON Data'!$D:$D,$A$4,'ON Data'!$E:$E,6),SUMIFS('ON Data'!AK:AK,'ON Data'!$E:$E,6))</f>
        <v>0</v>
      </c>
      <c r="AG20" s="216">
        <f xml:space="preserve">
IF($A$4&lt;=12,SUMIFS('ON Data'!AL:AL,'ON Data'!$D:$D,$A$4,'ON Data'!$E:$E,6),SUMIFS('ON Data'!AL:AL,'ON Data'!$E:$E,6))</f>
        <v>0</v>
      </c>
      <c r="AH20" s="407">
        <f xml:space="preserve">
IF($A$4&lt;=12,SUMIFS('ON Data'!AN:AN,'ON Data'!$D:$D,$A$4,'ON Data'!$E:$E,6),SUMIFS('ON Data'!AN:AN,'ON Data'!$E:$E,6))</f>
        <v>0</v>
      </c>
      <c r="AI20" s="413"/>
    </row>
    <row r="21" spans="1:35" ht="15" hidden="1" outlineLevel="1" thickBot="1" x14ac:dyDescent="0.35">
      <c r="A21" s="182" t="s">
        <v>62</v>
      </c>
      <c r="B21" s="202">
        <f xml:space="preserve">
IF($A$4&lt;=12,SUMIFS('ON Data'!F:F,'ON Data'!$D:$D,$A$4,'ON Data'!$E:$E,12),SUMIFS('ON Data'!F:F,'ON Data'!$E:$E,12))</f>
        <v>0</v>
      </c>
      <c r="C21" s="203">
        <f xml:space="preserve">
IF($A$4&lt;=12,SUMIFS('ON Data'!G:G,'ON Data'!$D:$D,$A$4,'ON Data'!$E:$E,12),SUMIFS('ON Data'!G:G,'ON Data'!$E:$E,12))</f>
        <v>0</v>
      </c>
      <c r="D21" s="204">
        <f xml:space="preserve">
IF($A$4&lt;=12,SUMIFS('ON Data'!H:H,'ON Data'!$D:$D,$A$4,'ON Data'!$E:$E,12),SUMIFS('ON Data'!H:H,'ON Data'!$E:$E,12))</f>
        <v>0</v>
      </c>
      <c r="E21" s="204">
        <f xml:space="preserve">
IF($A$4&lt;=12,SUMIFS('ON Data'!I:I,'ON Data'!$D:$D,$A$4,'ON Data'!$E:$E,12),SUMIFS('ON Data'!I:I,'ON Data'!$E:$E,12))</f>
        <v>0</v>
      </c>
      <c r="F21" s="204">
        <f xml:space="preserve">
IF($A$4&lt;=12,SUMIFS('ON Data'!K:K,'ON Data'!$D:$D,$A$4,'ON Data'!$E:$E,12),SUMIFS('ON Data'!K:K,'ON Data'!$E:$E,12))</f>
        <v>0</v>
      </c>
      <c r="G21" s="204">
        <f xml:space="preserve">
IF($A$4&lt;=12,SUMIFS('ON Data'!L:L,'ON Data'!$D:$D,$A$4,'ON Data'!$E:$E,12),SUMIFS('ON Data'!L:L,'ON Data'!$E:$E,12))</f>
        <v>0</v>
      </c>
      <c r="H21" s="204">
        <f xml:space="preserve">
IF($A$4&lt;=12,SUMIFS('ON Data'!M:M,'ON Data'!$D:$D,$A$4,'ON Data'!$E:$E,12),SUMIFS('ON Data'!M:M,'ON Data'!$E:$E,12))</f>
        <v>0</v>
      </c>
      <c r="I21" s="204">
        <f xml:space="preserve">
IF($A$4&lt;=12,SUMIFS('ON Data'!N:N,'ON Data'!$D:$D,$A$4,'ON Data'!$E:$E,12),SUMIFS('ON Data'!N:N,'ON Data'!$E:$E,12))</f>
        <v>0</v>
      </c>
      <c r="J21" s="204">
        <f xml:space="preserve">
IF($A$4&lt;=12,SUMIFS('ON Data'!O:O,'ON Data'!$D:$D,$A$4,'ON Data'!$E:$E,12),SUMIFS('ON Data'!O:O,'ON Data'!$E:$E,12))</f>
        <v>0</v>
      </c>
      <c r="K21" s="204">
        <f xml:space="preserve">
IF($A$4&lt;=12,SUMIFS('ON Data'!P:P,'ON Data'!$D:$D,$A$4,'ON Data'!$E:$E,12),SUMIFS('ON Data'!P:P,'ON Data'!$E:$E,12))</f>
        <v>0</v>
      </c>
      <c r="L21" s="204">
        <f xml:space="preserve">
IF($A$4&lt;=12,SUMIFS('ON Data'!Q:Q,'ON Data'!$D:$D,$A$4,'ON Data'!$E:$E,12),SUMIFS('ON Data'!Q:Q,'ON Data'!$E:$E,12))</f>
        <v>0</v>
      </c>
      <c r="M21" s="204">
        <f xml:space="preserve">
IF($A$4&lt;=12,SUMIFS('ON Data'!R:R,'ON Data'!$D:$D,$A$4,'ON Data'!$E:$E,12),SUMIFS('ON Data'!R:R,'ON Data'!$E:$E,12))</f>
        <v>0</v>
      </c>
      <c r="N21" s="204">
        <f xml:space="preserve">
IF($A$4&lt;=12,SUMIFS('ON Data'!S:S,'ON Data'!$D:$D,$A$4,'ON Data'!$E:$E,12),SUMIFS('ON Data'!S:S,'ON Data'!$E:$E,12))</f>
        <v>0</v>
      </c>
      <c r="O21" s="204">
        <f xml:space="preserve">
IF($A$4&lt;=12,SUMIFS('ON Data'!T:T,'ON Data'!$D:$D,$A$4,'ON Data'!$E:$E,12),SUMIFS('ON Data'!T:T,'ON Data'!$E:$E,12))</f>
        <v>0</v>
      </c>
      <c r="P21" s="204">
        <f xml:space="preserve">
IF($A$4&lt;=12,SUMIFS('ON Data'!U:U,'ON Data'!$D:$D,$A$4,'ON Data'!$E:$E,12),SUMIFS('ON Data'!U:U,'ON Data'!$E:$E,12))</f>
        <v>0</v>
      </c>
      <c r="Q21" s="204">
        <f xml:space="preserve">
IF($A$4&lt;=12,SUMIFS('ON Data'!V:V,'ON Data'!$D:$D,$A$4,'ON Data'!$E:$E,12),SUMIFS('ON Data'!V:V,'ON Data'!$E:$E,12))</f>
        <v>0</v>
      </c>
      <c r="R21" s="204">
        <f xml:space="preserve">
IF($A$4&lt;=12,SUMIFS('ON Data'!W:W,'ON Data'!$D:$D,$A$4,'ON Data'!$E:$E,12),SUMIFS('ON Data'!W:W,'ON Data'!$E:$E,12))</f>
        <v>0</v>
      </c>
      <c r="S21" s="204">
        <f xml:space="preserve">
IF($A$4&lt;=12,SUMIFS('ON Data'!X:X,'ON Data'!$D:$D,$A$4,'ON Data'!$E:$E,12),SUMIFS('ON Data'!X:X,'ON Data'!$E:$E,12))</f>
        <v>0</v>
      </c>
      <c r="T21" s="204">
        <f xml:space="preserve">
IF($A$4&lt;=12,SUMIFS('ON Data'!Y:Y,'ON Data'!$D:$D,$A$4,'ON Data'!$E:$E,12),SUMIFS('ON Data'!Y:Y,'ON Data'!$E:$E,12))</f>
        <v>0</v>
      </c>
      <c r="U21" s="204">
        <f xml:space="preserve">
IF($A$4&lt;=12,SUMIFS('ON Data'!Z:Z,'ON Data'!$D:$D,$A$4,'ON Data'!$E:$E,12),SUMIFS('ON Data'!Z:Z,'ON Data'!$E:$E,12))</f>
        <v>0</v>
      </c>
      <c r="V21" s="204">
        <f xml:space="preserve">
IF($A$4&lt;=12,SUMIFS('ON Data'!AA:AA,'ON Data'!$D:$D,$A$4,'ON Data'!$E:$E,12),SUMIFS('ON Data'!AA:AA,'ON Data'!$E:$E,12))</f>
        <v>0</v>
      </c>
      <c r="W21" s="204">
        <f xml:space="preserve">
IF($A$4&lt;=12,SUMIFS('ON Data'!AB:AB,'ON Data'!$D:$D,$A$4,'ON Data'!$E:$E,12),SUMIFS('ON Data'!AB:AB,'ON Data'!$E:$E,12))</f>
        <v>0</v>
      </c>
      <c r="X21" s="204">
        <f xml:space="preserve">
IF($A$4&lt;=12,SUMIFS('ON Data'!AC:AC,'ON Data'!$D:$D,$A$4,'ON Data'!$E:$E,12),SUMIFS('ON Data'!AC:AC,'ON Data'!$E:$E,12))</f>
        <v>0</v>
      </c>
      <c r="Y21" s="204">
        <f xml:space="preserve">
IF($A$4&lt;=12,SUMIFS('ON Data'!AD:AD,'ON Data'!$D:$D,$A$4,'ON Data'!$E:$E,12),SUMIFS('ON Data'!AD:AD,'ON Data'!$E:$E,12))</f>
        <v>0</v>
      </c>
      <c r="Z21" s="204">
        <f xml:space="preserve">
IF($A$4&lt;=12,SUMIFS('ON Data'!AE:AE,'ON Data'!$D:$D,$A$4,'ON Data'!$E:$E,12),SUMIFS('ON Data'!AE:AE,'ON Data'!$E:$E,12))</f>
        <v>0</v>
      </c>
      <c r="AA21" s="204">
        <f xml:space="preserve">
IF($A$4&lt;=12,SUMIFS('ON Data'!AF:AF,'ON Data'!$D:$D,$A$4,'ON Data'!$E:$E,12),SUMIFS('ON Data'!AF:AF,'ON Data'!$E:$E,12))</f>
        <v>0</v>
      </c>
      <c r="AB21" s="204">
        <f xml:space="preserve">
IF($A$4&lt;=12,SUMIFS('ON Data'!AG:AG,'ON Data'!$D:$D,$A$4,'ON Data'!$E:$E,12),SUMIFS('ON Data'!AG:AG,'ON Data'!$E:$E,12))</f>
        <v>0</v>
      </c>
      <c r="AC21" s="204">
        <f xml:space="preserve">
IF($A$4&lt;=12,SUMIFS('ON Data'!AH:AH,'ON Data'!$D:$D,$A$4,'ON Data'!$E:$E,12),SUMIFS('ON Data'!AH:AH,'ON Data'!$E:$E,12))</f>
        <v>0</v>
      </c>
      <c r="AD21" s="204">
        <f xml:space="preserve">
IF($A$4&lt;=12,SUMIFS('ON Data'!AI:AI,'ON Data'!$D:$D,$A$4,'ON Data'!$E:$E,12),SUMIFS('ON Data'!AI:AI,'ON Data'!$E:$E,12))</f>
        <v>0</v>
      </c>
      <c r="AE21" s="204">
        <f xml:space="preserve">
IF($A$4&lt;=12,SUMIFS('ON Data'!AJ:AJ,'ON Data'!$D:$D,$A$4,'ON Data'!$E:$E,12),SUMIFS('ON Data'!AJ:AJ,'ON Data'!$E:$E,12))</f>
        <v>0</v>
      </c>
      <c r="AF21" s="204">
        <f xml:space="preserve">
IF($A$4&lt;=12,SUMIFS('ON Data'!AK:AK,'ON Data'!$D:$D,$A$4,'ON Data'!$E:$E,12),SUMIFS('ON Data'!AK:AK,'ON Data'!$E:$E,12))</f>
        <v>0</v>
      </c>
      <c r="AG21" s="204">
        <f xml:space="preserve">
IF($A$4&lt;=12,SUMIFS('ON Data'!AL:AL,'ON Data'!$D:$D,$A$4,'ON Data'!$E:$E,12),SUMIFS('ON Data'!AL:AL,'ON Data'!$E:$E,12))</f>
        <v>0</v>
      </c>
      <c r="AH21" s="403">
        <f xml:space="preserve">
IF($A$4&lt;=12,SUMIFS('ON Data'!AN:AN,'ON Data'!$D:$D,$A$4,'ON Data'!$E:$E,12),SUMIFS('ON Data'!AN:AN,'ON Data'!$E:$E,12))</f>
        <v>0</v>
      </c>
      <c r="AI21" s="413"/>
    </row>
    <row r="22" spans="1:35" ht="15" hidden="1" outlineLevel="1" thickBot="1" x14ac:dyDescent="0.35">
      <c r="A22" s="182" t="s">
        <v>57</v>
      </c>
      <c r="B22" s="254" t="str">
        <f xml:space="preserve">
IF(OR(B21="",B21=0),"",B20/B21)</f>
        <v/>
      </c>
      <c r="C22" s="255" t="str">
        <f t="shared" ref="C22:G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F22" s="256" t="str">
        <f t="shared" si="2"/>
        <v/>
      </c>
      <c r="G22" s="256" t="str">
        <f t="shared" si="2"/>
        <v/>
      </c>
      <c r="H22" s="256" t="str">
        <f t="shared" ref="H22:AH22" si="3" xml:space="preserve">
IF(OR(H21="",H21=0),"",H20/H21)</f>
        <v/>
      </c>
      <c r="I22" s="256" t="str">
        <f t="shared" si="3"/>
        <v/>
      </c>
      <c r="J22" s="256" t="str">
        <f t="shared" si="3"/>
        <v/>
      </c>
      <c r="K22" s="256" t="str">
        <f t="shared" si="3"/>
        <v/>
      </c>
      <c r="L22" s="256" t="str">
        <f t="shared" si="3"/>
        <v/>
      </c>
      <c r="M22" s="256" t="str">
        <f t="shared" si="3"/>
        <v/>
      </c>
      <c r="N22" s="256" t="str">
        <f t="shared" si="3"/>
        <v/>
      </c>
      <c r="O22" s="256" t="str">
        <f t="shared" si="3"/>
        <v/>
      </c>
      <c r="P22" s="256" t="str">
        <f t="shared" si="3"/>
        <v/>
      </c>
      <c r="Q22" s="256" t="str">
        <f t="shared" si="3"/>
        <v/>
      </c>
      <c r="R22" s="256" t="str">
        <f t="shared" si="3"/>
        <v/>
      </c>
      <c r="S22" s="256" t="str">
        <f t="shared" si="3"/>
        <v/>
      </c>
      <c r="T22" s="256" t="str">
        <f t="shared" si="3"/>
        <v/>
      </c>
      <c r="U22" s="256" t="str">
        <f t="shared" si="3"/>
        <v/>
      </c>
      <c r="V22" s="256" t="str">
        <f t="shared" si="3"/>
        <v/>
      </c>
      <c r="W22" s="256" t="str">
        <f t="shared" si="3"/>
        <v/>
      </c>
      <c r="X22" s="256" t="str">
        <f t="shared" si="3"/>
        <v/>
      </c>
      <c r="Y22" s="256" t="str">
        <f t="shared" si="3"/>
        <v/>
      </c>
      <c r="Z22" s="256" t="str">
        <f t="shared" si="3"/>
        <v/>
      </c>
      <c r="AA22" s="256" t="str">
        <f t="shared" si="3"/>
        <v/>
      </c>
      <c r="AB22" s="256" t="str">
        <f t="shared" si="3"/>
        <v/>
      </c>
      <c r="AC22" s="256" t="str">
        <f t="shared" si="3"/>
        <v/>
      </c>
      <c r="AD22" s="256" t="str">
        <f t="shared" si="3"/>
        <v/>
      </c>
      <c r="AE22" s="256" t="str">
        <f t="shared" si="3"/>
        <v/>
      </c>
      <c r="AF22" s="256" t="str">
        <f t="shared" si="3"/>
        <v/>
      </c>
      <c r="AG22" s="256" t="str">
        <f t="shared" si="3"/>
        <v/>
      </c>
      <c r="AH22" s="408" t="str">
        <f t="shared" si="3"/>
        <v/>
      </c>
      <c r="AI22" s="413"/>
    </row>
    <row r="23" spans="1:35" ht="15" hidden="1" outlineLevel="1" thickBot="1" x14ac:dyDescent="0.35">
      <c r="A23" s="190" t="s">
        <v>52</v>
      </c>
      <c r="B23" s="205">
        <f xml:space="preserve">
IF(B21="","",B20-B21)</f>
        <v>4289016</v>
      </c>
      <c r="C23" s="206">
        <f t="shared" ref="C23:G23" si="4" xml:space="preserve">
IF(C21="","",C20-C21)</f>
        <v>0</v>
      </c>
      <c r="D23" s="207">
        <f t="shared" si="4"/>
        <v>0</v>
      </c>
      <c r="E23" s="207">
        <f t="shared" si="4"/>
        <v>0</v>
      </c>
      <c r="F23" s="207">
        <f t="shared" si="4"/>
        <v>2612324</v>
      </c>
      <c r="G23" s="207">
        <f t="shared" si="4"/>
        <v>0</v>
      </c>
      <c r="H23" s="207">
        <f t="shared" ref="H23:AH23" si="5" xml:space="preserve">
IF(H21="","",H20-H21)</f>
        <v>0</v>
      </c>
      <c r="I23" s="207">
        <f t="shared" si="5"/>
        <v>0</v>
      </c>
      <c r="J23" s="207">
        <f t="shared" si="5"/>
        <v>0</v>
      </c>
      <c r="K23" s="207">
        <f t="shared" si="5"/>
        <v>0</v>
      </c>
      <c r="L23" s="207">
        <f t="shared" si="5"/>
        <v>0</v>
      </c>
      <c r="M23" s="207">
        <f t="shared" si="5"/>
        <v>0</v>
      </c>
      <c r="N23" s="207">
        <f t="shared" si="5"/>
        <v>0</v>
      </c>
      <c r="O23" s="207">
        <f t="shared" si="5"/>
        <v>0</v>
      </c>
      <c r="P23" s="207">
        <f t="shared" si="5"/>
        <v>0</v>
      </c>
      <c r="Q23" s="207">
        <f t="shared" si="5"/>
        <v>0</v>
      </c>
      <c r="R23" s="207">
        <f t="shared" si="5"/>
        <v>0</v>
      </c>
      <c r="S23" s="207">
        <f t="shared" si="5"/>
        <v>0</v>
      </c>
      <c r="T23" s="207">
        <f t="shared" si="5"/>
        <v>0</v>
      </c>
      <c r="U23" s="207">
        <f t="shared" si="5"/>
        <v>0</v>
      </c>
      <c r="V23" s="207">
        <f t="shared" si="5"/>
        <v>0</v>
      </c>
      <c r="W23" s="207">
        <f t="shared" si="5"/>
        <v>0</v>
      </c>
      <c r="X23" s="207">
        <f t="shared" si="5"/>
        <v>0</v>
      </c>
      <c r="Y23" s="207">
        <f t="shared" si="5"/>
        <v>570416</v>
      </c>
      <c r="Z23" s="207">
        <f t="shared" si="5"/>
        <v>0</v>
      </c>
      <c r="AA23" s="207">
        <f t="shared" si="5"/>
        <v>0</v>
      </c>
      <c r="AB23" s="207">
        <f t="shared" si="5"/>
        <v>0</v>
      </c>
      <c r="AC23" s="207">
        <f t="shared" si="5"/>
        <v>0</v>
      </c>
      <c r="AD23" s="207">
        <f t="shared" si="5"/>
        <v>1106276</v>
      </c>
      <c r="AE23" s="207">
        <f t="shared" si="5"/>
        <v>0</v>
      </c>
      <c r="AF23" s="207">
        <f t="shared" si="5"/>
        <v>0</v>
      </c>
      <c r="AG23" s="207">
        <f t="shared" si="5"/>
        <v>0</v>
      </c>
      <c r="AH23" s="404">
        <f t="shared" si="5"/>
        <v>0</v>
      </c>
      <c r="AI23" s="413"/>
    </row>
    <row r="24" spans="1:35" x14ac:dyDescent="0.3">
      <c r="A24" s="184" t="s">
        <v>126</v>
      </c>
      <c r="B24" s="231" t="s">
        <v>2</v>
      </c>
      <c r="C24" s="414" t="s">
        <v>137</v>
      </c>
      <c r="D24" s="388"/>
      <c r="E24" s="389"/>
      <c r="F24" s="389" t="s">
        <v>138</v>
      </c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389"/>
      <c r="AE24" s="389"/>
      <c r="AF24" s="389"/>
      <c r="AG24" s="389"/>
      <c r="AH24" s="409" t="s">
        <v>139</v>
      </c>
      <c r="AI24" s="413"/>
    </row>
    <row r="25" spans="1:35" x14ac:dyDescent="0.3">
      <c r="A25" s="185" t="s">
        <v>55</v>
      </c>
      <c r="B25" s="202">
        <f xml:space="preserve">
SUM(C25:AH25)</f>
        <v>0</v>
      </c>
      <c r="C25" s="415">
        <f xml:space="preserve">
IF($A$4&lt;=12,SUMIFS('ON Data'!H:H,'ON Data'!$D:$D,$A$4,'ON Data'!$E:$E,10),SUMIFS('ON Data'!H:H,'ON Data'!$E:$E,10))</f>
        <v>0</v>
      </c>
      <c r="D25" s="390"/>
      <c r="E25" s="391"/>
      <c r="F25" s="391">
        <f xml:space="preserve">
IF($A$4&lt;=12,SUMIFS('ON Data'!K:K,'ON Data'!$D:$D,$A$4,'ON Data'!$E:$E,10),SUMIFS('ON Data'!K:K,'ON Data'!$E:$E,10))</f>
        <v>0</v>
      </c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391"/>
      <c r="AH25" s="410">
        <f xml:space="preserve">
IF($A$4&lt;=12,SUMIFS('ON Data'!AN:AN,'ON Data'!$D:$D,$A$4,'ON Data'!$E:$E,10),SUMIFS('ON Data'!AN:AN,'ON Data'!$E:$E,10))</f>
        <v>0</v>
      </c>
      <c r="AI25" s="413"/>
    </row>
    <row r="26" spans="1:35" x14ac:dyDescent="0.3">
      <c r="A26" s="191" t="s">
        <v>136</v>
      </c>
      <c r="B26" s="211">
        <f xml:space="preserve">
SUM(C26:AH26)</f>
        <v>0</v>
      </c>
      <c r="C26" s="415">
        <f xml:space="preserve">
IF($A$4&lt;=12,SUMIFS('ON Data'!H:H,'ON Data'!$D:$D,$A$4,'ON Data'!$E:$E,11),SUMIFS('ON Data'!H:H,'ON Data'!$E:$E,11))</f>
        <v>0</v>
      </c>
      <c r="D26" s="390"/>
      <c r="E26" s="391"/>
      <c r="F26" s="392">
        <f xml:space="preserve">
IF($A$4&lt;=12,SUMIFS('ON Data'!K:K,'ON Data'!$D:$D,$A$4,'ON Data'!$E:$E,11),SUMIFS('ON Data'!K:K,'ON Data'!$E:$E,11))</f>
        <v>0</v>
      </c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92"/>
      <c r="R26" s="392"/>
      <c r="S26" s="392"/>
      <c r="T26" s="392"/>
      <c r="U26" s="392"/>
      <c r="V26" s="392"/>
      <c r="W26" s="392"/>
      <c r="X26" s="392"/>
      <c r="Y26" s="392"/>
      <c r="Z26" s="392"/>
      <c r="AA26" s="392"/>
      <c r="AB26" s="392"/>
      <c r="AC26" s="392"/>
      <c r="AD26" s="392"/>
      <c r="AE26" s="392"/>
      <c r="AF26" s="392"/>
      <c r="AG26" s="392"/>
      <c r="AH26" s="410">
        <f xml:space="preserve">
IF($A$4&lt;=12,SUMIFS('ON Data'!AN:AN,'ON Data'!$D:$D,$A$4,'ON Data'!$E:$E,11),SUMIFS('ON Data'!AN:AN,'ON Data'!$E:$E,11))</f>
        <v>0</v>
      </c>
      <c r="AI26" s="413"/>
    </row>
    <row r="27" spans="1:35" x14ac:dyDescent="0.3">
      <c r="A27" s="191" t="s">
        <v>57</v>
      </c>
      <c r="B27" s="232">
        <f xml:space="preserve">
IF(B26=0,0,B25/B26)</f>
        <v>0</v>
      </c>
      <c r="C27" s="416">
        <f xml:space="preserve">
IF(C26=0,0,C25/C26)</f>
        <v>0</v>
      </c>
      <c r="D27" s="393"/>
      <c r="E27" s="394"/>
      <c r="F27" s="394">
        <f xml:space="preserve">
IF(F26=0,0,F25/F26)</f>
        <v>0</v>
      </c>
      <c r="G27" s="394"/>
      <c r="H27" s="394"/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4"/>
      <c r="AE27" s="394"/>
      <c r="AF27" s="394"/>
      <c r="AG27" s="394"/>
      <c r="AH27" s="411">
        <f xml:space="preserve">
IF(AH26=0,0,AH25/AH26)</f>
        <v>0</v>
      </c>
      <c r="AI27" s="413"/>
    </row>
    <row r="28" spans="1:35" ht="15" thickBot="1" x14ac:dyDescent="0.35">
      <c r="A28" s="191" t="s">
        <v>135</v>
      </c>
      <c r="B28" s="211">
        <f xml:space="preserve">
SUM(C28:AH28)</f>
        <v>0</v>
      </c>
      <c r="C28" s="417">
        <f xml:space="preserve">
C26-C25</f>
        <v>0</v>
      </c>
      <c r="D28" s="395"/>
      <c r="E28" s="396"/>
      <c r="F28" s="396">
        <f xml:space="preserve">
F26-F25</f>
        <v>0</v>
      </c>
      <c r="G28" s="396"/>
      <c r="H28" s="396"/>
      <c r="I28" s="396"/>
      <c r="J28" s="396"/>
      <c r="K28" s="396"/>
      <c r="L28" s="396"/>
      <c r="M28" s="396"/>
      <c r="N28" s="396"/>
      <c r="O28" s="396"/>
      <c r="P28" s="396"/>
      <c r="Q28" s="396"/>
      <c r="R28" s="396"/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396"/>
      <c r="AH28" s="412">
        <f xml:space="preserve">
AH26-AH25</f>
        <v>0</v>
      </c>
      <c r="AI28" s="413"/>
    </row>
    <row r="29" spans="1:35" x14ac:dyDescent="0.3">
      <c r="A29" s="192"/>
      <c r="B29" s="192"/>
      <c r="C29" s="193"/>
      <c r="D29" s="192"/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2"/>
      <c r="AG29" s="192"/>
      <c r="AH29" s="192"/>
    </row>
    <row r="30" spans="1:35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114"/>
    </row>
    <row r="31" spans="1:35" x14ac:dyDescent="0.3">
      <c r="A31" s="80" t="s">
        <v>133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114"/>
    </row>
    <row r="32" spans="1:35" ht="14.4" customHeight="1" x14ac:dyDescent="0.3">
      <c r="A32" s="228" t="s">
        <v>130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</row>
    <row r="33" spans="1:1" x14ac:dyDescent="0.3">
      <c r="A33" s="230" t="s">
        <v>140</v>
      </c>
    </row>
    <row r="34" spans="1:1" x14ac:dyDescent="0.3">
      <c r="A34" s="230" t="s">
        <v>141</v>
      </c>
    </row>
    <row r="35" spans="1:1" x14ac:dyDescent="0.3">
      <c r="A35" s="230" t="s">
        <v>142</v>
      </c>
    </row>
    <row r="36" spans="1:1" x14ac:dyDescent="0.3">
      <c r="A36" s="230" t="s">
        <v>143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28"/>
  <sheetViews>
    <sheetView showGridLines="0" showRowColHeaders="0" workbookViewId="0"/>
  </sheetViews>
  <sheetFormatPr defaultRowHeight="14.4" x14ac:dyDescent="0.3"/>
  <cols>
    <col min="1" max="16384" width="8.88671875" style="171"/>
  </cols>
  <sheetData>
    <row r="1" spans="1:41" x14ac:dyDescent="0.3">
      <c r="A1" s="171" t="s">
        <v>353</v>
      </c>
    </row>
    <row r="2" spans="1:41" x14ac:dyDescent="0.3">
      <c r="A2" s="175" t="s">
        <v>206</v>
      </c>
    </row>
    <row r="3" spans="1:41" x14ac:dyDescent="0.3">
      <c r="A3" s="171" t="s">
        <v>100</v>
      </c>
      <c r="B3" s="196">
        <v>2015</v>
      </c>
      <c r="D3" s="172">
        <f>MAX(D5:D1048576)</f>
        <v>6</v>
      </c>
      <c r="F3" s="172">
        <f>SUMIF($E5:$E1048576,"&lt;10",F5:F1048576)</f>
        <v>4383220.25</v>
      </c>
      <c r="G3" s="172">
        <f t="shared" ref="G3:AO3" si="0">SUMIF($E5:$E1048576,"&lt;10",G5:G1048576)</f>
        <v>0</v>
      </c>
      <c r="H3" s="172">
        <f t="shared" si="0"/>
        <v>0</v>
      </c>
      <c r="I3" s="172">
        <f t="shared" si="0"/>
        <v>0</v>
      </c>
      <c r="J3" s="172">
        <f t="shared" si="0"/>
        <v>0</v>
      </c>
      <c r="K3" s="172">
        <f t="shared" si="0"/>
        <v>2662873.25</v>
      </c>
      <c r="L3" s="172">
        <f t="shared" si="0"/>
        <v>0</v>
      </c>
      <c r="M3" s="172">
        <f t="shared" si="0"/>
        <v>0</v>
      </c>
      <c r="N3" s="172">
        <f t="shared" si="0"/>
        <v>0</v>
      </c>
      <c r="O3" s="172">
        <f t="shared" si="0"/>
        <v>0</v>
      </c>
      <c r="P3" s="172">
        <f t="shared" si="0"/>
        <v>0</v>
      </c>
      <c r="Q3" s="172">
        <f t="shared" si="0"/>
        <v>0</v>
      </c>
      <c r="R3" s="172">
        <f t="shared" si="0"/>
        <v>0</v>
      </c>
      <c r="S3" s="172">
        <f t="shared" si="0"/>
        <v>0</v>
      </c>
      <c r="T3" s="172">
        <f t="shared" si="0"/>
        <v>0</v>
      </c>
      <c r="U3" s="172">
        <f t="shared" si="0"/>
        <v>0</v>
      </c>
      <c r="V3" s="172">
        <f t="shared" si="0"/>
        <v>0</v>
      </c>
      <c r="W3" s="172">
        <f t="shared" si="0"/>
        <v>0</v>
      </c>
      <c r="X3" s="172">
        <f t="shared" si="0"/>
        <v>0</v>
      </c>
      <c r="Y3" s="172">
        <f t="shared" si="0"/>
        <v>0</v>
      </c>
      <c r="Z3" s="172">
        <f t="shared" si="0"/>
        <v>0</v>
      </c>
      <c r="AA3" s="172">
        <f t="shared" si="0"/>
        <v>0</v>
      </c>
      <c r="AB3" s="172">
        <f t="shared" si="0"/>
        <v>0</v>
      </c>
      <c r="AC3" s="172">
        <f t="shared" si="0"/>
        <v>0</v>
      </c>
      <c r="AD3" s="172">
        <f t="shared" si="0"/>
        <v>590884</v>
      </c>
      <c r="AE3" s="172">
        <f t="shared" si="0"/>
        <v>0</v>
      </c>
      <c r="AF3" s="172">
        <f t="shared" si="0"/>
        <v>0</v>
      </c>
      <c r="AG3" s="172">
        <f t="shared" si="0"/>
        <v>0</v>
      </c>
      <c r="AH3" s="172">
        <f t="shared" si="0"/>
        <v>0</v>
      </c>
      <c r="AI3" s="172">
        <f t="shared" si="0"/>
        <v>1129463</v>
      </c>
      <c r="AJ3" s="172">
        <f t="shared" si="0"/>
        <v>0</v>
      </c>
      <c r="AK3" s="172">
        <f t="shared" si="0"/>
        <v>0</v>
      </c>
      <c r="AL3" s="172">
        <f t="shared" si="0"/>
        <v>0</v>
      </c>
      <c r="AM3" s="172">
        <f t="shared" si="0"/>
        <v>0</v>
      </c>
      <c r="AN3" s="172">
        <f t="shared" si="0"/>
        <v>0</v>
      </c>
      <c r="AO3" s="172">
        <f t="shared" si="0"/>
        <v>0</v>
      </c>
    </row>
    <row r="4" spans="1:41" x14ac:dyDescent="0.3">
      <c r="A4" s="171" t="s">
        <v>101</v>
      </c>
      <c r="B4" s="196">
        <v>1</v>
      </c>
      <c r="C4" s="173" t="s">
        <v>4</v>
      </c>
      <c r="D4" s="174" t="s">
        <v>51</v>
      </c>
      <c r="E4" s="174" t="s">
        <v>95</v>
      </c>
      <c r="F4" s="174" t="s">
        <v>2</v>
      </c>
      <c r="G4" s="174" t="s">
        <v>96</v>
      </c>
      <c r="H4" s="174" t="s">
        <v>97</v>
      </c>
      <c r="I4" s="174" t="s">
        <v>98</v>
      </c>
      <c r="J4" s="174" t="s">
        <v>99</v>
      </c>
      <c r="K4" s="174">
        <v>305</v>
      </c>
      <c r="L4" s="174">
        <v>306</v>
      </c>
      <c r="M4" s="174">
        <v>407</v>
      </c>
      <c r="N4" s="174">
        <v>408</v>
      </c>
      <c r="O4" s="174">
        <v>409</v>
      </c>
      <c r="P4" s="174">
        <v>410</v>
      </c>
      <c r="Q4" s="174">
        <v>415</v>
      </c>
      <c r="R4" s="174">
        <v>416</v>
      </c>
      <c r="S4" s="174">
        <v>418</v>
      </c>
      <c r="T4" s="174">
        <v>419</v>
      </c>
      <c r="U4" s="174">
        <v>420</v>
      </c>
      <c r="V4" s="174">
        <v>421</v>
      </c>
      <c r="W4" s="174">
        <v>522</v>
      </c>
      <c r="X4" s="174">
        <v>523</v>
      </c>
      <c r="Y4" s="174">
        <v>524</v>
      </c>
      <c r="Z4" s="174">
        <v>525</v>
      </c>
      <c r="AA4" s="174">
        <v>526</v>
      </c>
      <c r="AB4" s="174">
        <v>527</v>
      </c>
      <c r="AC4" s="174">
        <v>528</v>
      </c>
      <c r="AD4" s="174">
        <v>629</v>
      </c>
      <c r="AE4" s="174">
        <v>630</v>
      </c>
      <c r="AF4" s="174">
        <v>636</v>
      </c>
      <c r="AG4" s="174">
        <v>637</v>
      </c>
      <c r="AH4" s="174">
        <v>640</v>
      </c>
      <c r="AI4" s="174">
        <v>642</v>
      </c>
      <c r="AJ4" s="174">
        <v>743</v>
      </c>
      <c r="AK4" s="174">
        <v>745</v>
      </c>
      <c r="AL4" s="174">
        <v>746</v>
      </c>
      <c r="AM4" s="174">
        <v>747</v>
      </c>
      <c r="AN4" s="174">
        <v>930</v>
      </c>
      <c r="AO4" s="174">
        <v>940</v>
      </c>
    </row>
    <row r="5" spans="1:41" x14ac:dyDescent="0.3">
      <c r="A5" s="171" t="s">
        <v>102</v>
      </c>
      <c r="B5" s="196">
        <v>2</v>
      </c>
      <c r="C5" s="171">
        <v>56</v>
      </c>
      <c r="D5" s="171">
        <v>1</v>
      </c>
      <c r="E5" s="171">
        <v>1</v>
      </c>
      <c r="F5" s="171">
        <v>32.25</v>
      </c>
      <c r="G5" s="171">
        <v>0</v>
      </c>
      <c r="H5" s="171">
        <v>0</v>
      </c>
      <c r="I5" s="171">
        <v>0</v>
      </c>
      <c r="J5" s="171">
        <v>0</v>
      </c>
      <c r="K5" s="171">
        <v>15.25</v>
      </c>
      <c r="L5" s="171">
        <v>0</v>
      </c>
      <c r="M5" s="171">
        <v>0</v>
      </c>
      <c r="N5" s="171">
        <v>0</v>
      </c>
      <c r="O5" s="171">
        <v>0</v>
      </c>
      <c r="P5" s="171">
        <v>0</v>
      </c>
      <c r="Q5" s="171">
        <v>0</v>
      </c>
      <c r="R5" s="171">
        <v>0</v>
      </c>
      <c r="S5" s="171">
        <v>0</v>
      </c>
      <c r="T5" s="171">
        <v>0</v>
      </c>
      <c r="U5" s="171">
        <v>0</v>
      </c>
      <c r="V5" s="171">
        <v>0</v>
      </c>
      <c r="W5" s="171">
        <v>0</v>
      </c>
      <c r="X5" s="171">
        <v>0</v>
      </c>
      <c r="Y5" s="171">
        <v>0</v>
      </c>
      <c r="Z5" s="171">
        <v>0</v>
      </c>
      <c r="AA5" s="171">
        <v>0</v>
      </c>
      <c r="AB5" s="171">
        <v>0</v>
      </c>
      <c r="AC5" s="171">
        <v>0</v>
      </c>
      <c r="AD5" s="171">
        <v>5</v>
      </c>
      <c r="AE5" s="171">
        <v>0</v>
      </c>
      <c r="AF5" s="171">
        <v>0</v>
      </c>
      <c r="AG5" s="171">
        <v>0</v>
      </c>
      <c r="AH5" s="171">
        <v>0</v>
      </c>
      <c r="AI5" s="171">
        <v>12</v>
      </c>
      <c r="AJ5" s="171">
        <v>0</v>
      </c>
      <c r="AK5" s="171">
        <v>0</v>
      </c>
      <c r="AL5" s="171">
        <v>0</v>
      </c>
      <c r="AM5" s="171">
        <v>0</v>
      </c>
      <c r="AN5" s="171">
        <v>0</v>
      </c>
      <c r="AO5" s="171">
        <v>0</v>
      </c>
    </row>
    <row r="6" spans="1:41" x14ac:dyDescent="0.3">
      <c r="A6" s="171" t="s">
        <v>103</v>
      </c>
      <c r="B6" s="196">
        <v>3</v>
      </c>
      <c r="C6" s="171">
        <v>56</v>
      </c>
      <c r="D6" s="171">
        <v>1</v>
      </c>
      <c r="E6" s="171">
        <v>2</v>
      </c>
      <c r="F6" s="171">
        <v>4643</v>
      </c>
      <c r="G6" s="171">
        <v>0</v>
      </c>
      <c r="H6" s="171">
        <v>0</v>
      </c>
      <c r="I6" s="171">
        <v>0</v>
      </c>
      <c r="J6" s="171">
        <v>0</v>
      </c>
      <c r="K6" s="171">
        <v>2277.75</v>
      </c>
      <c r="L6" s="171">
        <v>0</v>
      </c>
      <c r="M6" s="171">
        <v>0</v>
      </c>
      <c r="N6" s="171">
        <v>0</v>
      </c>
      <c r="O6" s="171">
        <v>0</v>
      </c>
      <c r="P6" s="171">
        <v>0</v>
      </c>
      <c r="Q6" s="171">
        <v>0</v>
      </c>
      <c r="R6" s="171">
        <v>0</v>
      </c>
      <c r="S6" s="171">
        <v>0</v>
      </c>
      <c r="T6" s="171">
        <v>0</v>
      </c>
      <c r="U6" s="171">
        <v>0</v>
      </c>
      <c r="V6" s="171">
        <v>0</v>
      </c>
      <c r="W6" s="171">
        <v>0</v>
      </c>
      <c r="X6" s="171">
        <v>0</v>
      </c>
      <c r="Y6" s="171">
        <v>0</v>
      </c>
      <c r="Z6" s="171">
        <v>0</v>
      </c>
      <c r="AA6" s="171">
        <v>0</v>
      </c>
      <c r="AB6" s="171">
        <v>0</v>
      </c>
      <c r="AC6" s="171">
        <v>0</v>
      </c>
      <c r="AD6" s="171">
        <v>787</v>
      </c>
      <c r="AE6" s="171">
        <v>0</v>
      </c>
      <c r="AF6" s="171">
        <v>0</v>
      </c>
      <c r="AG6" s="171">
        <v>0</v>
      </c>
      <c r="AH6" s="171">
        <v>0</v>
      </c>
      <c r="AI6" s="171">
        <v>1578.25</v>
      </c>
      <c r="AJ6" s="171">
        <v>0</v>
      </c>
      <c r="AK6" s="171">
        <v>0</v>
      </c>
      <c r="AL6" s="171">
        <v>0</v>
      </c>
      <c r="AM6" s="171">
        <v>0</v>
      </c>
      <c r="AN6" s="171">
        <v>0</v>
      </c>
      <c r="AO6" s="171">
        <v>0</v>
      </c>
    </row>
    <row r="7" spans="1:41" x14ac:dyDescent="0.3">
      <c r="A7" s="171" t="s">
        <v>104</v>
      </c>
      <c r="B7" s="196">
        <v>4</v>
      </c>
      <c r="C7" s="171">
        <v>56</v>
      </c>
      <c r="D7" s="171">
        <v>1</v>
      </c>
      <c r="E7" s="171">
        <v>4</v>
      </c>
      <c r="F7" s="171">
        <v>45</v>
      </c>
      <c r="G7" s="171">
        <v>0</v>
      </c>
      <c r="H7" s="171">
        <v>0</v>
      </c>
      <c r="I7" s="171">
        <v>0</v>
      </c>
      <c r="J7" s="171">
        <v>0</v>
      </c>
      <c r="K7" s="171">
        <v>20</v>
      </c>
      <c r="L7" s="171">
        <v>0</v>
      </c>
      <c r="M7" s="171">
        <v>0</v>
      </c>
      <c r="N7" s="171">
        <v>0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0</v>
      </c>
      <c r="Z7" s="171">
        <v>0</v>
      </c>
      <c r="AA7" s="171">
        <v>0</v>
      </c>
      <c r="AB7" s="171">
        <v>0</v>
      </c>
      <c r="AC7" s="171">
        <v>0</v>
      </c>
      <c r="AD7" s="171">
        <v>10</v>
      </c>
      <c r="AE7" s="171">
        <v>0</v>
      </c>
      <c r="AF7" s="171">
        <v>0</v>
      </c>
      <c r="AG7" s="171">
        <v>0</v>
      </c>
      <c r="AH7" s="171">
        <v>0</v>
      </c>
      <c r="AI7" s="171">
        <v>15</v>
      </c>
      <c r="AJ7" s="171">
        <v>0</v>
      </c>
      <c r="AK7" s="171">
        <v>0</v>
      </c>
      <c r="AL7" s="171">
        <v>0</v>
      </c>
      <c r="AM7" s="171">
        <v>0</v>
      </c>
      <c r="AN7" s="171">
        <v>0</v>
      </c>
      <c r="AO7" s="171">
        <v>0</v>
      </c>
    </row>
    <row r="8" spans="1:41" x14ac:dyDescent="0.3">
      <c r="A8" s="171" t="s">
        <v>105</v>
      </c>
      <c r="B8" s="196">
        <v>5</v>
      </c>
      <c r="C8" s="171">
        <v>56</v>
      </c>
      <c r="D8" s="171">
        <v>1</v>
      </c>
      <c r="E8" s="171">
        <v>6</v>
      </c>
      <c r="F8" s="171">
        <v>703555</v>
      </c>
      <c r="G8" s="171">
        <v>0</v>
      </c>
      <c r="H8" s="171">
        <v>0</v>
      </c>
      <c r="I8" s="171">
        <v>0</v>
      </c>
      <c r="J8" s="171">
        <v>0</v>
      </c>
      <c r="K8" s="171">
        <v>441739</v>
      </c>
      <c r="L8" s="171">
        <v>0</v>
      </c>
      <c r="M8" s="171">
        <v>0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0</v>
      </c>
      <c r="AC8" s="171">
        <v>0</v>
      </c>
      <c r="AD8" s="171">
        <v>94798</v>
      </c>
      <c r="AE8" s="171">
        <v>0</v>
      </c>
      <c r="AF8" s="171">
        <v>0</v>
      </c>
      <c r="AG8" s="171">
        <v>0</v>
      </c>
      <c r="AH8" s="171">
        <v>0</v>
      </c>
      <c r="AI8" s="171">
        <v>167018</v>
      </c>
      <c r="AJ8" s="171">
        <v>0</v>
      </c>
      <c r="AK8" s="171">
        <v>0</v>
      </c>
      <c r="AL8" s="171">
        <v>0</v>
      </c>
      <c r="AM8" s="171">
        <v>0</v>
      </c>
      <c r="AN8" s="171">
        <v>0</v>
      </c>
      <c r="AO8" s="171">
        <v>0</v>
      </c>
    </row>
    <row r="9" spans="1:41" x14ac:dyDescent="0.3">
      <c r="A9" s="171" t="s">
        <v>106</v>
      </c>
      <c r="B9" s="196">
        <v>6</v>
      </c>
      <c r="C9" s="171">
        <v>56</v>
      </c>
      <c r="D9" s="171">
        <v>1</v>
      </c>
      <c r="E9" s="171">
        <v>9</v>
      </c>
      <c r="F9" s="171">
        <v>13680</v>
      </c>
      <c r="G9" s="171">
        <v>0</v>
      </c>
      <c r="H9" s="171">
        <v>0</v>
      </c>
      <c r="I9" s="171">
        <v>0</v>
      </c>
      <c r="J9" s="171">
        <v>0</v>
      </c>
      <c r="K9" s="171">
        <v>10120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0</v>
      </c>
      <c r="AC9" s="171">
        <v>0</v>
      </c>
      <c r="AD9" s="171">
        <v>3560</v>
      </c>
      <c r="AE9" s="171">
        <v>0</v>
      </c>
      <c r="AF9" s="171">
        <v>0</v>
      </c>
      <c r="AG9" s="171">
        <v>0</v>
      </c>
      <c r="AH9" s="171">
        <v>0</v>
      </c>
      <c r="AI9" s="171">
        <v>0</v>
      </c>
      <c r="AJ9" s="171">
        <v>0</v>
      </c>
      <c r="AK9" s="171">
        <v>0</v>
      </c>
      <c r="AL9" s="171">
        <v>0</v>
      </c>
      <c r="AM9" s="171">
        <v>0</v>
      </c>
      <c r="AN9" s="171">
        <v>0</v>
      </c>
      <c r="AO9" s="171">
        <v>0</v>
      </c>
    </row>
    <row r="10" spans="1:41" x14ac:dyDescent="0.3">
      <c r="A10" s="171" t="s">
        <v>107</v>
      </c>
      <c r="B10" s="196">
        <v>7</v>
      </c>
      <c r="C10" s="171">
        <v>56</v>
      </c>
      <c r="D10" s="171">
        <v>2</v>
      </c>
      <c r="E10" s="171">
        <v>1</v>
      </c>
      <c r="F10" s="171">
        <v>32.25</v>
      </c>
      <c r="G10" s="171">
        <v>0</v>
      </c>
      <c r="H10" s="171">
        <v>0</v>
      </c>
      <c r="I10" s="171">
        <v>0</v>
      </c>
      <c r="J10" s="171">
        <v>0</v>
      </c>
      <c r="K10" s="171">
        <v>15.25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0</v>
      </c>
      <c r="AC10" s="171">
        <v>0</v>
      </c>
      <c r="AD10" s="171">
        <v>5</v>
      </c>
      <c r="AE10" s="171">
        <v>0</v>
      </c>
      <c r="AF10" s="171">
        <v>0</v>
      </c>
      <c r="AG10" s="171">
        <v>0</v>
      </c>
      <c r="AH10" s="171">
        <v>0</v>
      </c>
      <c r="AI10" s="171">
        <v>12</v>
      </c>
      <c r="AJ10" s="171">
        <v>0</v>
      </c>
      <c r="AK10" s="171">
        <v>0</v>
      </c>
      <c r="AL10" s="171">
        <v>0</v>
      </c>
      <c r="AM10" s="171">
        <v>0</v>
      </c>
      <c r="AN10" s="171">
        <v>0</v>
      </c>
      <c r="AO10" s="171">
        <v>0</v>
      </c>
    </row>
    <row r="11" spans="1:41" x14ac:dyDescent="0.3">
      <c r="A11" s="171" t="s">
        <v>108</v>
      </c>
      <c r="B11" s="196">
        <v>8</v>
      </c>
      <c r="C11" s="171">
        <v>56</v>
      </c>
      <c r="D11" s="171">
        <v>2</v>
      </c>
      <c r="E11" s="171">
        <v>2</v>
      </c>
      <c r="F11" s="171">
        <v>4330</v>
      </c>
      <c r="G11" s="171">
        <v>0</v>
      </c>
      <c r="H11" s="171">
        <v>0</v>
      </c>
      <c r="I11" s="171">
        <v>0</v>
      </c>
      <c r="J11" s="171">
        <v>0</v>
      </c>
      <c r="K11" s="171">
        <v>2182.5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0</v>
      </c>
      <c r="AD11" s="171">
        <v>688.5</v>
      </c>
      <c r="AE11" s="171">
        <v>0</v>
      </c>
      <c r="AF11" s="171">
        <v>0</v>
      </c>
      <c r="AG11" s="171">
        <v>0</v>
      </c>
      <c r="AH11" s="171">
        <v>0</v>
      </c>
      <c r="AI11" s="171">
        <v>1459</v>
      </c>
      <c r="AJ11" s="171">
        <v>0</v>
      </c>
      <c r="AK11" s="171">
        <v>0</v>
      </c>
      <c r="AL11" s="171">
        <v>0</v>
      </c>
      <c r="AM11" s="171">
        <v>0</v>
      </c>
      <c r="AN11" s="171">
        <v>0</v>
      </c>
      <c r="AO11" s="171">
        <v>0</v>
      </c>
    </row>
    <row r="12" spans="1:41" x14ac:dyDescent="0.3">
      <c r="A12" s="171" t="s">
        <v>109</v>
      </c>
      <c r="B12" s="196">
        <v>9</v>
      </c>
      <c r="C12" s="171">
        <v>56</v>
      </c>
      <c r="D12" s="171">
        <v>2</v>
      </c>
      <c r="E12" s="171">
        <v>6</v>
      </c>
      <c r="F12" s="171">
        <v>689857</v>
      </c>
      <c r="G12" s="171">
        <v>0</v>
      </c>
      <c r="H12" s="171">
        <v>0</v>
      </c>
      <c r="I12" s="171">
        <v>0</v>
      </c>
      <c r="J12" s="171">
        <v>0</v>
      </c>
      <c r="K12" s="171">
        <v>420994</v>
      </c>
      <c r="L12" s="171">
        <v>0</v>
      </c>
      <c r="M12" s="171">
        <v>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0</v>
      </c>
      <c r="AC12" s="171">
        <v>0</v>
      </c>
      <c r="AD12" s="171">
        <v>99366</v>
      </c>
      <c r="AE12" s="171">
        <v>0</v>
      </c>
      <c r="AF12" s="171">
        <v>0</v>
      </c>
      <c r="AG12" s="171">
        <v>0</v>
      </c>
      <c r="AH12" s="171">
        <v>0</v>
      </c>
      <c r="AI12" s="171">
        <v>169497</v>
      </c>
      <c r="AJ12" s="171">
        <v>0</v>
      </c>
      <c r="AK12" s="171">
        <v>0</v>
      </c>
      <c r="AL12" s="171">
        <v>0</v>
      </c>
      <c r="AM12" s="171">
        <v>0</v>
      </c>
      <c r="AN12" s="171">
        <v>0</v>
      </c>
      <c r="AO12" s="171">
        <v>0</v>
      </c>
    </row>
    <row r="13" spans="1:41" x14ac:dyDescent="0.3">
      <c r="A13" s="171" t="s">
        <v>110</v>
      </c>
      <c r="B13" s="196">
        <v>10</v>
      </c>
      <c r="C13" s="171">
        <v>56</v>
      </c>
      <c r="D13" s="171">
        <v>2</v>
      </c>
      <c r="E13" s="171">
        <v>9</v>
      </c>
      <c r="F13" s="171">
        <v>17336</v>
      </c>
      <c r="G13" s="171">
        <v>0</v>
      </c>
      <c r="H13" s="171">
        <v>0</v>
      </c>
      <c r="I13" s="171">
        <v>0</v>
      </c>
      <c r="J13" s="171">
        <v>0</v>
      </c>
      <c r="K13" s="171">
        <v>5204</v>
      </c>
      <c r="L13" s="171">
        <v>0</v>
      </c>
      <c r="M13" s="171">
        <v>0</v>
      </c>
      <c r="N13" s="171">
        <v>0</v>
      </c>
      <c r="O13" s="171">
        <v>0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0</v>
      </c>
      <c r="AD13" s="171">
        <v>5816</v>
      </c>
      <c r="AE13" s="171">
        <v>0</v>
      </c>
      <c r="AF13" s="171">
        <v>0</v>
      </c>
      <c r="AG13" s="171">
        <v>0</v>
      </c>
      <c r="AH13" s="171">
        <v>0</v>
      </c>
      <c r="AI13" s="171">
        <v>6316</v>
      </c>
      <c r="AJ13" s="171">
        <v>0</v>
      </c>
      <c r="AK13" s="171">
        <v>0</v>
      </c>
      <c r="AL13" s="171">
        <v>0</v>
      </c>
      <c r="AM13" s="171">
        <v>0</v>
      </c>
      <c r="AN13" s="171">
        <v>0</v>
      </c>
      <c r="AO13" s="171">
        <v>0</v>
      </c>
    </row>
    <row r="14" spans="1:41" x14ac:dyDescent="0.3">
      <c r="A14" s="171" t="s">
        <v>111</v>
      </c>
      <c r="B14" s="196">
        <v>11</v>
      </c>
      <c r="C14" s="171">
        <v>56</v>
      </c>
      <c r="D14" s="171">
        <v>3</v>
      </c>
      <c r="E14" s="171">
        <v>1</v>
      </c>
      <c r="F14" s="171">
        <v>32.25</v>
      </c>
      <c r="G14" s="171">
        <v>0</v>
      </c>
      <c r="H14" s="171">
        <v>0</v>
      </c>
      <c r="I14" s="171">
        <v>0</v>
      </c>
      <c r="J14" s="171">
        <v>0</v>
      </c>
      <c r="K14" s="171">
        <v>15.25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0</v>
      </c>
      <c r="AC14" s="171">
        <v>0</v>
      </c>
      <c r="AD14" s="171">
        <v>5</v>
      </c>
      <c r="AE14" s="171">
        <v>0</v>
      </c>
      <c r="AF14" s="171">
        <v>0</v>
      </c>
      <c r="AG14" s="171">
        <v>0</v>
      </c>
      <c r="AH14" s="171">
        <v>0</v>
      </c>
      <c r="AI14" s="171">
        <v>12</v>
      </c>
      <c r="AJ14" s="171">
        <v>0</v>
      </c>
      <c r="AK14" s="171">
        <v>0</v>
      </c>
      <c r="AL14" s="171">
        <v>0</v>
      </c>
      <c r="AM14" s="171">
        <v>0</v>
      </c>
      <c r="AN14" s="171">
        <v>0</v>
      </c>
      <c r="AO14" s="171">
        <v>0</v>
      </c>
    </row>
    <row r="15" spans="1:41" x14ac:dyDescent="0.3">
      <c r="A15" s="171" t="s">
        <v>112</v>
      </c>
      <c r="B15" s="196">
        <v>12</v>
      </c>
      <c r="C15" s="171">
        <v>56</v>
      </c>
      <c r="D15" s="171">
        <v>3</v>
      </c>
      <c r="E15" s="171">
        <v>2</v>
      </c>
      <c r="F15" s="171">
        <v>5030.75</v>
      </c>
      <c r="G15" s="171">
        <v>0</v>
      </c>
      <c r="H15" s="171">
        <v>0</v>
      </c>
      <c r="I15" s="171">
        <v>0</v>
      </c>
      <c r="J15" s="171">
        <v>0</v>
      </c>
      <c r="K15" s="171">
        <v>2410.25</v>
      </c>
      <c r="L15" s="171">
        <v>0</v>
      </c>
      <c r="M15" s="171">
        <v>0</v>
      </c>
      <c r="N15" s="171">
        <v>0</v>
      </c>
      <c r="O15" s="171">
        <v>0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1">
        <v>0</v>
      </c>
      <c r="AC15" s="171">
        <v>0</v>
      </c>
      <c r="AD15" s="171">
        <v>788.5</v>
      </c>
      <c r="AE15" s="171">
        <v>0</v>
      </c>
      <c r="AF15" s="171">
        <v>0</v>
      </c>
      <c r="AG15" s="171">
        <v>0</v>
      </c>
      <c r="AH15" s="171">
        <v>0</v>
      </c>
      <c r="AI15" s="171">
        <v>1832</v>
      </c>
      <c r="AJ15" s="171">
        <v>0</v>
      </c>
      <c r="AK15" s="171">
        <v>0</v>
      </c>
      <c r="AL15" s="171">
        <v>0</v>
      </c>
      <c r="AM15" s="171">
        <v>0</v>
      </c>
      <c r="AN15" s="171">
        <v>0</v>
      </c>
      <c r="AO15" s="171">
        <v>0</v>
      </c>
    </row>
    <row r="16" spans="1:41" x14ac:dyDescent="0.3">
      <c r="A16" s="171" t="s">
        <v>100</v>
      </c>
      <c r="B16" s="196">
        <v>2015</v>
      </c>
      <c r="C16" s="171">
        <v>56</v>
      </c>
      <c r="D16" s="171">
        <v>3</v>
      </c>
      <c r="E16" s="171">
        <v>6</v>
      </c>
      <c r="F16" s="171">
        <v>695234</v>
      </c>
      <c r="G16" s="171">
        <v>0</v>
      </c>
      <c r="H16" s="171">
        <v>0</v>
      </c>
      <c r="I16" s="171">
        <v>0</v>
      </c>
      <c r="J16" s="171">
        <v>0</v>
      </c>
      <c r="K16" s="171">
        <v>421502</v>
      </c>
      <c r="L16" s="171">
        <v>0</v>
      </c>
      <c r="M16" s="171">
        <v>0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0</v>
      </c>
      <c r="Z16" s="171">
        <v>0</v>
      </c>
      <c r="AA16" s="171">
        <v>0</v>
      </c>
      <c r="AB16" s="171">
        <v>0</v>
      </c>
      <c r="AC16" s="171">
        <v>0</v>
      </c>
      <c r="AD16" s="171">
        <v>90884</v>
      </c>
      <c r="AE16" s="171">
        <v>0</v>
      </c>
      <c r="AF16" s="171">
        <v>0</v>
      </c>
      <c r="AG16" s="171">
        <v>0</v>
      </c>
      <c r="AH16" s="171">
        <v>0</v>
      </c>
      <c r="AI16" s="171">
        <v>182848</v>
      </c>
      <c r="AJ16" s="171">
        <v>0</v>
      </c>
      <c r="AK16" s="171">
        <v>0</v>
      </c>
      <c r="AL16" s="171">
        <v>0</v>
      </c>
      <c r="AM16" s="171">
        <v>0</v>
      </c>
      <c r="AN16" s="171">
        <v>0</v>
      </c>
      <c r="AO16" s="171">
        <v>0</v>
      </c>
    </row>
    <row r="17" spans="3:41" x14ac:dyDescent="0.3">
      <c r="C17" s="171">
        <v>56</v>
      </c>
      <c r="D17" s="171">
        <v>3</v>
      </c>
      <c r="E17" s="171">
        <v>9</v>
      </c>
      <c r="F17" s="171">
        <v>5316</v>
      </c>
      <c r="G17" s="171">
        <v>0</v>
      </c>
      <c r="H17" s="171">
        <v>0</v>
      </c>
      <c r="I17" s="171">
        <v>0</v>
      </c>
      <c r="J17" s="171">
        <v>0</v>
      </c>
      <c r="K17" s="171">
        <v>1500</v>
      </c>
      <c r="L17" s="171">
        <v>0</v>
      </c>
      <c r="M17" s="171">
        <v>0</v>
      </c>
      <c r="N17" s="171">
        <v>0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0</v>
      </c>
      <c r="AC17" s="171">
        <v>0</v>
      </c>
      <c r="AD17" s="171">
        <v>0</v>
      </c>
      <c r="AE17" s="171">
        <v>0</v>
      </c>
      <c r="AF17" s="171">
        <v>0</v>
      </c>
      <c r="AG17" s="171">
        <v>0</v>
      </c>
      <c r="AH17" s="171">
        <v>0</v>
      </c>
      <c r="AI17" s="171">
        <v>3816</v>
      </c>
      <c r="AJ17" s="171">
        <v>0</v>
      </c>
      <c r="AK17" s="171">
        <v>0</v>
      </c>
      <c r="AL17" s="171">
        <v>0</v>
      </c>
      <c r="AM17" s="171">
        <v>0</v>
      </c>
      <c r="AN17" s="171">
        <v>0</v>
      </c>
      <c r="AO17" s="171">
        <v>0</v>
      </c>
    </row>
    <row r="18" spans="3:41" x14ac:dyDescent="0.3">
      <c r="C18" s="171">
        <v>56</v>
      </c>
      <c r="D18" s="171">
        <v>4</v>
      </c>
      <c r="E18" s="171">
        <v>1</v>
      </c>
      <c r="F18" s="171">
        <v>33</v>
      </c>
      <c r="G18" s="171">
        <v>0</v>
      </c>
      <c r="H18" s="171">
        <v>0</v>
      </c>
      <c r="I18" s="171">
        <v>0</v>
      </c>
      <c r="J18" s="171">
        <v>0</v>
      </c>
      <c r="K18" s="171">
        <v>16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0</v>
      </c>
      <c r="AD18" s="171">
        <v>5</v>
      </c>
      <c r="AE18" s="171">
        <v>0</v>
      </c>
      <c r="AF18" s="171">
        <v>0</v>
      </c>
      <c r="AG18" s="171">
        <v>0</v>
      </c>
      <c r="AH18" s="171">
        <v>0</v>
      </c>
      <c r="AI18" s="171">
        <v>12</v>
      </c>
      <c r="AJ18" s="171">
        <v>0</v>
      </c>
      <c r="AK18" s="171">
        <v>0</v>
      </c>
      <c r="AL18" s="171">
        <v>0</v>
      </c>
      <c r="AM18" s="171">
        <v>0</v>
      </c>
      <c r="AN18" s="171">
        <v>0</v>
      </c>
      <c r="AO18" s="171">
        <v>0</v>
      </c>
    </row>
    <row r="19" spans="3:41" x14ac:dyDescent="0.3">
      <c r="C19" s="171">
        <v>56</v>
      </c>
      <c r="D19" s="171">
        <v>4</v>
      </c>
      <c r="E19" s="171">
        <v>2</v>
      </c>
      <c r="F19" s="171">
        <v>4937.75</v>
      </c>
      <c r="G19" s="171">
        <v>0</v>
      </c>
      <c r="H19" s="171">
        <v>0</v>
      </c>
      <c r="I19" s="171">
        <v>0</v>
      </c>
      <c r="J19" s="171">
        <v>0</v>
      </c>
      <c r="K19" s="171">
        <v>2401.5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0</v>
      </c>
      <c r="AD19" s="171">
        <v>759.5</v>
      </c>
      <c r="AE19" s="171">
        <v>0</v>
      </c>
      <c r="AF19" s="171">
        <v>0</v>
      </c>
      <c r="AG19" s="171">
        <v>0</v>
      </c>
      <c r="AH19" s="171">
        <v>0</v>
      </c>
      <c r="AI19" s="171">
        <v>1776.75</v>
      </c>
      <c r="AJ19" s="171">
        <v>0</v>
      </c>
      <c r="AK19" s="171">
        <v>0</v>
      </c>
      <c r="AL19" s="171">
        <v>0</v>
      </c>
      <c r="AM19" s="171">
        <v>0</v>
      </c>
      <c r="AN19" s="171">
        <v>0</v>
      </c>
      <c r="AO19" s="171">
        <v>0</v>
      </c>
    </row>
    <row r="20" spans="3:41" x14ac:dyDescent="0.3">
      <c r="C20" s="171">
        <v>56</v>
      </c>
      <c r="D20" s="171">
        <v>4</v>
      </c>
      <c r="E20" s="171">
        <v>6</v>
      </c>
      <c r="F20" s="171">
        <v>733895</v>
      </c>
      <c r="G20" s="171">
        <v>0</v>
      </c>
      <c r="H20" s="171">
        <v>0</v>
      </c>
      <c r="I20" s="171">
        <v>0</v>
      </c>
      <c r="J20" s="171">
        <v>0</v>
      </c>
      <c r="K20" s="171">
        <v>449719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0</v>
      </c>
      <c r="AC20" s="171">
        <v>0</v>
      </c>
      <c r="AD20" s="171">
        <v>90427</v>
      </c>
      <c r="AE20" s="171">
        <v>0</v>
      </c>
      <c r="AF20" s="171">
        <v>0</v>
      </c>
      <c r="AG20" s="171">
        <v>0</v>
      </c>
      <c r="AH20" s="171">
        <v>0</v>
      </c>
      <c r="AI20" s="171">
        <v>193749</v>
      </c>
      <c r="AJ20" s="171">
        <v>0</v>
      </c>
      <c r="AK20" s="171">
        <v>0</v>
      </c>
      <c r="AL20" s="171">
        <v>0</v>
      </c>
      <c r="AM20" s="171">
        <v>0</v>
      </c>
      <c r="AN20" s="171">
        <v>0</v>
      </c>
      <c r="AO20" s="171">
        <v>0</v>
      </c>
    </row>
    <row r="21" spans="3:41" x14ac:dyDescent="0.3">
      <c r="C21" s="171">
        <v>56</v>
      </c>
      <c r="D21" s="171">
        <v>5</v>
      </c>
      <c r="E21" s="171">
        <v>1</v>
      </c>
      <c r="F21" s="171">
        <v>34</v>
      </c>
      <c r="G21" s="171">
        <v>0</v>
      </c>
      <c r="H21" s="171">
        <v>0</v>
      </c>
      <c r="I21" s="171">
        <v>0</v>
      </c>
      <c r="J21" s="171">
        <v>0</v>
      </c>
      <c r="K21" s="171">
        <v>17</v>
      </c>
      <c r="L21" s="171">
        <v>0</v>
      </c>
      <c r="M21" s="171">
        <v>0</v>
      </c>
      <c r="N21" s="171">
        <v>0</v>
      </c>
      <c r="O21" s="171">
        <v>0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71">
        <v>0</v>
      </c>
      <c r="V21" s="171">
        <v>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0</v>
      </c>
      <c r="AC21" s="171">
        <v>0</v>
      </c>
      <c r="AD21" s="171">
        <v>5</v>
      </c>
      <c r="AE21" s="171">
        <v>0</v>
      </c>
      <c r="AF21" s="171">
        <v>0</v>
      </c>
      <c r="AG21" s="171">
        <v>0</v>
      </c>
      <c r="AH21" s="171">
        <v>0</v>
      </c>
      <c r="AI21" s="171">
        <v>12</v>
      </c>
      <c r="AJ21" s="171">
        <v>0</v>
      </c>
      <c r="AK21" s="171">
        <v>0</v>
      </c>
      <c r="AL21" s="171">
        <v>0</v>
      </c>
      <c r="AM21" s="171">
        <v>0</v>
      </c>
      <c r="AN21" s="171">
        <v>0</v>
      </c>
      <c r="AO21" s="171">
        <v>0</v>
      </c>
    </row>
    <row r="22" spans="3:41" x14ac:dyDescent="0.3">
      <c r="C22" s="171">
        <v>56</v>
      </c>
      <c r="D22" s="171">
        <v>5</v>
      </c>
      <c r="E22" s="171">
        <v>2</v>
      </c>
      <c r="F22" s="171">
        <v>4563</v>
      </c>
      <c r="G22" s="171">
        <v>0</v>
      </c>
      <c r="H22" s="171">
        <v>0</v>
      </c>
      <c r="I22" s="171">
        <v>0</v>
      </c>
      <c r="J22" s="171">
        <v>0</v>
      </c>
      <c r="K22" s="171">
        <v>2104.5</v>
      </c>
      <c r="L22" s="171">
        <v>0</v>
      </c>
      <c r="M22" s="171">
        <v>0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0</v>
      </c>
      <c r="AD22" s="171">
        <v>760.5</v>
      </c>
      <c r="AE22" s="171">
        <v>0</v>
      </c>
      <c r="AF22" s="171">
        <v>0</v>
      </c>
      <c r="AG22" s="171">
        <v>0</v>
      </c>
      <c r="AH22" s="171">
        <v>0</v>
      </c>
      <c r="AI22" s="171">
        <v>1698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  <c r="AO22" s="171">
        <v>0</v>
      </c>
    </row>
    <row r="23" spans="3:41" x14ac:dyDescent="0.3">
      <c r="C23" s="171">
        <v>56</v>
      </c>
      <c r="D23" s="171">
        <v>5</v>
      </c>
      <c r="E23" s="171">
        <v>6</v>
      </c>
      <c r="F23" s="171">
        <v>731929</v>
      </c>
      <c r="G23" s="171">
        <v>0</v>
      </c>
      <c r="H23" s="171">
        <v>0</v>
      </c>
      <c r="I23" s="171">
        <v>0</v>
      </c>
      <c r="J23" s="171">
        <v>0</v>
      </c>
      <c r="K23" s="171">
        <v>437298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0</v>
      </c>
      <c r="AD23" s="171">
        <v>97166</v>
      </c>
      <c r="AE23" s="171">
        <v>0</v>
      </c>
      <c r="AF23" s="171">
        <v>0</v>
      </c>
      <c r="AG23" s="171">
        <v>0</v>
      </c>
      <c r="AH23" s="171">
        <v>0</v>
      </c>
      <c r="AI23" s="171">
        <v>197465</v>
      </c>
      <c r="AJ23" s="171">
        <v>0</v>
      </c>
      <c r="AK23" s="171">
        <v>0</v>
      </c>
      <c r="AL23" s="171">
        <v>0</v>
      </c>
      <c r="AM23" s="171">
        <v>0</v>
      </c>
      <c r="AN23" s="171">
        <v>0</v>
      </c>
      <c r="AO23" s="171">
        <v>0</v>
      </c>
    </row>
    <row r="24" spans="3:41" x14ac:dyDescent="0.3">
      <c r="C24" s="171">
        <v>56</v>
      </c>
      <c r="D24" s="171">
        <v>5</v>
      </c>
      <c r="E24" s="171">
        <v>9</v>
      </c>
      <c r="F24" s="171">
        <v>9800</v>
      </c>
      <c r="G24" s="171">
        <v>0</v>
      </c>
      <c r="H24" s="171">
        <v>0</v>
      </c>
      <c r="I24" s="171">
        <v>0</v>
      </c>
      <c r="J24" s="171">
        <v>0</v>
      </c>
      <c r="K24" s="171">
        <v>7000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0</v>
      </c>
      <c r="AD24" s="171">
        <v>2000</v>
      </c>
      <c r="AE24" s="171">
        <v>0</v>
      </c>
      <c r="AF24" s="171">
        <v>0</v>
      </c>
      <c r="AG24" s="171">
        <v>0</v>
      </c>
      <c r="AH24" s="171">
        <v>0</v>
      </c>
      <c r="AI24" s="171">
        <v>800</v>
      </c>
      <c r="AJ24" s="171">
        <v>0</v>
      </c>
      <c r="AK24" s="171">
        <v>0</v>
      </c>
      <c r="AL24" s="171">
        <v>0</v>
      </c>
      <c r="AM24" s="171">
        <v>0</v>
      </c>
      <c r="AN24" s="171">
        <v>0</v>
      </c>
      <c r="AO24" s="171">
        <v>0</v>
      </c>
    </row>
    <row r="25" spans="3:41" x14ac:dyDescent="0.3">
      <c r="C25" s="171">
        <v>56</v>
      </c>
      <c r="D25" s="171">
        <v>6</v>
      </c>
      <c r="E25" s="171">
        <v>1</v>
      </c>
      <c r="F25" s="171">
        <v>34.25</v>
      </c>
      <c r="G25" s="171">
        <v>0</v>
      </c>
      <c r="H25" s="171">
        <v>0</v>
      </c>
      <c r="I25" s="171">
        <v>0</v>
      </c>
      <c r="J25" s="171">
        <v>0</v>
      </c>
      <c r="K25" s="171">
        <v>17.25</v>
      </c>
      <c r="L25" s="171">
        <v>0</v>
      </c>
      <c r="M25" s="171">
        <v>0</v>
      </c>
      <c r="N25" s="171">
        <v>0</v>
      </c>
      <c r="O25" s="171">
        <v>0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71">
        <v>0</v>
      </c>
      <c r="V25" s="171">
        <v>0</v>
      </c>
      <c r="W25" s="171">
        <v>0</v>
      </c>
      <c r="X25" s="171">
        <v>0</v>
      </c>
      <c r="Y25" s="171">
        <v>0</v>
      </c>
      <c r="Z25" s="171">
        <v>0</v>
      </c>
      <c r="AA25" s="171">
        <v>0</v>
      </c>
      <c r="AB25" s="171">
        <v>0</v>
      </c>
      <c r="AC25" s="171">
        <v>0</v>
      </c>
      <c r="AD25" s="171">
        <v>5</v>
      </c>
      <c r="AE25" s="171">
        <v>0</v>
      </c>
      <c r="AF25" s="171">
        <v>0</v>
      </c>
      <c r="AG25" s="171">
        <v>0</v>
      </c>
      <c r="AH25" s="171">
        <v>0</v>
      </c>
      <c r="AI25" s="171">
        <v>12</v>
      </c>
      <c r="AJ25" s="171">
        <v>0</v>
      </c>
      <c r="AK25" s="171">
        <v>0</v>
      </c>
      <c r="AL25" s="171">
        <v>0</v>
      </c>
      <c r="AM25" s="171">
        <v>0</v>
      </c>
      <c r="AN25" s="171">
        <v>0</v>
      </c>
      <c r="AO25" s="171">
        <v>0</v>
      </c>
    </row>
    <row r="26" spans="3:41" x14ac:dyDescent="0.3">
      <c r="C26" s="171">
        <v>56</v>
      </c>
      <c r="D26" s="171">
        <v>6</v>
      </c>
      <c r="E26" s="171">
        <v>2</v>
      </c>
      <c r="F26" s="171">
        <v>4884.75</v>
      </c>
      <c r="G26" s="171">
        <v>0</v>
      </c>
      <c r="H26" s="171">
        <v>0</v>
      </c>
      <c r="I26" s="171">
        <v>0</v>
      </c>
      <c r="J26" s="171">
        <v>0</v>
      </c>
      <c r="K26" s="171">
        <v>2232.75</v>
      </c>
      <c r="L26" s="171">
        <v>0</v>
      </c>
      <c r="M26" s="171">
        <v>0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71">
        <v>0</v>
      </c>
      <c r="W26" s="171">
        <v>0</v>
      </c>
      <c r="X26" s="171">
        <v>0</v>
      </c>
      <c r="Y26" s="171">
        <v>0</v>
      </c>
      <c r="Z26" s="171">
        <v>0</v>
      </c>
      <c r="AA26" s="171">
        <v>0</v>
      </c>
      <c r="AB26" s="171">
        <v>0</v>
      </c>
      <c r="AC26" s="171">
        <v>0</v>
      </c>
      <c r="AD26" s="171">
        <v>768</v>
      </c>
      <c r="AE26" s="171">
        <v>0</v>
      </c>
      <c r="AF26" s="171">
        <v>0</v>
      </c>
      <c r="AG26" s="171">
        <v>0</v>
      </c>
      <c r="AH26" s="171">
        <v>0</v>
      </c>
      <c r="AI26" s="171">
        <v>1884</v>
      </c>
      <c r="AJ26" s="171">
        <v>0</v>
      </c>
      <c r="AK26" s="171">
        <v>0</v>
      </c>
      <c r="AL26" s="171">
        <v>0</v>
      </c>
      <c r="AM26" s="171">
        <v>0</v>
      </c>
      <c r="AN26" s="171">
        <v>0</v>
      </c>
      <c r="AO26" s="171">
        <v>0</v>
      </c>
    </row>
    <row r="27" spans="3:41" x14ac:dyDescent="0.3">
      <c r="C27" s="171">
        <v>56</v>
      </c>
      <c r="D27" s="171">
        <v>6</v>
      </c>
      <c r="E27" s="171">
        <v>6</v>
      </c>
      <c r="F27" s="171">
        <v>734546</v>
      </c>
      <c r="G27" s="171">
        <v>0</v>
      </c>
      <c r="H27" s="171">
        <v>0</v>
      </c>
      <c r="I27" s="171">
        <v>0</v>
      </c>
      <c r="J27" s="171">
        <v>0</v>
      </c>
      <c r="K27" s="171">
        <v>441072</v>
      </c>
      <c r="L27" s="171">
        <v>0</v>
      </c>
      <c r="M27" s="171">
        <v>0</v>
      </c>
      <c r="N27" s="171">
        <v>0</v>
      </c>
      <c r="O27" s="171">
        <v>0</v>
      </c>
      <c r="P27" s="171">
        <v>0</v>
      </c>
      <c r="Q27" s="171">
        <v>0</v>
      </c>
      <c r="R27" s="171">
        <v>0</v>
      </c>
      <c r="S27" s="171">
        <v>0</v>
      </c>
      <c r="T27" s="171">
        <v>0</v>
      </c>
      <c r="U27" s="171">
        <v>0</v>
      </c>
      <c r="V27" s="171">
        <v>0</v>
      </c>
      <c r="W27" s="171">
        <v>0</v>
      </c>
      <c r="X27" s="171">
        <v>0</v>
      </c>
      <c r="Y27" s="171">
        <v>0</v>
      </c>
      <c r="Z27" s="171">
        <v>0</v>
      </c>
      <c r="AA27" s="171">
        <v>0</v>
      </c>
      <c r="AB27" s="171">
        <v>0</v>
      </c>
      <c r="AC27" s="171">
        <v>0</v>
      </c>
      <c r="AD27" s="171">
        <v>97775</v>
      </c>
      <c r="AE27" s="171">
        <v>0</v>
      </c>
      <c r="AF27" s="171">
        <v>0</v>
      </c>
      <c r="AG27" s="171">
        <v>0</v>
      </c>
      <c r="AH27" s="171">
        <v>0</v>
      </c>
      <c r="AI27" s="171">
        <v>195699</v>
      </c>
      <c r="AJ27" s="171">
        <v>0</v>
      </c>
      <c r="AK27" s="171">
        <v>0</v>
      </c>
      <c r="AL27" s="171">
        <v>0</v>
      </c>
      <c r="AM27" s="171">
        <v>0</v>
      </c>
      <c r="AN27" s="171">
        <v>0</v>
      </c>
      <c r="AO27" s="171">
        <v>0</v>
      </c>
    </row>
    <row r="28" spans="3:41" x14ac:dyDescent="0.3">
      <c r="C28" s="171">
        <v>56</v>
      </c>
      <c r="D28" s="171">
        <v>6</v>
      </c>
      <c r="E28" s="171">
        <v>9</v>
      </c>
      <c r="F28" s="171">
        <v>19440</v>
      </c>
      <c r="G28" s="171">
        <v>0</v>
      </c>
      <c r="H28" s="171">
        <v>0</v>
      </c>
      <c r="I28" s="171">
        <v>0</v>
      </c>
      <c r="J28" s="171">
        <v>0</v>
      </c>
      <c r="K28" s="171">
        <v>13000</v>
      </c>
      <c r="L28" s="171">
        <v>0</v>
      </c>
      <c r="M28" s="171">
        <v>0</v>
      </c>
      <c r="N28" s="171">
        <v>0</v>
      </c>
      <c r="O28" s="171">
        <v>0</v>
      </c>
      <c r="P28" s="171">
        <v>0</v>
      </c>
      <c r="Q28" s="171">
        <v>0</v>
      </c>
      <c r="R28" s="171">
        <v>0</v>
      </c>
      <c r="S28" s="171">
        <v>0</v>
      </c>
      <c r="T28" s="171">
        <v>0</v>
      </c>
      <c r="U28" s="171">
        <v>0</v>
      </c>
      <c r="V28" s="171">
        <v>0</v>
      </c>
      <c r="W28" s="171">
        <v>0</v>
      </c>
      <c r="X28" s="171">
        <v>0</v>
      </c>
      <c r="Y28" s="171">
        <v>0</v>
      </c>
      <c r="Z28" s="171">
        <v>0</v>
      </c>
      <c r="AA28" s="171">
        <v>0</v>
      </c>
      <c r="AB28" s="171">
        <v>0</v>
      </c>
      <c r="AC28" s="171">
        <v>0</v>
      </c>
      <c r="AD28" s="171">
        <v>4500</v>
      </c>
      <c r="AE28" s="171">
        <v>0</v>
      </c>
      <c r="AF28" s="171">
        <v>0</v>
      </c>
      <c r="AG28" s="171">
        <v>0</v>
      </c>
      <c r="AH28" s="171">
        <v>0</v>
      </c>
      <c r="AI28" s="171">
        <v>1940</v>
      </c>
      <c r="AJ28" s="171">
        <v>0</v>
      </c>
      <c r="AK28" s="171">
        <v>0</v>
      </c>
      <c r="AL28" s="171">
        <v>0</v>
      </c>
      <c r="AM28" s="171">
        <v>0</v>
      </c>
      <c r="AN28" s="171">
        <v>0</v>
      </c>
      <c r="AO28" s="17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1" t="s">
        <v>73</v>
      </c>
      <c r="B1" s="261"/>
      <c r="C1" s="262"/>
      <c r="D1" s="262"/>
      <c r="E1" s="262"/>
    </row>
    <row r="2" spans="1:5" ht="14.4" customHeight="1" thickBot="1" x14ac:dyDescent="0.35">
      <c r="A2" s="175" t="s">
        <v>206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13046.009843446862</v>
      </c>
      <c r="D4" s="124">
        <f ca="1">IF(ISERROR(VLOOKUP("Náklady celkem",INDIRECT("HI!$A:$G"),5,0)),0,VLOOKUP("Náklady celkem",INDIRECT("HI!$A:$G"),5,0))</f>
        <v>12845.281300000001</v>
      </c>
      <c r="E4" s="125">
        <f ca="1">IF(C4=0,0,D4/C4)</f>
        <v>0.98461379794622117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27.260930588421498</v>
      </c>
      <c r="D7" s="132">
        <f>IF(ISERROR(HI!E5),"",HI!E5)</f>
        <v>22.916219999999999</v>
      </c>
      <c r="E7" s="129">
        <f t="shared" ref="E7:E12" si="0">IF(C7=0,0,D7/C7)</f>
        <v>0.84062500822085573</v>
      </c>
    </row>
    <row r="8" spans="1:5" ht="14.4" customHeight="1" x14ac:dyDescent="0.3">
      <c r="A8" s="252" t="str">
        <f>HYPERLINK("#'LŽ Statim'!A1","% podíl statimových žádanek")</f>
        <v>% podíl statimových žádanek</v>
      </c>
      <c r="B8" s="250" t="s">
        <v>182</v>
      </c>
      <c r="C8" s="251">
        <v>0.3</v>
      </c>
      <c r="D8" s="25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4" t="s">
        <v>83</v>
      </c>
      <c r="B9" s="131"/>
      <c r="C9" s="132"/>
      <c r="D9" s="132"/>
      <c r="E9" s="129"/>
    </row>
    <row r="10" spans="1:5" ht="14.4" customHeight="1" x14ac:dyDescent="0.3">
      <c r="A10" s="134" t="s">
        <v>84</v>
      </c>
      <c r="B10" s="131"/>
      <c r="C10" s="132"/>
      <c r="D10" s="132"/>
      <c r="E10" s="129"/>
    </row>
    <row r="11" spans="1:5" ht="14.4" customHeight="1" x14ac:dyDescent="0.3">
      <c r="A11" s="135" t="s">
        <v>88</v>
      </c>
      <c r="B11" s="131"/>
      <c r="C11" s="128"/>
      <c r="D11" s="128"/>
      <c r="E11" s="129"/>
    </row>
    <row r="12" spans="1:5" ht="14.4" customHeight="1" x14ac:dyDescent="0.3">
      <c r="A12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5.4999998267630001</v>
      </c>
      <c r="D12" s="132">
        <f>IF(ISERROR(HI!E6),"",HI!E6)</f>
        <v>2.84</v>
      </c>
      <c r="E12" s="129">
        <f t="shared" si="0"/>
        <v>0.51636365262787087</v>
      </c>
    </row>
    <row r="13" spans="1:5" ht="14.4" customHeight="1" thickBot="1" x14ac:dyDescent="0.35">
      <c r="A13" s="137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6089.9998081797721</v>
      </c>
      <c r="D13" s="128">
        <f ca="1">IF(ISERROR(VLOOKUP("Osobní náklady (Kč) *",INDIRECT("HI!$A:$G"),5,0)),0,VLOOKUP("Osobní náklady (Kč) *",INDIRECT("HI!$A:$G"),5,0))</f>
        <v>5778.7367700000023</v>
      </c>
      <c r="E13" s="129">
        <f ca="1">IF(C13=0,0,D13/C13)</f>
        <v>0.9488894830896879</v>
      </c>
    </row>
    <row r="14" spans="1:5" ht="14.4" customHeight="1" thickBot="1" x14ac:dyDescent="0.35">
      <c r="A14" s="141"/>
      <c r="B14" s="142"/>
      <c r="C14" s="143"/>
      <c r="D14" s="143"/>
      <c r="E14" s="144"/>
    </row>
    <row r="15" spans="1:5" ht="14.4" customHeight="1" thickBot="1" x14ac:dyDescent="0.35">
      <c r="A15" s="145" t="str">
        <f>HYPERLINK("#HI!A1","VÝNOSY CELKEM (v tisících)")</f>
        <v>VÝNOSY CELKEM (v tisících)</v>
      </c>
      <c r="B15" s="146"/>
      <c r="C15" s="147">
        <f ca="1">IF(ISERROR(VLOOKUP("Výnosy celkem",INDIRECT("HI!$A:$G"),6,0)),0,VLOOKUP("Výnosy celkem",INDIRECT("HI!$A:$G"),6,0))</f>
        <v>0</v>
      </c>
      <c r="D15" s="147">
        <f ca="1">IF(ISERROR(VLOOKUP("Výnosy celkem",INDIRECT("HI!$A:$G"),5,0)),0,VLOOKUP("Výnosy celkem",INDIRECT("HI!$A:$G"),5,0))</f>
        <v>0</v>
      </c>
      <c r="E15" s="148">
        <f t="shared" ref="E15:E16" ca="1" si="1">IF(C15=0,0,D15/C15)</f>
        <v>0</v>
      </c>
    </row>
    <row r="16" spans="1:5" ht="14.4" customHeight="1" x14ac:dyDescent="0.3">
      <c r="A16" s="149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50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1" t="s">
        <v>85</v>
      </c>
      <c r="B18" s="138"/>
      <c r="C18" s="139"/>
      <c r="D18" s="139"/>
      <c r="E18" s="140"/>
    </row>
    <row r="19" spans="1:5" ht="14.4" customHeight="1" thickBot="1" x14ac:dyDescent="0.35">
      <c r="A19" s="152"/>
      <c r="B19" s="153"/>
      <c r="C19" s="154"/>
      <c r="D19" s="154"/>
      <c r="E19" s="155"/>
    </row>
    <row r="20" spans="1:5" ht="14.4" customHeight="1" thickBot="1" x14ac:dyDescent="0.35">
      <c r="A20" s="156" t="s">
        <v>86</v>
      </c>
      <c r="B20" s="157"/>
      <c r="C20" s="158"/>
      <c r="D20" s="158"/>
      <c r="E20" s="159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1" t="s">
        <v>76</v>
      </c>
      <c r="B1" s="261"/>
      <c r="C1" s="261"/>
      <c r="D1" s="261"/>
      <c r="E1" s="261"/>
      <c r="F1" s="261"/>
      <c r="G1" s="262"/>
      <c r="H1" s="262"/>
    </row>
    <row r="2" spans="1:8" ht="14.4" customHeight="1" thickBot="1" x14ac:dyDescent="0.35">
      <c r="A2" s="175" t="s">
        <v>206</v>
      </c>
      <c r="B2" s="77"/>
      <c r="C2" s="77"/>
      <c r="D2" s="77"/>
      <c r="E2" s="77"/>
      <c r="F2" s="77"/>
    </row>
    <row r="3" spans="1:8" ht="14.4" customHeight="1" x14ac:dyDescent="0.3">
      <c r="A3" s="263"/>
      <c r="B3" s="73">
        <v>2013</v>
      </c>
      <c r="C3" s="40">
        <v>2014</v>
      </c>
      <c r="D3" s="7"/>
      <c r="E3" s="267">
        <v>2015</v>
      </c>
      <c r="F3" s="268"/>
      <c r="G3" s="268"/>
      <c r="H3" s="269"/>
    </row>
    <row r="4" spans="1:8" ht="14.4" customHeight="1" thickBot="1" x14ac:dyDescent="0.35">
      <c r="A4" s="264"/>
      <c r="B4" s="265" t="s">
        <v>55</v>
      </c>
      <c r="C4" s="266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28.670819999999001</v>
      </c>
      <c r="C5" s="29">
        <v>21.897100000000002</v>
      </c>
      <c r="D5" s="8"/>
      <c r="E5" s="83">
        <v>22.916219999999999</v>
      </c>
      <c r="F5" s="28">
        <v>27.260930588421498</v>
      </c>
      <c r="G5" s="82">
        <f>E5-F5</f>
        <v>-4.3447105884214992</v>
      </c>
      <c r="H5" s="88">
        <f>IF(F5&lt;0.00000001,"",E5/F5)</f>
        <v>0.84062500822085573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5.3899999999989996</v>
      </c>
      <c r="C6" s="31">
        <v>5.2519999999999998</v>
      </c>
      <c r="D6" s="8"/>
      <c r="E6" s="84">
        <v>2.84</v>
      </c>
      <c r="F6" s="30">
        <v>5.4999998267630001</v>
      </c>
      <c r="G6" s="85">
        <f>E6-F6</f>
        <v>-2.6599998267630003</v>
      </c>
      <c r="H6" s="89">
        <f>IF(F6&lt;0.00000001,"",E6/F6)</f>
        <v>0.51636365262787087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5665.7123699999975</v>
      </c>
      <c r="C7" s="31">
        <v>5308.3960600000037</v>
      </c>
      <c r="D7" s="8"/>
      <c r="E7" s="84">
        <v>5778.7367700000023</v>
      </c>
      <c r="F7" s="30">
        <v>6089.9998081797721</v>
      </c>
      <c r="G7" s="85">
        <f>E7-F7</f>
        <v>-311.26303817976986</v>
      </c>
      <c r="H7" s="89">
        <f>IF(F7&lt;0.00000001,"",E7/F7)</f>
        <v>0.9488894830896879</v>
      </c>
    </row>
    <row r="8" spans="1:8" ht="14.4" customHeight="1" thickBot="1" x14ac:dyDescent="0.35">
      <c r="A8" s="1" t="s">
        <v>58</v>
      </c>
      <c r="B8" s="11">
        <v>6973.1952500000061</v>
      </c>
      <c r="C8" s="33">
        <v>6932.4733500000066</v>
      </c>
      <c r="D8" s="8"/>
      <c r="E8" s="86">
        <v>7040.7883099999981</v>
      </c>
      <c r="F8" s="32">
        <v>6923.249104851905</v>
      </c>
      <c r="G8" s="87">
        <f>E8-F8</f>
        <v>117.53920514809306</v>
      </c>
      <c r="H8" s="90">
        <f>IF(F8&lt;0.00000001,"",E8/F8)</f>
        <v>1.0169774629466561</v>
      </c>
    </row>
    <row r="9" spans="1:8" ht="14.4" customHeight="1" thickBot="1" x14ac:dyDescent="0.35">
      <c r="A9" s="2" t="s">
        <v>59</v>
      </c>
      <c r="B9" s="3">
        <v>12672.968440000001</v>
      </c>
      <c r="C9" s="35">
        <v>12268.018510000009</v>
      </c>
      <c r="D9" s="8"/>
      <c r="E9" s="3">
        <v>12845.281300000001</v>
      </c>
      <c r="F9" s="34">
        <v>13046.009843446862</v>
      </c>
      <c r="G9" s="34">
        <f>E9-F9</f>
        <v>-200.72854344686129</v>
      </c>
      <c r="H9" s="91">
        <f>IF(F9&lt;0.00000001,"",E9/F9)</f>
        <v>0.98461379794622117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8" t="s">
        <v>129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128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183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70" t="s">
        <v>208</v>
      </c>
      <c r="B1" s="270"/>
      <c r="C1" s="270"/>
      <c r="D1" s="270"/>
      <c r="E1" s="270"/>
      <c r="F1" s="270"/>
      <c r="G1" s="270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60" customFormat="1" ht="14.4" customHeight="1" thickBot="1" x14ac:dyDescent="0.3">
      <c r="A2" s="175" t="s">
        <v>206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71" t="s">
        <v>13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104"/>
      <c r="Q3" s="106"/>
    </row>
    <row r="4" spans="1:17" ht="14.4" customHeight="1" x14ac:dyDescent="0.3">
      <c r="A4" s="59"/>
      <c r="B4" s="20">
        <v>2015</v>
      </c>
      <c r="C4" s="105" t="s">
        <v>14</v>
      </c>
      <c r="D4" s="95" t="s">
        <v>184</v>
      </c>
      <c r="E4" s="95" t="s">
        <v>185</v>
      </c>
      <c r="F4" s="95" t="s">
        <v>186</v>
      </c>
      <c r="G4" s="95" t="s">
        <v>187</v>
      </c>
      <c r="H4" s="95" t="s">
        <v>188</v>
      </c>
      <c r="I4" s="95" t="s">
        <v>189</v>
      </c>
      <c r="J4" s="95" t="s">
        <v>190</v>
      </c>
      <c r="K4" s="95" t="s">
        <v>191</v>
      </c>
      <c r="L4" s="95" t="s">
        <v>192</v>
      </c>
      <c r="M4" s="95" t="s">
        <v>193</v>
      </c>
      <c r="N4" s="95" t="s">
        <v>194</v>
      </c>
      <c r="O4" s="95" t="s">
        <v>195</v>
      </c>
      <c r="P4" s="273" t="s">
        <v>2</v>
      </c>
      <c r="Q4" s="274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207</v>
      </c>
    </row>
    <row r="7" spans="1:17" ht="14.4" customHeight="1" x14ac:dyDescent="0.3">
      <c r="A7" s="15" t="s">
        <v>19</v>
      </c>
      <c r="B7" s="46">
        <v>54.521861176842997</v>
      </c>
      <c r="C7" s="47">
        <v>4.5434884314030004</v>
      </c>
      <c r="D7" s="47">
        <v>4.3451700000000004</v>
      </c>
      <c r="E7" s="47">
        <v>2.8740999999999999</v>
      </c>
      <c r="F7" s="47">
        <v>1.91927</v>
      </c>
      <c r="G7" s="47">
        <v>4.6527700000000003</v>
      </c>
      <c r="H7" s="47">
        <v>6.6808100000000001</v>
      </c>
      <c r="I7" s="47">
        <v>2.4441000000000002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22.916219999999999</v>
      </c>
      <c r="Q7" s="68">
        <v>0.84062500821999997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207</v>
      </c>
    </row>
    <row r="9" spans="1:17" ht="14.4" customHeight="1" x14ac:dyDescent="0.3">
      <c r="A9" s="15" t="s">
        <v>21</v>
      </c>
      <c r="B9" s="46">
        <v>10.999999653526</v>
      </c>
      <c r="C9" s="47">
        <v>0.91666663779299995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2.84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2.84</v>
      </c>
      <c r="Q9" s="68">
        <v>0.51636365262700001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207</v>
      </c>
    </row>
    <row r="11" spans="1:17" ht="14.4" customHeight="1" x14ac:dyDescent="0.3">
      <c r="A11" s="15" t="s">
        <v>23</v>
      </c>
      <c r="B11" s="46">
        <v>2761.95111974052</v>
      </c>
      <c r="C11" s="47">
        <v>230.16259331171</v>
      </c>
      <c r="D11" s="47">
        <v>129.53055000000001</v>
      </c>
      <c r="E11" s="47">
        <v>221.754570000001</v>
      </c>
      <c r="F11" s="47">
        <v>238.88784000000001</v>
      </c>
      <c r="G11" s="47">
        <v>164.49815000000001</v>
      </c>
      <c r="H11" s="47">
        <v>235.54087000000001</v>
      </c>
      <c r="I11" s="47">
        <v>332.44598999999999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1322.65797</v>
      </c>
      <c r="Q11" s="68">
        <v>0.95777072993500001</v>
      </c>
    </row>
    <row r="12" spans="1:17" ht="14.4" customHeight="1" x14ac:dyDescent="0.3">
      <c r="A12" s="15" t="s">
        <v>24</v>
      </c>
      <c r="B12" s="46">
        <v>1.999999937004</v>
      </c>
      <c r="C12" s="47">
        <v>0.16666666141700001</v>
      </c>
      <c r="D12" s="47">
        <v>5.6499999999999996E-3</v>
      </c>
      <c r="E12" s="47">
        <v>4.5600000000000002E-2</v>
      </c>
      <c r="F12" s="47">
        <v>0</v>
      </c>
      <c r="G12" s="47">
        <v>0</v>
      </c>
      <c r="H12" s="47">
        <v>0.48520000000000002</v>
      </c>
      <c r="I12" s="47">
        <v>5.9769199999999998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6.5133700000000001</v>
      </c>
      <c r="Q12" s="68">
        <v>6.5133702051549998</v>
      </c>
    </row>
    <row r="13" spans="1:17" ht="14.4" customHeight="1" x14ac:dyDescent="0.3">
      <c r="A13" s="15" t="s">
        <v>25</v>
      </c>
      <c r="B13" s="46">
        <v>166.99999473990499</v>
      </c>
      <c r="C13" s="47">
        <v>13.916666228325001</v>
      </c>
      <c r="D13" s="47">
        <v>0.52405999999999997</v>
      </c>
      <c r="E13" s="47">
        <v>10.998290000000001</v>
      </c>
      <c r="F13" s="47">
        <v>7.0960400000000003</v>
      </c>
      <c r="G13" s="47">
        <v>12.65976</v>
      </c>
      <c r="H13" s="47">
        <v>14.8964</v>
      </c>
      <c r="I13" s="47">
        <v>12.00361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58.178159999999998</v>
      </c>
      <c r="Q13" s="68">
        <v>0.69674445308300004</v>
      </c>
    </row>
    <row r="14" spans="1:17" ht="14.4" customHeight="1" x14ac:dyDescent="0.3">
      <c r="A14" s="15" t="s">
        <v>26</v>
      </c>
      <c r="B14" s="46">
        <v>6079.0493414361999</v>
      </c>
      <c r="C14" s="47">
        <v>506.58744511968303</v>
      </c>
      <c r="D14" s="47">
        <v>844.66599999999903</v>
      </c>
      <c r="E14" s="47">
        <v>706.63800000000197</v>
      </c>
      <c r="F14" s="47">
        <v>663.98400000000004</v>
      </c>
      <c r="G14" s="47">
        <v>532.84699999999998</v>
      </c>
      <c r="H14" s="47">
        <v>395.45202</v>
      </c>
      <c r="I14" s="47">
        <v>302.89400000000001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3446.4810200000002</v>
      </c>
      <c r="Q14" s="68">
        <v>1.1338881546840001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207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207</v>
      </c>
    </row>
    <row r="17" spans="1:17" ht="14.4" customHeight="1" x14ac:dyDescent="0.3">
      <c r="A17" s="15" t="s">
        <v>29</v>
      </c>
      <c r="B17" s="46">
        <v>468.411263734692</v>
      </c>
      <c r="C17" s="47">
        <v>39.034271977891002</v>
      </c>
      <c r="D17" s="47">
        <v>37.7712</v>
      </c>
      <c r="E17" s="47">
        <v>12.86572</v>
      </c>
      <c r="F17" s="47">
        <v>24.639620000000001</v>
      </c>
      <c r="G17" s="47">
        <v>14.2127</v>
      </c>
      <c r="H17" s="47">
        <v>33.72146</v>
      </c>
      <c r="I17" s="47">
        <v>66.712829999999997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189.92353</v>
      </c>
      <c r="Q17" s="68">
        <v>0.81092640038399999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</v>
      </c>
      <c r="E18" s="47">
        <v>3.085</v>
      </c>
      <c r="F18" s="47">
        <v>0</v>
      </c>
      <c r="G18" s="47">
        <v>0</v>
      </c>
      <c r="H18" s="47">
        <v>0</v>
      </c>
      <c r="I18" s="47">
        <v>1.472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4.5570000000000004</v>
      </c>
      <c r="Q18" s="68" t="s">
        <v>207</v>
      </c>
    </row>
    <row r="19" spans="1:17" ht="14.4" customHeight="1" x14ac:dyDescent="0.3">
      <c r="A19" s="15" t="s">
        <v>31</v>
      </c>
      <c r="B19" s="46">
        <v>1704.0941337173799</v>
      </c>
      <c r="C19" s="47">
        <v>142.00784447644801</v>
      </c>
      <c r="D19" s="47">
        <v>45.989130000000003</v>
      </c>
      <c r="E19" s="47">
        <v>101.88025</v>
      </c>
      <c r="F19" s="47">
        <v>111.18892</v>
      </c>
      <c r="G19" s="47">
        <v>43.388109999999998</v>
      </c>
      <c r="H19" s="47">
        <v>74.137739999999994</v>
      </c>
      <c r="I19" s="47">
        <v>299.24910999999997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675.83326</v>
      </c>
      <c r="Q19" s="68">
        <v>0.79318770791799997</v>
      </c>
    </row>
    <row r="20" spans="1:17" ht="14.4" customHeight="1" x14ac:dyDescent="0.3">
      <c r="A20" s="15" t="s">
        <v>32</v>
      </c>
      <c r="B20" s="46">
        <v>12179.999616359501</v>
      </c>
      <c r="C20" s="47">
        <v>1014.99996802996</v>
      </c>
      <c r="D20" s="47">
        <v>948.02890000000002</v>
      </c>
      <c r="E20" s="47">
        <v>930.120200000002</v>
      </c>
      <c r="F20" s="47">
        <v>936.91308000000004</v>
      </c>
      <c r="G20" s="47">
        <v>989.65111000000002</v>
      </c>
      <c r="H20" s="47">
        <v>984.67552999999998</v>
      </c>
      <c r="I20" s="47">
        <v>989.34794999999997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5778.7367700000004</v>
      </c>
      <c r="Q20" s="68">
        <v>0.94888948308900001</v>
      </c>
    </row>
    <row r="21" spans="1:17" ht="14.4" customHeight="1" x14ac:dyDescent="0.3">
      <c r="A21" s="16" t="s">
        <v>33</v>
      </c>
      <c r="B21" s="46">
        <v>2663.9923563981502</v>
      </c>
      <c r="C21" s="47">
        <v>221.99936303317901</v>
      </c>
      <c r="D21" s="47">
        <v>221.994</v>
      </c>
      <c r="E21" s="47">
        <v>221.99400000000099</v>
      </c>
      <c r="F21" s="47">
        <v>221.99299999999999</v>
      </c>
      <c r="G21" s="47">
        <v>221.989</v>
      </c>
      <c r="H21" s="47">
        <v>221.988</v>
      </c>
      <c r="I21" s="47">
        <v>221.988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1331.9459999999999</v>
      </c>
      <c r="Q21" s="68">
        <v>0.99996232857099998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207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207</v>
      </c>
    </row>
    <row r="24" spans="1:17" ht="14.4" customHeight="1" x14ac:dyDescent="0.3">
      <c r="A24" s="16" t="s">
        <v>36</v>
      </c>
      <c r="B24" s="46">
        <v>-7.2759576141834308E-12</v>
      </c>
      <c r="C24" s="47">
        <v>-4.5474735088646402E-13</v>
      </c>
      <c r="D24" s="47">
        <v>0</v>
      </c>
      <c r="E24" s="47">
        <v>4.5474735088646402E-13</v>
      </c>
      <c r="F24" s="47">
        <v>4.5474735088646402E-13</v>
      </c>
      <c r="G24" s="47">
        <v>4.5474735088646402E-13</v>
      </c>
      <c r="H24" s="47">
        <v>4.5474735088646402E-13</v>
      </c>
      <c r="I24" s="47">
        <v>4.6980000000000004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4.6980000000019997</v>
      </c>
      <c r="Q24" s="68"/>
    </row>
    <row r="25" spans="1:17" ht="14.4" customHeight="1" x14ac:dyDescent="0.3">
      <c r="A25" s="17" t="s">
        <v>37</v>
      </c>
      <c r="B25" s="49">
        <v>26092.019686893698</v>
      </c>
      <c r="C25" s="50">
        <v>2174.3349739078099</v>
      </c>
      <c r="D25" s="50">
        <v>2232.85466</v>
      </c>
      <c r="E25" s="50">
        <v>2212.2557300000099</v>
      </c>
      <c r="F25" s="50">
        <v>2206.6217700000002</v>
      </c>
      <c r="G25" s="50">
        <v>1983.8986</v>
      </c>
      <c r="H25" s="50">
        <v>1967.5780299999999</v>
      </c>
      <c r="I25" s="50">
        <v>2242.07251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12845.281300000001</v>
      </c>
      <c r="Q25" s="69">
        <v>0.98461379794600001</v>
      </c>
    </row>
    <row r="26" spans="1:17" ht="14.4" customHeight="1" x14ac:dyDescent="0.3">
      <c r="A26" s="15" t="s">
        <v>38</v>
      </c>
      <c r="B26" s="46">
        <v>2150.82414109415</v>
      </c>
      <c r="C26" s="47">
        <v>179.235345091179</v>
      </c>
      <c r="D26" s="47">
        <v>159.23768000000101</v>
      </c>
      <c r="E26" s="47">
        <v>160.45881000000099</v>
      </c>
      <c r="F26" s="47">
        <v>177.280270000001</v>
      </c>
      <c r="G26" s="47">
        <v>165.377440000001</v>
      </c>
      <c r="H26" s="47">
        <v>147.21973</v>
      </c>
      <c r="I26" s="47">
        <v>212.49611999999999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1022.07005</v>
      </c>
      <c r="Q26" s="68">
        <v>0.95039852907699995</v>
      </c>
    </row>
    <row r="27" spans="1:17" ht="14.4" customHeight="1" x14ac:dyDescent="0.3">
      <c r="A27" s="18" t="s">
        <v>39</v>
      </c>
      <c r="B27" s="49">
        <v>28242.843827987901</v>
      </c>
      <c r="C27" s="50">
        <v>2353.5703189989899</v>
      </c>
      <c r="D27" s="50">
        <v>2392.0923400000001</v>
      </c>
      <c r="E27" s="50">
        <v>2372.7145400000099</v>
      </c>
      <c r="F27" s="50">
        <v>2383.9020399999999</v>
      </c>
      <c r="G27" s="50">
        <v>2149.2760400000002</v>
      </c>
      <c r="H27" s="50">
        <v>2114.7977599999999</v>
      </c>
      <c r="I27" s="50">
        <v>2454.5686300000002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13867.351350000001</v>
      </c>
      <c r="Q27" s="69">
        <v>0.98200814581200002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12.5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207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10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207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204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70" t="s">
        <v>45</v>
      </c>
      <c r="B1" s="270"/>
      <c r="C1" s="270"/>
      <c r="D1" s="270"/>
      <c r="E1" s="270"/>
      <c r="F1" s="270"/>
      <c r="G1" s="270"/>
      <c r="H1" s="275"/>
      <c r="I1" s="275"/>
      <c r="J1" s="275"/>
      <c r="K1" s="275"/>
    </row>
    <row r="2" spans="1:11" s="55" customFormat="1" ht="14.4" customHeight="1" thickBot="1" x14ac:dyDescent="0.35">
      <c r="A2" s="175" t="s">
        <v>206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1" t="s">
        <v>46</v>
      </c>
      <c r="C3" s="272"/>
      <c r="D3" s="272"/>
      <c r="E3" s="272"/>
      <c r="F3" s="278" t="s">
        <v>47</v>
      </c>
      <c r="G3" s="272"/>
      <c r="H3" s="272"/>
      <c r="I3" s="272"/>
      <c r="J3" s="272"/>
      <c r="K3" s="279"/>
    </row>
    <row r="4" spans="1:11" ht="14.4" customHeight="1" x14ac:dyDescent="0.3">
      <c r="A4" s="59"/>
      <c r="B4" s="276"/>
      <c r="C4" s="277"/>
      <c r="D4" s="277"/>
      <c r="E4" s="277"/>
      <c r="F4" s="280" t="s">
        <v>200</v>
      </c>
      <c r="G4" s="282" t="s">
        <v>48</v>
      </c>
      <c r="H4" s="107" t="s">
        <v>80</v>
      </c>
      <c r="I4" s="280" t="s">
        <v>49</v>
      </c>
      <c r="J4" s="282" t="s">
        <v>202</v>
      </c>
      <c r="K4" s="283" t="s">
        <v>203</v>
      </c>
    </row>
    <row r="5" spans="1:11" ht="42" thickBot="1" x14ac:dyDescent="0.35">
      <c r="A5" s="60"/>
      <c r="B5" s="24" t="s">
        <v>196</v>
      </c>
      <c r="C5" s="25" t="s">
        <v>197</v>
      </c>
      <c r="D5" s="26" t="s">
        <v>198</v>
      </c>
      <c r="E5" s="26" t="s">
        <v>199</v>
      </c>
      <c r="F5" s="281"/>
      <c r="G5" s="281"/>
      <c r="H5" s="25" t="s">
        <v>201</v>
      </c>
      <c r="I5" s="281"/>
      <c r="J5" s="281"/>
      <c r="K5" s="284"/>
    </row>
    <row r="6" spans="1:11" ht="14.4" customHeight="1" thickBot="1" x14ac:dyDescent="0.35">
      <c r="A6" s="326" t="s">
        <v>209</v>
      </c>
      <c r="B6" s="308">
        <v>26601.624262270201</v>
      </c>
      <c r="C6" s="308">
        <v>25830.169720000002</v>
      </c>
      <c r="D6" s="309">
        <v>-771.45454227015898</v>
      </c>
      <c r="E6" s="310">
        <v>0.97099972036799997</v>
      </c>
      <c r="F6" s="308">
        <v>26092.019686893698</v>
      </c>
      <c r="G6" s="309">
        <v>13046.0098434469</v>
      </c>
      <c r="H6" s="311">
        <v>2242.07251</v>
      </c>
      <c r="I6" s="308">
        <v>12845.281300000001</v>
      </c>
      <c r="J6" s="309">
        <v>-200.72854344685899</v>
      </c>
      <c r="K6" s="312">
        <v>0.49230689897300001</v>
      </c>
    </row>
    <row r="7" spans="1:11" ht="14.4" customHeight="1" thickBot="1" x14ac:dyDescent="0.35">
      <c r="A7" s="327" t="s">
        <v>210</v>
      </c>
      <c r="B7" s="308">
        <v>9207.2451247132394</v>
      </c>
      <c r="C7" s="308">
        <v>8668.6539700000103</v>
      </c>
      <c r="D7" s="309">
        <v>-538.59115471323105</v>
      </c>
      <c r="E7" s="310">
        <v>0.94150354992999996</v>
      </c>
      <c r="F7" s="308">
        <v>9075.5223166840005</v>
      </c>
      <c r="G7" s="309">
        <v>4537.7611583420003</v>
      </c>
      <c r="H7" s="311">
        <v>658.60461999999995</v>
      </c>
      <c r="I7" s="308">
        <v>4859.5867399999997</v>
      </c>
      <c r="J7" s="309">
        <v>321.82558165799998</v>
      </c>
      <c r="K7" s="312">
        <v>0.53546083304299996</v>
      </c>
    </row>
    <row r="8" spans="1:11" ht="14.4" customHeight="1" thickBot="1" x14ac:dyDescent="0.35">
      <c r="A8" s="328" t="s">
        <v>211</v>
      </c>
      <c r="B8" s="308">
        <v>2910.43105063849</v>
      </c>
      <c r="C8" s="308">
        <v>2875.0419700000002</v>
      </c>
      <c r="D8" s="309">
        <v>-35.389080638484998</v>
      </c>
      <c r="E8" s="310">
        <v>0.98784060504299998</v>
      </c>
      <c r="F8" s="308">
        <v>2996.4729752478002</v>
      </c>
      <c r="G8" s="309">
        <v>1498.2364876239001</v>
      </c>
      <c r="H8" s="311">
        <v>355.71062000000001</v>
      </c>
      <c r="I8" s="308">
        <v>1413.10572</v>
      </c>
      <c r="J8" s="309">
        <v>-85.130767623899999</v>
      </c>
      <c r="K8" s="312">
        <v>0.47158967615300001</v>
      </c>
    </row>
    <row r="9" spans="1:11" ht="14.4" customHeight="1" thickBot="1" x14ac:dyDescent="0.35">
      <c r="A9" s="329" t="s">
        <v>212</v>
      </c>
      <c r="B9" s="313">
        <v>57.292595756889</v>
      </c>
      <c r="C9" s="313">
        <v>55.505650000000003</v>
      </c>
      <c r="D9" s="314">
        <v>-1.7869457568889999</v>
      </c>
      <c r="E9" s="315">
        <v>0.96881017986200002</v>
      </c>
      <c r="F9" s="313">
        <v>54.521861176842997</v>
      </c>
      <c r="G9" s="314">
        <v>27.260930588421001</v>
      </c>
      <c r="H9" s="316">
        <v>2.4441000000000002</v>
      </c>
      <c r="I9" s="313">
        <v>22.916219999999999</v>
      </c>
      <c r="J9" s="314">
        <v>-4.344710588421</v>
      </c>
      <c r="K9" s="317">
        <v>0.42031250410999998</v>
      </c>
    </row>
    <row r="10" spans="1:11" ht="14.4" customHeight="1" thickBot="1" x14ac:dyDescent="0.35">
      <c r="A10" s="330" t="s">
        <v>213</v>
      </c>
      <c r="B10" s="308">
        <v>57.292595756889</v>
      </c>
      <c r="C10" s="308">
        <v>55.505650000000003</v>
      </c>
      <c r="D10" s="309">
        <v>-1.7869457568889999</v>
      </c>
      <c r="E10" s="310">
        <v>0.96881017986200002</v>
      </c>
      <c r="F10" s="308">
        <v>54.521861176842997</v>
      </c>
      <c r="G10" s="309">
        <v>27.260930588421001</v>
      </c>
      <c r="H10" s="311">
        <v>2.4441000000000002</v>
      </c>
      <c r="I10" s="308">
        <v>22.916219999999999</v>
      </c>
      <c r="J10" s="309">
        <v>-4.344710588421</v>
      </c>
      <c r="K10" s="312">
        <v>0.42031250410999998</v>
      </c>
    </row>
    <row r="11" spans="1:11" ht="14.4" customHeight="1" thickBot="1" x14ac:dyDescent="0.35">
      <c r="A11" s="329" t="s">
        <v>214</v>
      </c>
      <c r="B11" s="313">
        <v>11.094806266407</v>
      </c>
      <c r="C11" s="313">
        <v>10.222</v>
      </c>
      <c r="D11" s="314">
        <v>-0.87280626640699999</v>
      </c>
      <c r="E11" s="315">
        <v>0.92133199576000002</v>
      </c>
      <c r="F11" s="313">
        <v>10.999999653526</v>
      </c>
      <c r="G11" s="314">
        <v>5.4999998267630001</v>
      </c>
      <c r="H11" s="316">
        <v>2.84</v>
      </c>
      <c r="I11" s="313">
        <v>2.84</v>
      </c>
      <c r="J11" s="314">
        <v>-2.6599998267629998</v>
      </c>
      <c r="K11" s="317">
        <v>0.25818182631300002</v>
      </c>
    </row>
    <row r="12" spans="1:11" ht="14.4" customHeight="1" thickBot="1" x14ac:dyDescent="0.35">
      <c r="A12" s="330" t="s">
        <v>215</v>
      </c>
      <c r="B12" s="308">
        <v>11.094806266407</v>
      </c>
      <c r="C12" s="308">
        <v>10.222</v>
      </c>
      <c r="D12" s="309">
        <v>-0.87280626640699999</v>
      </c>
      <c r="E12" s="310">
        <v>0.92133199576000002</v>
      </c>
      <c r="F12" s="308">
        <v>10.999999653526</v>
      </c>
      <c r="G12" s="309">
        <v>5.4999998267630001</v>
      </c>
      <c r="H12" s="311">
        <v>2.84</v>
      </c>
      <c r="I12" s="308">
        <v>2.84</v>
      </c>
      <c r="J12" s="309">
        <v>-2.6599998267629998</v>
      </c>
      <c r="K12" s="312">
        <v>0.25818182631300002</v>
      </c>
    </row>
    <row r="13" spans="1:11" ht="14.4" customHeight="1" thickBot="1" x14ac:dyDescent="0.35">
      <c r="A13" s="329" t="s">
        <v>216</v>
      </c>
      <c r="B13" s="313">
        <v>2622.85112687532</v>
      </c>
      <c r="C13" s="313">
        <v>2612.6036100000001</v>
      </c>
      <c r="D13" s="314">
        <v>-10.247516875316</v>
      </c>
      <c r="E13" s="315">
        <v>0.99609298569299998</v>
      </c>
      <c r="F13" s="313">
        <v>2761.95111974052</v>
      </c>
      <c r="G13" s="314">
        <v>1380.97555987026</v>
      </c>
      <c r="H13" s="316">
        <v>332.44598999999999</v>
      </c>
      <c r="I13" s="313">
        <v>1322.65797</v>
      </c>
      <c r="J13" s="314">
        <v>-58.317589870260001</v>
      </c>
      <c r="K13" s="317">
        <v>0.47888536496700002</v>
      </c>
    </row>
    <row r="14" spans="1:11" ht="14.4" customHeight="1" thickBot="1" x14ac:dyDescent="0.35">
      <c r="A14" s="330" t="s">
        <v>217</v>
      </c>
      <c r="B14" s="308">
        <v>5.5511151231256802E-16</v>
      </c>
      <c r="C14" s="308">
        <v>1.385</v>
      </c>
      <c r="D14" s="309">
        <v>1.385</v>
      </c>
      <c r="E14" s="310">
        <v>2494994193563310</v>
      </c>
      <c r="F14" s="308">
        <v>2.454925499927</v>
      </c>
      <c r="G14" s="309">
        <v>1.227462749963</v>
      </c>
      <c r="H14" s="311">
        <v>0</v>
      </c>
      <c r="I14" s="308">
        <v>0</v>
      </c>
      <c r="J14" s="309">
        <v>-1.227462749963</v>
      </c>
      <c r="K14" s="312">
        <v>0</v>
      </c>
    </row>
    <row r="15" spans="1:11" ht="14.4" customHeight="1" thickBot="1" x14ac:dyDescent="0.35">
      <c r="A15" s="330" t="s">
        <v>218</v>
      </c>
      <c r="B15" s="308">
        <v>146.98604755354401</v>
      </c>
      <c r="C15" s="308">
        <v>133.12844999999999</v>
      </c>
      <c r="D15" s="309">
        <v>-13.857597553543</v>
      </c>
      <c r="E15" s="310">
        <v>0.90572168049799995</v>
      </c>
      <c r="F15" s="308">
        <v>119.999996220291</v>
      </c>
      <c r="G15" s="309">
        <v>59.999998110145</v>
      </c>
      <c r="H15" s="311">
        <v>22.750340000000001</v>
      </c>
      <c r="I15" s="308">
        <v>54.937100000000001</v>
      </c>
      <c r="J15" s="309">
        <v>-5.0628981101450004</v>
      </c>
      <c r="K15" s="312">
        <v>0.45780918108599999</v>
      </c>
    </row>
    <row r="16" spans="1:11" ht="14.4" customHeight="1" thickBot="1" x14ac:dyDescent="0.35">
      <c r="A16" s="330" t="s">
        <v>219</v>
      </c>
      <c r="B16" s="308">
        <v>121.57051425101</v>
      </c>
      <c r="C16" s="308">
        <v>112.52875</v>
      </c>
      <c r="D16" s="309">
        <v>-9.0417642510090008</v>
      </c>
      <c r="E16" s="310">
        <v>0.92562535161799997</v>
      </c>
      <c r="F16" s="308">
        <v>99.999996850241999</v>
      </c>
      <c r="G16" s="309">
        <v>49.999998425120999</v>
      </c>
      <c r="H16" s="311">
        <v>6.4741</v>
      </c>
      <c r="I16" s="308">
        <v>57.51746</v>
      </c>
      <c r="J16" s="309">
        <v>7.5174615748780003</v>
      </c>
      <c r="K16" s="312">
        <v>0.57517461811600001</v>
      </c>
    </row>
    <row r="17" spans="1:11" ht="14.4" customHeight="1" thickBot="1" x14ac:dyDescent="0.35">
      <c r="A17" s="330" t="s">
        <v>220</v>
      </c>
      <c r="B17" s="308">
        <v>41.885422907102999</v>
      </c>
      <c r="C17" s="308">
        <v>35.918799999999997</v>
      </c>
      <c r="D17" s="309">
        <v>-5.9666229071029999</v>
      </c>
      <c r="E17" s="310">
        <v>0.85754893963099998</v>
      </c>
      <c r="F17" s="308">
        <v>56.999998204637997</v>
      </c>
      <c r="G17" s="309">
        <v>28.499999102318998</v>
      </c>
      <c r="H17" s="311">
        <v>5.5201599999999997</v>
      </c>
      <c r="I17" s="308">
        <v>12.698969999999999</v>
      </c>
      <c r="J17" s="309">
        <v>-15.801029102318999</v>
      </c>
      <c r="K17" s="312">
        <v>0.22278895438499999</v>
      </c>
    </row>
    <row r="18" spans="1:11" ht="14.4" customHeight="1" thickBot="1" x14ac:dyDescent="0.35">
      <c r="A18" s="330" t="s">
        <v>221</v>
      </c>
      <c r="B18" s="308">
        <v>4.9995948694530004</v>
      </c>
      <c r="C18" s="308">
        <v>12.93562</v>
      </c>
      <c r="D18" s="309">
        <v>7.9360251305459997</v>
      </c>
      <c r="E18" s="310">
        <v>2.5873336415780002</v>
      </c>
      <c r="F18" s="308">
        <v>4.9999998425119996</v>
      </c>
      <c r="G18" s="309">
        <v>2.4999999212559998</v>
      </c>
      <c r="H18" s="311">
        <v>0.28639999999999999</v>
      </c>
      <c r="I18" s="308">
        <v>1.0658700000000001</v>
      </c>
      <c r="J18" s="309">
        <v>-1.4341299212559999</v>
      </c>
      <c r="K18" s="312">
        <v>0.213174006714</v>
      </c>
    </row>
    <row r="19" spans="1:11" ht="14.4" customHeight="1" thickBot="1" x14ac:dyDescent="0.35">
      <c r="A19" s="330" t="s">
        <v>222</v>
      </c>
      <c r="B19" s="308">
        <v>25.844705392689001</v>
      </c>
      <c r="C19" s="308">
        <v>15.874980000000001</v>
      </c>
      <c r="D19" s="309">
        <v>-9.9697253926889999</v>
      </c>
      <c r="E19" s="310">
        <v>0.61424495883300001</v>
      </c>
      <c r="F19" s="308">
        <v>17.735198276706001</v>
      </c>
      <c r="G19" s="309">
        <v>8.8675991383530004</v>
      </c>
      <c r="H19" s="311">
        <v>0</v>
      </c>
      <c r="I19" s="308">
        <v>5.9423199999999996</v>
      </c>
      <c r="J19" s="309">
        <v>-2.9252791383529999</v>
      </c>
      <c r="K19" s="312">
        <v>0.33505799638</v>
      </c>
    </row>
    <row r="20" spans="1:11" ht="14.4" customHeight="1" thickBot="1" x14ac:dyDescent="0.35">
      <c r="A20" s="330" t="s">
        <v>223</v>
      </c>
      <c r="B20" s="308">
        <v>3.2421465354589998</v>
      </c>
      <c r="C20" s="308">
        <v>2.57972</v>
      </c>
      <c r="D20" s="309">
        <v>-0.66242653545899999</v>
      </c>
      <c r="E20" s="310">
        <v>0.79568272802700002</v>
      </c>
      <c r="F20" s="308">
        <v>0</v>
      </c>
      <c r="G20" s="309">
        <v>0</v>
      </c>
      <c r="H20" s="311">
        <v>0</v>
      </c>
      <c r="I20" s="308">
        <v>0</v>
      </c>
      <c r="J20" s="309">
        <v>0</v>
      </c>
      <c r="K20" s="312">
        <v>6</v>
      </c>
    </row>
    <row r="21" spans="1:11" ht="14.4" customHeight="1" thickBot="1" x14ac:dyDescent="0.35">
      <c r="A21" s="330" t="s">
        <v>224</v>
      </c>
      <c r="B21" s="308">
        <v>2207.7965431248099</v>
      </c>
      <c r="C21" s="308">
        <v>2213.3258799999999</v>
      </c>
      <c r="D21" s="309">
        <v>5.5293368751919996</v>
      </c>
      <c r="E21" s="310">
        <v>1.002504459431</v>
      </c>
      <c r="F21" s="308">
        <v>2383.99992490978</v>
      </c>
      <c r="G21" s="309">
        <v>1191.99996245489</v>
      </c>
      <c r="H21" s="311">
        <v>290.29955999999999</v>
      </c>
      <c r="I21" s="308">
        <v>1144.22039</v>
      </c>
      <c r="J21" s="309">
        <v>-47.779572454887997</v>
      </c>
      <c r="K21" s="312">
        <v>0.47995823239899998</v>
      </c>
    </row>
    <row r="22" spans="1:11" ht="14.4" customHeight="1" thickBot="1" x14ac:dyDescent="0.35">
      <c r="A22" s="330" t="s">
        <v>225</v>
      </c>
      <c r="B22" s="308">
        <v>7.9760689197470001</v>
      </c>
      <c r="C22" s="308">
        <v>5.9302700000000002</v>
      </c>
      <c r="D22" s="309">
        <v>-2.0457989197469999</v>
      </c>
      <c r="E22" s="310">
        <v>0.74350786830799998</v>
      </c>
      <c r="F22" s="308">
        <v>5.761082141258</v>
      </c>
      <c r="G22" s="309">
        <v>2.880541070629</v>
      </c>
      <c r="H22" s="311">
        <v>0.62919999999999998</v>
      </c>
      <c r="I22" s="308">
        <v>2.2030500000000002</v>
      </c>
      <c r="J22" s="309">
        <v>-0.67749107062900005</v>
      </c>
      <c r="K22" s="312">
        <v>0.38240211578</v>
      </c>
    </row>
    <row r="23" spans="1:11" ht="14.4" customHeight="1" thickBot="1" x14ac:dyDescent="0.35">
      <c r="A23" s="330" t="s">
        <v>226</v>
      </c>
      <c r="B23" s="308">
        <v>6.8091065877999998E-2</v>
      </c>
      <c r="C23" s="308">
        <v>0</v>
      </c>
      <c r="D23" s="309">
        <v>-6.8091065877999998E-2</v>
      </c>
      <c r="E23" s="310">
        <v>0</v>
      </c>
      <c r="F23" s="308">
        <v>0</v>
      </c>
      <c r="G23" s="309">
        <v>0</v>
      </c>
      <c r="H23" s="311">
        <v>0</v>
      </c>
      <c r="I23" s="308">
        <v>0</v>
      </c>
      <c r="J23" s="309">
        <v>0</v>
      </c>
      <c r="K23" s="312">
        <v>6</v>
      </c>
    </row>
    <row r="24" spans="1:11" ht="14.4" customHeight="1" thickBot="1" x14ac:dyDescent="0.35">
      <c r="A24" s="330" t="s">
        <v>227</v>
      </c>
      <c r="B24" s="308">
        <v>62.481992255622004</v>
      </c>
      <c r="C24" s="308">
        <v>78.996139999999997</v>
      </c>
      <c r="D24" s="309">
        <v>16.514147744376999</v>
      </c>
      <c r="E24" s="310">
        <v>1.264302515784</v>
      </c>
      <c r="F24" s="308">
        <v>69.999997795168994</v>
      </c>
      <c r="G24" s="309">
        <v>34.999998897584</v>
      </c>
      <c r="H24" s="311">
        <v>6.4862299999999999</v>
      </c>
      <c r="I24" s="308">
        <v>44.072809999999997</v>
      </c>
      <c r="J24" s="309">
        <v>9.0728111024150007</v>
      </c>
      <c r="K24" s="312">
        <v>0.62961159125900001</v>
      </c>
    </row>
    <row r="25" spans="1:11" ht="14.4" customHeight="1" thickBot="1" x14ac:dyDescent="0.35">
      <c r="A25" s="329" t="s">
        <v>228</v>
      </c>
      <c r="B25" s="313">
        <v>26.249634226066</v>
      </c>
      <c r="C25" s="313">
        <v>2.6334399999999998</v>
      </c>
      <c r="D25" s="314">
        <v>-23.616194226066</v>
      </c>
      <c r="E25" s="315">
        <v>0.100322921733</v>
      </c>
      <c r="F25" s="313">
        <v>1.999999937004</v>
      </c>
      <c r="G25" s="314">
        <v>0.99999996850200001</v>
      </c>
      <c r="H25" s="316">
        <v>5.9769199999999998</v>
      </c>
      <c r="I25" s="313">
        <v>6.5133700000000001</v>
      </c>
      <c r="J25" s="314">
        <v>5.5133700314969998</v>
      </c>
      <c r="K25" s="317">
        <v>3.2566851025769998</v>
      </c>
    </row>
    <row r="26" spans="1:11" ht="14.4" customHeight="1" thickBot="1" x14ac:dyDescent="0.35">
      <c r="A26" s="330" t="s">
        <v>229</v>
      </c>
      <c r="B26" s="308">
        <v>22.248888234005999</v>
      </c>
      <c r="C26" s="308">
        <v>0</v>
      </c>
      <c r="D26" s="309">
        <v>-22.248888234005999</v>
      </c>
      <c r="E26" s="310">
        <v>0</v>
      </c>
      <c r="F26" s="308">
        <v>0</v>
      </c>
      <c r="G26" s="309">
        <v>0</v>
      </c>
      <c r="H26" s="311">
        <v>0</v>
      </c>
      <c r="I26" s="308">
        <v>0</v>
      </c>
      <c r="J26" s="309">
        <v>0</v>
      </c>
      <c r="K26" s="312">
        <v>6</v>
      </c>
    </row>
    <row r="27" spans="1:11" ht="14.4" customHeight="1" thickBot="1" x14ac:dyDescent="0.35">
      <c r="A27" s="330" t="s">
        <v>230</v>
      </c>
      <c r="B27" s="308">
        <v>0</v>
      </c>
      <c r="C27" s="308">
        <v>0</v>
      </c>
      <c r="D27" s="309">
        <v>0</v>
      </c>
      <c r="E27" s="310">
        <v>1</v>
      </c>
      <c r="F27" s="308">
        <v>0</v>
      </c>
      <c r="G27" s="309">
        <v>0</v>
      </c>
      <c r="H27" s="311">
        <v>0.88600000000000001</v>
      </c>
      <c r="I27" s="308">
        <v>0.88600000000000001</v>
      </c>
      <c r="J27" s="309">
        <v>0.88600000000000001</v>
      </c>
      <c r="K27" s="318" t="s">
        <v>231</v>
      </c>
    </row>
    <row r="28" spans="1:11" ht="14.4" customHeight="1" thickBot="1" x14ac:dyDescent="0.35">
      <c r="A28" s="330" t="s">
        <v>232</v>
      </c>
      <c r="B28" s="308">
        <v>4.0007459920589996</v>
      </c>
      <c r="C28" s="308">
        <v>2.6334399999999998</v>
      </c>
      <c r="D28" s="309">
        <v>-1.3673059920590001</v>
      </c>
      <c r="E28" s="310">
        <v>0.65823724006100004</v>
      </c>
      <c r="F28" s="308">
        <v>1.999999937004</v>
      </c>
      <c r="G28" s="309">
        <v>0.99999996850200001</v>
      </c>
      <c r="H28" s="311">
        <v>5.0909199999999997</v>
      </c>
      <c r="I28" s="308">
        <v>5.62737</v>
      </c>
      <c r="J28" s="309">
        <v>4.6273700314969997</v>
      </c>
      <c r="K28" s="312">
        <v>2.8136850886240001</v>
      </c>
    </row>
    <row r="29" spans="1:11" ht="14.4" customHeight="1" thickBot="1" x14ac:dyDescent="0.35">
      <c r="A29" s="329" t="s">
        <v>233</v>
      </c>
      <c r="B29" s="313">
        <v>192.942887513806</v>
      </c>
      <c r="C29" s="313">
        <v>194.07727</v>
      </c>
      <c r="D29" s="314">
        <v>1.1343824861930001</v>
      </c>
      <c r="E29" s="315">
        <v>1.0058793692820001</v>
      </c>
      <c r="F29" s="313">
        <v>166.99999473990499</v>
      </c>
      <c r="G29" s="314">
        <v>83.499997369951998</v>
      </c>
      <c r="H29" s="316">
        <v>12.00361</v>
      </c>
      <c r="I29" s="313">
        <v>58.178159999999998</v>
      </c>
      <c r="J29" s="314">
        <v>-25.321837369952</v>
      </c>
      <c r="K29" s="317">
        <v>0.34837222654099997</v>
      </c>
    </row>
    <row r="30" spans="1:11" ht="14.4" customHeight="1" thickBot="1" x14ac:dyDescent="0.35">
      <c r="A30" s="330" t="s">
        <v>234</v>
      </c>
      <c r="B30" s="308">
        <v>9.9430631404270002</v>
      </c>
      <c r="C30" s="308">
        <v>12.888719999999999</v>
      </c>
      <c r="D30" s="309">
        <v>2.9456568595719999</v>
      </c>
      <c r="E30" s="310">
        <v>1.2962524543959999</v>
      </c>
      <c r="F30" s="308">
        <v>13.999999559033</v>
      </c>
      <c r="G30" s="309">
        <v>6.9999997795160001</v>
      </c>
      <c r="H30" s="311">
        <v>0.31218000000000001</v>
      </c>
      <c r="I30" s="308">
        <v>3.9417499999999999</v>
      </c>
      <c r="J30" s="309">
        <v>-3.0582497795160002</v>
      </c>
      <c r="K30" s="312">
        <v>0.28155358029599997</v>
      </c>
    </row>
    <row r="31" spans="1:11" ht="14.4" customHeight="1" thickBot="1" x14ac:dyDescent="0.35">
      <c r="A31" s="330" t="s">
        <v>235</v>
      </c>
      <c r="B31" s="308">
        <v>181.00009619405699</v>
      </c>
      <c r="C31" s="308">
        <v>179.67605</v>
      </c>
      <c r="D31" s="309">
        <v>-1.3240461940570001</v>
      </c>
      <c r="E31" s="310">
        <v>0.992684831544</v>
      </c>
      <c r="F31" s="308">
        <v>149.999995275364</v>
      </c>
      <c r="G31" s="309">
        <v>74.999997637681005</v>
      </c>
      <c r="H31" s="311">
        <v>11.69143</v>
      </c>
      <c r="I31" s="308">
        <v>53.026409999999998</v>
      </c>
      <c r="J31" s="309">
        <v>-21.973587637681</v>
      </c>
      <c r="K31" s="312">
        <v>0.35350941113399997</v>
      </c>
    </row>
    <row r="32" spans="1:11" ht="14.4" customHeight="1" thickBot="1" x14ac:dyDescent="0.35">
      <c r="A32" s="330" t="s">
        <v>236</v>
      </c>
      <c r="B32" s="308">
        <v>1.999728179321</v>
      </c>
      <c r="C32" s="308">
        <v>1.5125</v>
      </c>
      <c r="D32" s="309">
        <v>-0.48722817932099999</v>
      </c>
      <c r="E32" s="310">
        <v>0.75635279616499995</v>
      </c>
      <c r="F32" s="308">
        <v>2.9999999055069999</v>
      </c>
      <c r="G32" s="309">
        <v>1.4999999527529999</v>
      </c>
      <c r="H32" s="311">
        <v>0</v>
      </c>
      <c r="I32" s="308">
        <v>1.21</v>
      </c>
      <c r="J32" s="309">
        <v>-0.289999952753</v>
      </c>
      <c r="K32" s="312">
        <v>0.403333346037</v>
      </c>
    </row>
    <row r="33" spans="1:11" ht="14.4" customHeight="1" thickBot="1" x14ac:dyDescent="0.35">
      <c r="A33" s="328" t="s">
        <v>26</v>
      </c>
      <c r="B33" s="308">
        <v>6296.8140740747504</v>
      </c>
      <c r="C33" s="308">
        <v>5793.6120000000001</v>
      </c>
      <c r="D33" s="309">
        <v>-503.20207407474498</v>
      </c>
      <c r="E33" s="310">
        <v>0.92008624231900005</v>
      </c>
      <c r="F33" s="308">
        <v>6079.0493414361999</v>
      </c>
      <c r="G33" s="309">
        <v>3039.5246707181</v>
      </c>
      <c r="H33" s="311">
        <v>302.89400000000001</v>
      </c>
      <c r="I33" s="308">
        <v>3446.4810200000002</v>
      </c>
      <c r="J33" s="309">
        <v>406.956349281901</v>
      </c>
      <c r="K33" s="312">
        <v>0.56694407734200003</v>
      </c>
    </row>
    <row r="34" spans="1:11" ht="14.4" customHeight="1" thickBot="1" x14ac:dyDescent="0.35">
      <c r="A34" s="329" t="s">
        <v>237</v>
      </c>
      <c r="B34" s="313">
        <v>6296.8140740747504</v>
      </c>
      <c r="C34" s="313">
        <v>5793.6120000000001</v>
      </c>
      <c r="D34" s="314">
        <v>-503.20207407474498</v>
      </c>
      <c r="E34" s="315">
        <v>0.92008624231900005</v>
      </c>
      <c r="F34" s="313">
        <v>6079.0493414361999</v>
      </c>
      <c r="G34" s="314">
        <v>3039.5246707181</v>
      </c>
      <c r="H34" s="316">
        <v>302.89400000000001</v>
      </c>
      <c r="I34" s="313">
        <v>3446.4810200000002</v>
      </c>
      <c r="J34" s="314">
        <v>406.956349281901</v>
      </c>
      <c r="K34" s="317">
        <v>0.56694407734200003</v>
      </c>
    </row>
    <row r="35" spans="1:11" ht="14.4" customHeight="1" thickBot="1" x14ac:dyDescent="0.35">
      <c r="A35" s="330" t="s">
        <v>238</v>
      </c>
      <c r="B35" s="308">
        <v>431.05909626782301</v>
      </c>
      <c r="C35" s="308">
        <v>362.22</v>
      </c>
      <c r="D35" s="309">
        <v>-68.839096267822995</v>
      </c>
      <c r="E35" s="310">
        <v>0.84030241592400001</v>
      </c>
      <c r="F35" s="308">
        <v>372.04952119285002</v>
      </c>
      <c r="G35" s="309">
        <v>186.02476059642501</v>
      </c>
      <c r="H35" s="311">
        <v>31.064</v>
      </c>
      <c r="I35" s="308">
        <v>181.577</v>
      </c>
      <c r="J35" s="309">
        <v>-4.4477605964249998</v>
      </c>
      <c r="K35" s="312">
        <v>0.48804524574500002</v>
      </c>
    </row>
    <row r="36" spans="1:11" ht="14.4" customHeight="1" thickBot="1" x14ac:dyDescent="0.35">
      <c r="A36" s="330" t="s">
        <v>239</v>
      </c>
      <c r="B36" s="308">
        <v>1600.01083824902</v>
      </c>
      <c r="C36" s="308">
        <v>1469.991</v>
      </c>
      <c r="D36" s="309">
        <v>-130.01983824901399</v>
      </c>
      <c r="E36" s="310">
        <v>0.91873815155399996</v>
      </c>
      <c r="F36" s="308">
        <v>1599.9999496038799</v>
      </c>
      <c r="G36" s="309">
        <v>799.99997480193895</v>
      </c>
      <c r="H36" s="311">
        <v>132.07300000000001</v>
      </c>
      <c r="I36" s="308">
        <v>799.702</v>
      </c>
      <c r="J36" s="309">
        <v>-0.29797480193800002</v>
      </c>
      <c r="K36" s="312">
        <v>0.49981376574199998</v>
      </c>
    </row>
    <row r="37" spans="1:11" ht="14.4" customHeight="1" thickBot="1" x14ac:dyDescent="0.35">
      <c r="A37" s="330" t="s">
        <v>240</v>
      </c>
      <c r="B37" s="308">
        <v>4265.7441395579099</v>
      </c>
      <c r="C37" s="308">
        <v>3961.4009999999998</v>
      </c>
      <c r="D37" s="309">
        <v>-304.34313955790799</v>
      </c>
      <c r="E37" s="310">
        <v>0.92865415045900002</v>
      </c>
      <c r="F37" s="308">
        <v>4106.9998706394699</v>
      </c>
      <c r="G37" s="309">
        <v>2053.49993531974</v>
      </c>
      <c r="H37" s="311">
        <v>139.75700000000001</v>
      </c>
      <c r="I37" s="308">
        <v>2465.2020200000002</v>
      </c>
      <c r="J37" s="309">
        <v>411.70208468026499</v>
      </c>
      <c r="K37" s="312">
        <v>0.60024399747900004</v>
      </c>
    </row>
    <row r="38" spans="1:11" ht="14.4" customHeight="1" thickBot="1" x14ac:dyDescent="0.35">
      <c r="A38" s="331" t="s">
        <v>241</v>
      </c>
      <c r="B38" s="313">
        <v>2223.688318897</v>
      </c>
      <c r="C38" s="313">
        <v>1922.6952200000001</v>
      </c>
      <c r="D38" s="314">
        <v>-300.993098897001</v>
      </c>
      <c r="E38" s="315">
        <v>0.86464240678899995</v>
      </c>
      <c r="F38" s="313">
        <v>2172.5053974520702</v>
      </c>
      <c r="G38" s="314">
        <v>1086.2526987260301</v>
      </c>
      <c r="H38" s="316">
        <v>367.43394000000001</v>
      </c>
      <c r="I38" s="313">
        <v>870.31379000000004</v>
      </c>
      <c r="J38" s="314">
        <v>-215.93890872603399</v>
      </c>
      <c r="K38" s="317">
        <v>0.40060374120100001</v>
      </c>
    </row>
    <row r="39" spans="1:11" ht="14.4" customHeight="1" thickBot="1" x14ac:dyDescent="0.35">
      <c r="A39" s="328" t="s">
        <v>29</v>
      </c>
      <c r="B39" s="308">
        <v>417.76085662435202</v>
      </c>
      <c r="C39" s="308">
        <v>381.70341999999999</v>
      </c>
      <c r="D39" s="309">
        <v>-36.057436624350998</v>
      </c>
      <c r="E39" s="310">
        <v>0.91368881011000003</v>
      </c>
      <c r="F39" s="308">
        <v>468.411263734692</v>
      </c>
      <c r="G39" s="309">
        <v>234.205631867346</v>
      </c>
      <c r="H39" s="311">
        <v>66.712829999999997</v>
      </c>
      <c r="I39" s="308">
        <v>189.92353</v>
      </c>
      <c r="J39" s="309">
        <v>-44.282101867344998</v>
      </c>
      <c r="K39" s="312">
        <v>0.405463200192</v>
      </c>
    </row>
    <row r="40" spans="1:11" ht="14.4" customHeight="1" thickBot="1" x14ac:dyDescent="0.35">
      <c r="A40" s="332" t="s">
        <v>242</v>
      </c>
      <c r="B40" s="308">
        <v>417.76085662435202</v>
      </c>
      <c r="C40" s="308">
        <v>381.70341999999999</v>
      </c>
      <c r="D40" s="309">
        <v>-36.057436624350998</v>
      </c>
      <c r="E40" s="310">
        <v>0.91368881011000003</v>
      </c>
      <c r="F40" s="308">
        <v>468.411263734692</v>
      </c>
      <c r="G40" s="309">
        <v>234.205631867346</v>
      </c>
      <c r="H40" s="311">
        <v>66.712829999999997</v>
      </c>
      <c r="I40" s="308">
        <v>189.92353</v>
      </c>
      <c r="J40" s="309">
        <v>-44.282101867344998</v>
      </c>
      <c r="K40" s="312">
        <v>0.405463200192</v>
      </c>
    </row>
    <row r="41" spans="1:11" ht="14.4" customHeight="1" thickBot="1" x14ac:dyDescent="0.35">
      <c r="A41" s="330" t="s">
        <v>243</v>
      </c>
      <c r="B41" s="308">
        <v>358.53535537244397</v>
      </c>
      <c r="C41" s="308">
        <v>351.11804000000001</v>
      </c>
      <c r="D41" s="309">
        <v>-7.4173153724430003</v>
      </c>
      <c r="E41" s="310">
        <v>0.979312178669</v>
      </c>
      <c r="F41" s="308">
        <v>394.43093091515902</v>
      </c>
      <c r="G41" s="309">
        <v>197.215465457579</v>
      </c>
      <c r="H41" s="311">
        <v>26.986999999999998</v>
      </c>
      <c r="I41" s="308">
        <v>141.10499999999999</v>
      </c>
      <c r="J41" s="309">
        <v>-56.110465457578997</v>
      </c>
      <c r="K41" s="312">
        <v>0.35774324207399999</v>
      </c>
    </row>
    <row r="42" spans="1:11" ht="14.4" customHeight="1" thickBot="1" x14ac:dyDescent="0.35">
      <c r="A42" s="330" t="s">
        <v>244</v>
      </c>
      <c r="B42" s="308">
        <v>18.309451919876</v>
      </c>
      <c r="C42" s="308">
        <v>0</v>
      </c>
      <c r="D42" s="309">
        <v>-18.309451919876</v>
      </c>
      <c r="E42" s="310">
        <v>0</v>
      </c>
      <c r="F42" s="308">
        <v>0</v>
      </c>
      <c r="G42" s="309">
        <v>0</v>
      </c>
      <c r="H42" s="311">
        <v>39.725830000000002</v>
      </c>
      <c r="I42" s="308">
        <v>41.951529999999998</v>
      </c>
      <c r="J42" s="309">
        <v>41.951529999999998</v>
      </c>
      <c r="K42" s="318" t="s">
        <v>231</v>
      </c>
    </row>
    <row r="43" spans="1:11" ht="14.4" customHeight="1" thickBot="1" x14ac:dyDescent="0.35">
      <c r="A43" s="330" t="s">
        <v>245</v>
      </c>
      <c r="B43" s="308">
        <v>24.999957792414001</v>
      </c>
      <c r="C43" s="308">
        <v>14.72589</v>
      </c>
      <c r="D43" s="309">
        <v>-10.274067792414</v>
      </c>
      <c r="E43" s="310">
        <v>0.58903659447199996</v>
      </c>
      <c r="F43" s="308">
        <v>59.999998110145</v>
      </c>
      <c r="G43" s="309">
        <v>29.999999055071999</v>
      </c>
      <c r="H43" s="311">
        <v>0</v>
      </c>
      <c r="I43" s="308">
        <v>0</v>
      </c>
      <c r="J43" s="309">
        <v>-29.999999055071999</v>
      </c>
      <c r="K43" s="312">
        <v>0</v>
      </c>
    </row>
    <row r="44" spans="1:11" ht="14.4" customHeight="1" thickBot="1" x14ac:dyDescent="0.35">
      <c r="A44" s="330" t="s">
        <v>246</v>
      </c>
      <c r="B44" s="308">
        <v>15.916091539616</v>
      </c>
      <c r="C44" s="308">
        <v>15.859489999999999</v>
      </c>
      <c r="D44" s="309">
        <v>-5.6601539616E-2</v>
      </c>
      <c r="E44" s="310">
        <v>0.99644375382700001</v>
      </c>
      <c r="F44" s="308">
        <v>13.980334709387</v>
      </c>
      <c r="G44" s="309">
        <v>6.9901673546929999</v>
      </c>
      <c r="H44" s="311">
        <v>0</v>
      </c>
      <c r="I44" s="308">
        <v>6.867</v>
      </c>
      <c r="J44" s="309">
        <v>-0.123167354693</v>
      </c>
      <c r="K44" s="312">
        <v>0.49118995665999998</v>
      </c>
    </row>
    <row r="45" spans="1:11" ht="14.4" customHeight="1" thickBot="1" x14ac:dyDescent="0.35">
      <c r="A45" s="333" t="s">
        <v>30</v>
      </c>
      <c r="B45" s="313">
        <v>0</v>
      </c>
      <c r="C45" s="313">
        <v>7.4189999999999996</v>
      </c>
      <c r="D45" s="314">
        <v>7.4189999999999996</v>
      </c>
      <c r="E45" s="319" t="s">
        <v>207</v>
      </c>
      <c r="F45" s="313">
        <v>0</v>
      </c>
      <c r="G45" s="314">
        <v>0</v>
      </c>
      <c r="H45" s="316">
        <v>1.472</v>
      </c>
      <c r="I45" s="313">
        <v>4.5570000000000004</v>
      </c>
      <c r="J45" s="314">
        <v>4.5570000000000004</v>
      </c>
      <c r="K45" s="320" t="s">
        <v>207</v>
      </c>
    </row>
    <row r="46" spans="1:11" ht="14.4" customHeight="1" thickBot="1" x14ac:dyDescent="0.35">
      <c r="A46" s="329" t="s">
        <v>247</v>
      </c>
      <c r="B46" s="313">
        <v>0</v>
      </c>
      <c r="C46" s="313">
        <v>5.0350000000000001</v>
      </c>
      <c r="D46" s="314">
        <v>5.0350000000000001</v>
      </c>
      <c r="E46" s="319" t="s">
        <v>207</v>
      </c>
      <c r="F46" s="313">
        <v>0</v>
      </c>
      <c r="G46" s="314">
        <v>0</v>
      </c>
      <c r="H46" s="316">
        <v>1.472</v>
      </c>
      <c r="I46" s="313">
        <v>4.5570000000000004</v>
      </c>
      <c r="J46" s="314">
        <v>4.5570000000000004</v>
      </c>
      <c r="K46" s="320" t="s">
        <v>207</v>
      </c>
    </row>
    <row r="47" spans="1:11" ht="14.4" customHeight="1" thickBot="1" x14ac:dyDescent="0.35">
      <c r="A47" s="330" t="s">
        <v>248</v>
      </c>
      <c r="B47" s="308">
        <v>0</v>
      </c>
      <c r="C47" s="308">
        <v>5.0350000000000001</v>
      </c>
      <c r="D47" s="309">
        <v>5.0350000000000001</v>
      </c>
      <c r="E47" s="321" t="s">
        <v>207</v>
      </c>
      <c r="F47" s="308">
        <v>0</v>
      </c>
      <c r="G47" s="309">
        <v>0</v>
      </c>
      <c r="H47" s="311">
        <v>1.472</v>
      </c>
      <c r="I47" s="308">
        <v>4.5570000000000004</v>
      </c>
      <c r="J47" s="309">
        <v>4.5570000000000004</v>
      </c>
      <c r="K47" s="318" t="s">
        <v>207</v>
      </c>
    </row>
    <row r="48" spans="1:11" ht="14.4" customHeight="1" thickBot="1" x14ac:dyDescent="0.35">
      <c r="A48" s="329" t="s">
        <v>249</v>
      </c>
      <c r="B48" s="313">
        <v>0</v>
      </c>
      <c r="C48" s="313">
        <v>2.3839999999999999</v>
      </c>
      <c r="D48" s="314">
        <v>2.3839999999999999</v>
      </c>
      <c r="E48" s="319" t="s">
        <v>231</v>
      </c>
      <c r="F48" s="313">
        <v>0</v>
      </c>
      <c r="G48" s="314">
        <v>0</v>
      </c>
      <c r="H48" s="316">
        <v>0</v>
      </c>
      <c r="I48" s="313">
        <v>0</v>
      </c>
      <c r="J48" s="314">
        <v>0</v>
      </c>
      <c r="K48" s="320" t="s">
        <v>207</v>
      </c>
    </row>
    <row r="49" spans="1:11" ht="14.4" customHeight="1" thickBot="1" x14ac:dyDescent="0.35">
      <c r="A49" s="330" t="s">
        <v>250</v>
      </c>
      <c r="B49" s="308">
        <v>0</v>
      </c>
      <c r="C49" s="308">
        <v>2.3839999999999999</v>
      </c>
      <c r="D49" s="309">
        <v>2.3839999999999999</v>
      </c>
      <c r="E49" s="321" t="s">
        <v>231</v>
      </c>
      <c r="F49" s="308">
        <v>0</v>
      </c>
      <c r="G49" s="309">
        <v>0</v>
      </c>
      <c r="H49" s="311">
        <v>0</v>
      </c>
      <c r="I49" s="308">
        <v>0</v>
      </c>
      <c r="J49" s="309">
        <v>0</v>
      </c>
      <c r="K49" s="318" t="s">
        <v>207</v>
      </c>
    </row>
    <row r="50" spans="1:11" ht="14.4" customHeight="1" thickBot="1" x14ac:dyDescent="0.35">
      <c r="A50" s="328" t="s">
        <v>31</v>
      </c>
      <c r="B50" s="308">
        <v>1805.92746227265</v>
      </c>
      <c r="C50" s="308">
        <v>1533.5727999999999</v>
      </c>
      <c r="D50" s="309">
        <v>-272.35466227264902</v>
      </c>
      <c r="E50" s="310">
        <v>0.84918848183899998</v>
      </c>
      <c r="F50" s="308">
        <v>1704.0941337173799</v>
      </c>
      <c r="G50" s="309">
        <v>852.04706685868905</v>
      </c>
      <c r="H50" s="311">
        <v>299.24910999999997</v>
      </c>
      <c r="I50" s="308">
        <v>675.83326</v>
      </c>
      <c r="J50" s="309">
        <v>-176.213806858688</v>
      </c>
      <c r="K50" s="312">
        <v>0.39659385395899999</v>
      </c>
    </row>
    <row r="51" spans="1:11" ht="14.4" customHeight="1" thickBot="1" x14ac:dyDescent="0.35">
      <c r="A51" s="329" t="s">
        <v>251</v>
      </c>
      <c r="B51" s="313">
        <v>6.0547178431219999</v>
      </c>
      <c r="C51" s="313">
        <v>7.7967399999999998</v>
      </c>
      <c r="D51" s="314">
        <v>1.742022156877</v>
      </c>
      <c r="E51" s="315">
        <v>1.2877131853229999</v>
      </c>
      <c r="F51" s="313">
        <v>8.1819217636000001</v>
      </c>
      <c r="G51" s="314">
        <v>4.0909608818000001</v>
      </c>
      <c r="H51" s="316">
        <v>0.44722000000000001</v>
      </c>
      <c r="I51" s="313">
        <v>3.7759</v>
      </c>
      <c r="J51" s="314">
        <v>-0.31506088180000003</v>
      </c>
      <c r="K51" s="317">
        <v>0.46149304638799998</v>
      </c>
    </row>
    <row r="52" spans="1:11" ht="14.4" customHeight="1" thickBot="1" x14ac:dyDescent="0.35">
      <c r="A52" s="330" t="s">
        <v>252</v>
      </c>
      <c r="B52" s="308">
        <v>0.43343926469299998</v>
      </c>
      <c r="C52" s="308">
        <v>0.75619999999999998</v>
      </c>
      <c r="D52" s="309">
        <v>0.32276073530600002</v>
      </c>
      <c r="E52" s="310">
        <v>1.744650431091</v>
      </c>
      <c r="F52" s="308">
        <v>0.72195120511499999</v>
      </c>
      <c r="G52" s="309">
        <v>0.36097560255700001</v>
      </c>
      <c r="H52" s="311">
        <v>7.5999999999999998E-2</v>
      </c>
      <c r="I52" s="308">
        <v>0.53010000000000002</v>
      </c>
      <c r="J52" s="309">
        <v>0.169124397442</v>
      </c>
      <c r="K52" s="312">
        <v>0.73426014977700005</v>
      </c>
    </row>
    <row r="53" spans="1:11" ht="14.4" customHeight="1" thickBot="1" x14ac:dyDescent="0.35">
      <c r="A53" s="330" t="s">
        <v>253</v>
      </c>
      <c r="B53" s="308">
        <v>5.621278578429</v>
      </c>
      <c r="C53" s="308">
        <v>7.04054</v>
      </c>
      <c r="D53" s="309">
        <v>1.4192614215699999</v>
      </c>
      <c r="E53" s="310">
        <v>1.252480178978</v>
      </c>
      <c r="F53" s="308">
        <v>7.4599705584839997</v>
      </c>
      <c r="G53" s="309">
        <v>3.7299852792419999</v>
      </c>
      <c r="H53" s="311">
        <v>0.37121999999999999</v>
      </c>
      <c r="I53" s="308">
        <v>3.2458</v>
      </c>
      <c r="J53" s="309">
        <v>-0.484185279242</v>
      </c>
      <c r="K53" s="312">
        <v>0.435095550921</v>
      </c>
    </row>
    <row r="54" spans="1:11" ht="14.4" customHeight="1" thickBot="1" x14ac:dyDescent="0.35">
      <c r="A54" s="329" t="s">
        <v>254</v>
      </c>
      <c r="B54" s="313">
        <v>1.6780130766300001</v>
      </c>
      <c r="C54" s="313">
        <v>1.62</v>
      </c>
      <c r="D54" s="314">
        <v>-5.801307663E-2</v>
      </c>
      <c r="E54" s="315">
        <v>0.96542751815299999</v>
      </c>
      <c r="F54" s="313">
        <v>1.6780130237769999</v>
      </c>
      <c r="G54" s="314">
        <v>0.83900651188800002</v>
      </c>
      <c r="H54" s="316">
        <v>0</v>
      </c>
      <c r="I54" s="313">
        <v>0.81</v>
      </c>
      <c r="J54" s="314">
        <v>-2.9006511887999999E-2</v>
      </c>
      <c r="K54" s="317">
        <v>0.48271377428000001</v>
      </c>
    </row>
    <row r="55" spans="1:11" ht="14.4" customHeight="1" thickBot="1" x14ac:dyDescent="0.35">
      <c r="A55" s="330" t="s">
        <v>255</v>
      </c>
      <c r="B55" s="308">
        <v>1.6780130766300001</v>
      </c>
      <c r="C55" s="308">
        <v>1.62</v>
      </c>
      <c r="D55" s="309">
        <v>-5.801307663E-2</v>
      </c>
      <c r="E55" s="310">
        <v>0.96542751815299999</v>
      </c>
      <c r="F55" s="308">
        <v>1.6780130237769999</v>
      </c>
      <c r="G55" s="309">
        <v>0.83900651188800002</v>
      </c>
      <c r="H55" s="311">
        <v>0</v>
      </c>
      <c r="I55" s="308">
        <v>0.81</v>
      </c>
      <c r="J55" s="309">
        <v>-2.9006511887999999E-2</v>
      </c>
      <c r="K55" s="312">
        <v>0.48271377428000001</v>
      </c>
    </row>
    <row r="56" spans="1:11" ht="14.4" customHeight="1" thickBot="1" x14ac:dyDescent="0.35">
      <c r="A56" s="329" t="s">
        <v>256</v>
      </c>
      <c r="B56" s="313">
        <v>476.65681053771999</v>
      </c>
      <c r="C56" s="313">
        <v>359.67878999999999</v>
      </c>
      <c r="D56" s="314">
        <v>-116.97802053772</v>
      </c>
      <c r="E56" s="315">
        <v>0.75458649084200002</v>
      </c>
      <c r="F56" s="313">
        <v>389.72491163334303</v>
      </c>
      <c r="G56" s="314">
        <v>194.862455816672</v>
      </c>
      <c r="H56" s="316">
        <v>38.679749999999999</v>
      </c>
      <c r="I56" s="313">
        <v>205.47293999999999</v>
      </c>
      <c r="J56" s="314">
        <v>10.610484183327999</v>
      </c>
      <c r="K56" s="317">
        <v>0.527225573389</v>
      </c>
    </row>
    <row r="57" spans="1:11" ht="14.4" customHeight="1" thickBot="1" x14ac:dyDescent="0.35">
      <c r="A57" s="330" t="s">
        <v>257</v>
      </c>
      <c r="B57" s="308">
        <v>465.33273097879697</v>
      </c>
      <c r="C57" s="308">
        <v>345.62878999999998</v>
      </c>
      <c r="D57" s="309">
        <v>-119.70394097879699</v>
      </c>
      <c r="E57" s="310">
        <v>0.742756240836</v>
      </c>
      <c r="F57" s="308">
        <v>375.22625086611498</v>
      </c>
      <c r="G57" s="309">
        <v>187.61312543305701</v>
      </c>
      <c r="H57" s="311">
        <v>37.679749999999999</v>
      </c>
      <c r="I57" s="308">
        <v>199.77294000000001</v>
      </c>
      <c r="J57" s="309">
        <v>12.159814566942</v>
      </c>
      <c r="K57" s="312">
        <v>0.53240662010899997</v>
      </c>
    </row>
    <row r="58" spans="1:11" ht="14.4" customHeight="1" thickBot="1" x14ac:dyDescent="0.35">
      <c r="A58" s="330" t="s">
        <v>258</v>
      </c>
      <c r="B58" s="308">
        <v>11.324079558923</v>
      </c>
      <c r="C58" s="308">
        <v>14.05</v>
      </c>
      <c r="D58" s="309">
        <v>2.7259204410760001</v>
      </c>
      <c r="E58" s="310">
        <v>1.240718941163</v>
      </c>
      <c r="F58" s="308">
        <v>14.498660767227999</v>
      </c>
      <c r="G58" s="309">
        <v>7.2493303836139997</v>
      </c>
      <c r="H58" s="311">
        <v>1</v>
      </c>
      <c r="I58" s="308">
        <v>5.7</v>
      </c>
      <c r="J58" s="309">
        <v>-1.549330383614</v>
      </c>
      <c r="K58" s="312">
        <v>0.39313975900999998</v>
      </c>
    </row>
    <row r="59" spans="1:11" ht="14.4" customHeight="1" thickBot="1" x14ac:dyDescent="0.35">
      <c r="A59" s="329" t="s">
        <v>259</v>
      </c>
      <c r="B59" s="313">
        <v>1271.5379208151801</v>
      </c>
      <c r="C59" s="313">
        <v>1163.2852700000001</v>
      </c>
      <c r="D59" s="314">
        <v>-108.25265081517701</v>
      </c>
      <c r="E59" s="315">
        <v>0.91486478771599999</v>
      </c>
      <c r="F59" s="313">
        <v>1259.5092887140499</v>
      </c>
      <c r="G59" s="314">
        <v>629.75464435702304</v>
      </c>
      <c r="H59" s="316">
        <v>260.12214</v>
      </c>
      <c r="I59" s="313">
        <v>465.77442000000002</v>
      </c>
      <c r="J59" s="314">
        <v>-163.98022435702299</v>
      </c>
      <c r="K59" s="317">
        <v>0.36980626040100001</v>
      </c>
    </row>
    <row r="60" spans="1:11" ht="14.4" customHeight="1" thickBot="1" x14ac:dyDescent="0.35">
      <c r="A60" s="330" t="s">
        <v>260</v>
      </c>
      <c r="B60" s="308">
        <v>25.633281982086999</v>
      </c>
      <c r="C60" s="308">
        <v>2.8090000000000002</v>
      </c>
      <c r="D60" s="309">
        <v>-22.824281982087001</v>
      </c>
      <c r="E60" s="310">
        <v>0.10958409469200001</v>
      </c>
      <c r="F60" s="308">
        <v>4.5265724092730002</v>
      </c>
      <c r="G60" s="309">
        <v>2.2632862046360001</v>
      </c>
      <c r="H60" s="311">
        <v>0</v>
      </c>
      <c r="I60" s="308">
        <v>24.420999999999999</v>
      </c>
      <c r="J60" s="309">
        <v>22.157713795363001</v>
      </c>
      <c r="K60" s="312">
        <v>5.395031337611</v>
      </c>
    </row>
    <row r="61" spans="1:11" ht="14.4" customHeight="1" thickBot="1" x14ac:dyDescent="0.35">
      <c r="A61" s="330" t="s">
        <v>261</v>
      </c>
      <c r="B61" s="308">
        <v>1197.1491994268099</v>
      </c>
      <c r="C61" s="308">
        <v>1052.8722700000001</v>
      </c>
      <c r="D61" s="309">
        <v>-144.27692942681301</v>
      </c>
      <c r="E61" s="310">
        <v>0.87948291700299996</v>
      </c>
      <c r="F61" s="308">
        <v>1140.6857382846799</v>
      </c>
      <c r="G61" s="309">
        <v>570.34286914233996</v>
      </c>
      <c r="H61" s="311">
        <v>260.12214</v>
      </c>
      <c r="I61" s="308">
        <v>423.77641999999997</v>
      </c>
      <c r="J61" s="309">
        <v>-146.56644914233999</v>
      </c>
      <c r="K61" s="312">
        <v>0.37151022913300003</v>
      </c>
    </row>
    <row r="62" spans="1:11" ht="14.4" customHeight="1" thickBot="1" x14ac:dyDescent="0.35">
      <c r="A62" s="330" t="s">
        <v>262</v>
      </c>
      <c r="B62" s="308">
        <v>3.0010932502209999</v>
      </c>
      <c r="C62" s="308">
        <v>2.2519999999999998</v>
      </c>
      <c r="D62" s="309">
        <v>-0.74909325022100004</v>
      </c>
      <c r="E62" s="310">
        <v>0.75039321081800003</v>
      </c>
      <c r="F62" s="308">
        <v>0.99999996850200001</v>
      </c>
      <c r="G62" s="309">
        <v>0.49999998425100001</v>
      </c>
      <c r="H62" s="311">
        <v>0</v>
      </c>
      <c r="I62" s="308">
        <v>0</v>
      </c>
      <c r="J62" s="309">
        <v>-0.49999998425100001</v>
      </c>
      <c r="K62" s="312">
        <v>0</v>
      </c>
    </row>
    <row r="63" spans="1:11" ht="14.4" customHeight="1" thickBot="1" x14ac:dyDescent="0.35">
      <c r="A63" s="330" t="s">
        <v>263</v>
      </c>
      <c r="B63" s="308">
        <v>45.754346156053998</v>
      </c>
      <c r="C63" s="308">
        <v>105.352</v>
      </c>
      <c r="D63" s="309">
        <v>59.597653843944997</v>
      </c>
      <c r="E63" s="310">
        <v>2.3025572180760001</v>
      </c>
      <c r="F63" s="308">
        <v>113.296978051591</v>
      </c>
      <c r="G63" s="309">
        <v>56.648489025795001</v>
      </c>
      <c r="H63" s="311">
        <v>0</v>
      </c>
      <c r="I63" s="308">
        <v>17.577000000000002</v>
      </c>
      <c r="J63" s="309">
        <v>-39.071489025795003</v>
      </c>
      <c r="K63" s="312">
        <v>0.155140942876</v>
      </c>
    </row>
    <row r="64" spans="1:11" ht="14.4" customHeight="1" thickBot="1" x14ac:dyDescent="0.35">
      <c r="A64" s="329" t="s">
        <v>264</v>
      </c>
      <c r="B64" s="313">
        <v>49.999999999998998</v>
      </c>
      <c r="C64" s="313">
        <v>1.1919999999999999</v>
      </c>
      <c r="D64" s="314">
        <v>-48.807999999998998</v>
      </c>
      <c r="E64" s="315">
        <v>2.384E-2</v>
      </c>
      <c r="F64" s="313">
        <v>44.999998582609003</v>
      </c>
      <c r="G64" s="314">
        <v>22.499999291304</v>
      </c>
      <c r="H64" s="316">
        <v>0</v>
      </c>
      <c r="I64" s="313">
        <v>0</v>
      </c>
      <c r="J64" s="314">
        <v>-22.499999291304</v>
      </c>
      <c r="K64" s="317">
        <v>0</v>
      </c>
    </row>
    <row r="65" spans="1:11" ht="14.4" customHeight="1" thickBot="1" x14ac:dyDescent="0.35">
      <c r="A65" s="330" t="s">
        <v>265</v>
      </c>
      <c r="B65" s="308">
        <v>0</v>
      </c>
      <c r="C65" s="308">
        <v>1.1919999999999999</v>
      </c>
      <c r="D65" s="309">
        <v>1.1919999999999999</v>
      </c>
      <c r="E65" s="321" t="s">
        <v>207</v>
      </c>
      <c r="F65" s="308">
        <v>9.9999996850239992</v>
      </c>
      <c r="G65" s="309">
        <v>4.9999998425119996</v>
      </c>
      <c r="H65" s="311">
        <v>0</v>
      </c>
      <c r="I65" s="308">
        <v>0</v>
      </c>
      <c r="J65" s="309">
        <v>-4.9999998425119996</v>
      </c>
      <c r="K65" s="312">
        <v>0</v>
      </c>
    </row>
    <row r="66" spans="1:11" ht="14.4" customHeight="1" thickBot="1" x14ac:dyDescent="0.35">
      <c r="A66" s="330" t="s">
        <v>266</v>
      </c>
      <c r="B66" s="308">
        <v>49.999999999998998</v>
      </c>
      <c r="C66" s="308">
        <v>0</v>
      </c>
      <c r="D66" s="309">
        <v>-49.999999999998998</v>
      </c>
      <c r="E66" s="310">
        <v>0</v>
      </c>
      <c r="F66" s="308">
        <v>34.999998897584</v>
      </c>
      <c r="G66" s="309">
        <v>17.499999448792</v>
      </c>
      <c r="H66" s="311">
        <v>0</v>
      </c>
      <c r="I66" s="308">
        <v>0</v>
      </c>
      <c r="J66" s="309">
        <v>-17.499999448792</v>
      </c>
      <c r="K66" s="312">
        <v>0</v>
      </c>
    </row>
    <row r="67" spans="1:11" ht="14.4" customHeight="1" thickBot="1" x14ac:dyDescent="0.35">
      <c r="A67" s="327" t="s">
        <v>32</v>
      </c>
      <c r="B67" s="308">
        <v>11718.057939754301</v>
      </c>
      <c r="C67" s="308">
        <v>11779.774090000001</v>
      </c>
      <c r="D67" s="309">
        <v>61.716150245663002</v>
      </c>
      <c r="E67" s="310">
        <v>1.005266755853</v>
      </c>
      <c r="F67" s="308">
        <v>12179.999616359501</v>
      </c>
      <c r="G67" s="309">
        <v>6089.9998081797603</v>
      </c>
      <c r="H67" s="311">
        <v>989.34794999999997</v>
      </c>
      <c r="I67" s="308">
        <v>5778.7367700000004</v>
      </c>
      <c r="J67" s="309">
        <v>-311.26303817975798</v>
      </c>
      <c r="K67" s="312">
        <v>0.47444474154400001</v>
      </c>
    </row>
    <row r="68" spans="1:11" ht="14.4" customHeight="1" thickBot="1" x14ac:dyDescent="0.35">
      <c r="A68" s="333" t="s">
        <v>267</v>
      </c>
      <c r="B68" s="313">
        <v>8686.9999999998399</v>
      </c>
      <c r="C68" s="313">
        <v>8736.35</v>
      </c>
      <c r="D68" s="314">
        <v>49.350000000157998</v>
      </c>
      <c r="E68" s="315">
        <v>1.005680902498</v>
      </c>
      <c r="F68" s="313">
        <v>9028.9997156083791</v>
      </c>
      <c r="G68" s="314">
        <v>4514.4998578041896</v>
      </c>
      <c r="H68" s="316">
        <v>734.54600000000005</v>
      </c>
      <c r="I68" s="313">
        <v>4289.0159999999996</v>
      </c>
      <c r="J68" s="314">
        <v>-225.48385780419099</v>
      </c>
      <c r="K68" s="317">
        <v>0.47502670673300001</v>
      </c>
    </row>
    <row r="69" spans="1:11" ht="14.4" customHeight="1" thickBot="1" x14ac:dyDescent="0.35">
      <c r="A69" s="329" t="s">
        <v>268</v>
      </c>
      <c r="B69" s="313">
        <v>8658.9999999998399</v>
      </c>
      <c r="C69" s="313">
        <v>8694.1970000000001</v>
      </c>
      <c r="D69" s="314">
        <v>35.197000000157999</v>
      </c>
      <c r="E69" s="315">
        <v>1.0040647880810001</v>
      </c>
      <c r="F69" s="313">
        <v>8999.9997165218101</v>
      </c>
      <c r="G69" s="314">
        <v>4499.9998582609096</v>
      </c>
      <c r="H69" s="316">
        <v>727.79899999999998</v>
      </c>
      <c r="I69" s="313">
        <v>4255.3819999999996</v>
      </c>
      <c r="J69" s="314">
        <v>-244.617858260905</v>
      </c>
      <c r="K69" s="317">
        <v>0.47282023711400001</v>
      </c>
    </row>
    <row r="70" spans="1:11" ht="14.4" customHeight="1" thickBot="1" x14ac:dyDescent="0.35">
      <c r="A70" s="330" t="s">
        <v>269</v>
      </c>
      <c r="B70" s="308">
        <v>8658.9999999998399</v>
      </c>
      <c r="C70" s="308">
        <v>8694.1970000000001</v>
      </c>
      <c r="D70" s="309">
        <v>35.197000000157999</v>
      </c>
      <c r="E70" s="310">
        <v>1.0040647880810001</v>
      </c>
      <c r="F70" s="308">
        <v>8999.9997165218101</v>
      </c>
      <c r="G70" s="309">
        <v>4499.9998582609096</v>
      </c>
      <c r="H70" s="311">
        <v>727.79899999999998</v>
      </c>
      <c r="I70" s="308">
        <v>4255.3819999999996</v>
      </c>
      <c r="J70" s="309">
        <v>-244.617858260905</v>
      </c>
      <c r="K70" s="312">
        <v>0.47282023711400001</v>
      </c>
    </row>
    <row r="71" spans="1:11" ht="14.4" customHeight="1" thickBot="1" x14ac:dyDescent="0.35">
      <c r="A71" s="329" t="s">
        <v>270</v>
      </c>
      <c r="B71" s="313">
        <v>27.999999999999002</v>
      </c>
      <c r="C71" s="313">
        <v>42.152999999999999</v>
      </c>
      <c r="D71" s="314">
        <v>14.153</v>
      </c>
      <c r="E71" s="315">
        <v>1.5054642857139999</v>
      </c>
      <c r="F71" s="313">
        <v>28.99999908657</v>
      </c>
      <c r="G71" s="314">
        <v>14.499999543285</v>
      </c>
      <c r="H71" s="316">
        <v>6.7469999999999999</v>
      </c>
      <c r="I71" s="313">
        <v>33.634</v>
      </c>
      <c r="J71" s="314">
        <v>19.134000456713999</v>
      </c>
      <c r="K71" s="317">
        <v>1.1597931399779999</v>
      </c>
    </row>
    <row r="72" spans="1:11" ht="14.4" customHeight="1" thickBot="1" x14ac:dyDescent="0.35">
      <c r="A72" s="330" t="s">
        <v>271</v>
      </c>
      <c r="B72" s="308">
        <v>27.999999999999002</v>
      </c>
      <c r="C72" s="308">
        <v>42.152999999999999</v>
      </c>
      <c r="D72" s="309">
        <v>14.153</v>
      </c>
      <c r="E72" s="310">
        <v>1.5054642857139999</v>
      </c>
      <c r="F72" s="308">
        <v>28.99999908657</v>
      </c>
      <c r="G72" s="309">
        <v>14.499999543285</v>
      </c>
      <c r="H72" s="311">
        <v>6.7469999999999999</v>
      </c>
      <c r="I72" s="308">
        <v>33.634</v>
      </c>
      <c r="J72" s="309">
        <v>19.134000456713999</v>
      </c>
      <c r="K72" s="312">
        <v>1.1597931399779999</v>
      </c>
    </row>
    <row r="73" spans="1:11" ht="14.4" customHeight="1" thickBot="1" x14ac:dyDescent="0.35">
      <c r="A73" s="328" t="s">
        <v>272</v>
      </c>
      <c r="B73" s="308">
        <v>2944.0579397544998</v>
      </c>
      <c r="C73" s="308">
        <v>2956.02225</v>
      </c>
      <c r="D73" s="309">
        <v>11.964310245502</v>
      </c>
      <c r="E73" s="310">
        <v>1.0040638840980001</v>
      </c>
      <c r="F73" s="308">
        <v>3059.9999036174199</v>
      </c>
      <c r="G73" s="309">
        <v>1529.99995180871</v>
      </c>
      <c r="H73" s="311">
        <v>247.45574999999999</v>
      </c>
      <c r="I73" s="308">
        <v>1446.8305</v>
      </c>
      <c r="J73" s="309">
        <v>-83.169451808706995</v>
      </c>
      <c r="K73" s="312">
        <v>0.47282043972900001</v>
      </c>
    </row>
    <row r="74" spans="1:11" ht="14.4" customHeight="1" thickBot="1" x14ac:dyDescent="0.35">
      <c r="A74" s="329" t="s">
        <v>273</v>
      </c>
      <c r="B74" s="313">
        <v>779.05793975454299</v>
      </c>
      <c r="C74" s="313">
        <v>782.47299999999996</v>
      </c>
      <c r="D74" s="314">
        <v>3.415060245457</v>
      </c>
      <c r="E74" s="315">
        <v>1.0043835767160001</v>
      </c>
      <c r="F74" s="313">
        <v>809.99997448696297</v>
      </c>
      <c r="G74" s="314">
        <v>404.999987243482</v>
      </c>
      <c r="H74" s="316">
        <v>65.506</v>
      </c>
      <c r="I74" s="313">
        <v>382.98500000000001</v>
      </c>
      <c r="J74" s="314">
        <v>-22.014987243480999</v>
      </c>
      <c r="K74" s="317">
        <v>0.47282100254699999</v>
      </c>
    </row>
    <row r="75" spans="1:11" ht="14.4" customHeight="1" thickBot="1" x14ac:dyDescent="0.35">
      <c r="A75" s="330" t="s">
        <v>274</v>
      </c>
      <c r="B75" s="308">
        <v>779.05793975454299</v>
      </c>
      <c r="C75" s="308">
        <v>782.47299999999996</v>
      </c>
      <c r="D75" s="309">
        <v>3.415060245457</v>
      </c>
      <c r="E75" s="310">
        <v>1.0043835767160001</v>
      </c>
      <c r="F75" s="308">
        <v>809.99997448696297</v>
      </c>
      <c r="G75" s="309">
        <v>404.999987243482</v>
      </c>
      <c r="H75" s="311">
        <v>65.506</v>
      </c>
      <c r="I75" s="308">
        <v>382.98500000000001</v>
      </c>
      <c r="J75" s="309">
        <v>-22.014987243480999</v>
      </c>
      <c r="K75" s="312">
        <v>0.47282100254699999</v>
      </c>
    </row>
    <row r="76" spans="1:11" ht="14.4" customHeight="1" thickBot="1" x14ac:dyDescent="0.35">
      <c r="A76" s="329" t="s">
        <v>275</v>
      </c>
      <c r="B76" s="313">
        <v>2164.99999999996</v>
      </c>
      <c r="C76" s="313">
        <v>2173.54925</v>
      </c>
      <c r="D76" s="314">
        <v>8.5492500000439993</v>
      </c>
      <c r="E76" s="315">
        <v>1.0039488452650001</v>
      </c>
      <c r="F76" s="313">
        <v>2249.9999291304498</v>
      </c>
      <c r="G76" s="314">
        <v>1124.9999645652299</v>
      </c>
      <c r="H76" s="316">
        <v>181.94974999999999</v>
      </c>
      <c r="I76" s="313">
        <v>1063.8454999999999</v>
      </c>
      <c r="J76" s="314">
        <v>-61.154464565226</v>
      </c>
      <c r="K76" s="317">
        <v>0.47282023711400001</v>
      </c>
    </row>
    <row r="77" spans="1:11" ht="14.4" customHeight="1" thickBot="1" x14ac:dyDescent="0.35">
      <c r="A77" s="330" t="s">
        <v>276</v>
      </c>
      <c r="B77" s="308">
        <v>2164.99999999996</v>
      </c>
      <c r="C77" s="308">
        <v>2173.54925</v>
      </c>
      <c r="D77" s="309">
        <v>8.5492500000439993</v>
      </c>
      <c r="E77" s="310">
        <v>1.0039488452650001</v>
      </c>
      <c r="F77" s="308">
        <v>2249.9999291304498</v>
      </c>
      <c r="G77" s="309">
        <v>1124.9999645652299</v>
      </c>
      <c r="H77" s="311">
        <v>181.94974999999999</v>
      </c>
      <c r="I77" s="308">
        <v>1063.8454999999999</v>
      </c>
      <c r="J77" s="309">
        <v>-61.154464565226</v>
      </c>
      <c r="K77" s="312">
        <v>0.47282023711400001</v>
      </c>
    </row>
    <row r="78" spans="1:11" ht="14.4" customHeight="1" thickBot="1" x14ac:dyDescent="0.35">
      <c r="A78" s="328" t="s">
        <v>277</v>
      </c>
      <c r="B78" s="308">
        <v>86.999999999997996</v>
      </c>
      <c r="C78" s="308">
        <v>87.401840000000007</v>
      </c>
      <c r="D78" s="309">
        <v>0.40184000000100001</v>
      </c>
      <c r="E78" s="310">
        <v>1.0046188505739999</v>
      </c>
      <c r="F78" s="308">
        <v>90.999997133720001</v>
      </c>
      <c r="G78" s="309">
        <v>45.49999856686</v>
      </c>
      <c r="H78" s="311">
        <v>7.3461999999999996</v>
      </c>
      <c r="I78" s="308">
        <v>42.890270000000001</v>
      </c>
      <c r="J78" s="309">
        <v>-2.6097285668599999</v>
      </c>
      <c r="K78" s="312">
        <v>0.47132166319699997</v>
      </c>
    </row>
    <row r="79" spans="1:11" ht="14.4" customHeight="1" thickBot="1" x14ac:dyDescent="0.35">
      <c r="A79" s="329" t="s">
        <v>278</v>
      </c>
      <c r="B79" s="313">
        <v>86.999999999997996</v>
      </c>
      <c r="C79" s="313">
        <v>87.401840000000007</v>
      </c>
      <c r="D79" s="314">
        <v>0.40184000000100001</v>
      </c>
      <c r="E79" s="315">
        <v>1.0046188505739999</v>
      </c>
      <c r="F79" s="313">
        <v>90.999997133720001</v>
      </c>
      <c r="G79" s="314">
        <v>45.49999856686</v>
      </c>
      <c r="H79" s="316">
        <v>7.3461999999999996</v>
      </c>
      <c r="I79" s="313">
        <v>42.890270000000001</v>
      </c>
      <c r="J79" s="314">
        <v>-2.6097285668599999</v>
      </c>
      <c r="K79" s="317">
        <v>0.47132166319699997</v>
      </c>
    </row>
    <row r="80" spans="1:11" ht="14.4" customHeight="1" thickBot="1" x14ac:dyDescent="0.35">
      <c r="A80" s="330" t="s">
        <v>279</v>
      </c>
      <c r="B80" s="308">
        <v>86.999999999997996</v>
      </c>
      <c r="C80" s="308">
        <v>87.401840000000007</v>
      </c>
      <c r="D80" s="309">
        <v>0.40184000000100001</v>
      </c>
      <c r="E80" s="310">
        <v>1.0046188505739999</v>
      </c>
      <c r="F80" s="308">
        <v>90.999997133720001</v>
      </c>
      <c r="G80" s="309">
        <v>45.49999856686</v>
      </c>
      <c r="H80" s="311">
        <v>7.3461999999999996</v>
      </c>
      <c r="I80" s="308">
        <v>42.890270000000001</v>
      </c>
      <c r="J80" s="309">
        <v>-2.6097285668599999</v>
      </c>
      <c r="K80" s="312">
        <v>0.47132166319699997</v>
      </c>
    </row>
    <row r="81" spans="1:11" ht="14.4" customHeight="1" thickBot="1" x14ac:dyDescent="0.35">
      <c r="A81" s="327" t="s">
        <v>280</v>
      </c>
      <c r="B81" s="308">
        <v>0</v>
      </c>
      <c r="C81" s="308">
        <v>4.9184400000000004</v>
      </c>
      <c r="D81" s="309">
        <v>4.9184400000000004</v>
      </c>
      <c r="E81" s="321" t="s">
        <v>207</v>
      </c>
      <c r="F81" s="308">
        <v>0</v>
      </c>
      <c r="G81" s="309">
        <v>0</v>
      </c>
      <c r="H81" s="311">
        <v>4.6980000000000004</v>
      </c>
      <c r="I81" s="308">
        <v>4.6980000000000004</v>
      </c>
      <c r="J81" s="309">
        <v>4.6980000000000004</v>
      </c>
      <c r="K81" s="318" t="s">
        <v>207</v>
      </c>
    </row>
    <row r="82" spans="1:11" ht="14.4" customHeight="1" thickBot="1" x14ac:dyDescent="0.35">
      <c r="A82" s="328" t="s">
        <v>281</v>
      </c>
      <c r="B82" s="308">
        <v>0</v>
      </c>
      <c r="C82" s="308">
        <v>4.9184400000000004</v>
      </c>
      <c r="D82" s="309">
        <v>4.9184400000000004</v>
      </c>
      <c r="E82" s="321" t="s">
        <v>207</v>
      </c>
      <c r="F82" s="308">
        <v>0</v>
      </c>
      <c r="G82" s="309">
        <v>0</v>
      </c>
      <c r="H82" s="311">
        <v>4.6980000000000004</v>
      </c>
      <c r="I82" s="308">
        <v>4.6980000000000004</v>
      </c>
      <c r="J82" s="309">
        <v>4.6980000000000004</v>
      </c>
      <c r="K82" s="318" t="s">
        <v>207</v>
      </c>
    </row>
    <row r="83" spans="1:11" ht="14.4" customHeight="1" thickBot="1" x14ac:dyDescent="0.35">
      <c r="A83" s="332" t="s">
        <v>282</v>
      </c>
      <c r="B83" s="308">
        <v>0</v>
      </c>
      <c r="C83" s="308">
        <v>0</v>
      </c>
      <c r="D83" s="309">
        <v>0</v>
      </c>
      <c r="E83" s="310">
        <v>1</v>
      </c>
      <c r="F83" s="308">
        <v>0</v>
      </c>
      <c r="G83" s="309">
        <v>0</v>
      </c>
      <c r="H83" s="311">
        <v>4.1980000000000004</v>
      </c>
      <c r="I83" s="308">
        <v>4.1980000000000004</v>
      </c>
      <c r="J83" s="309">
        <v>4.1980000000000004</v>
      </c>
      <c r="K83" s="318" t="s">
        <v>231</v>
      </c>
    </row>
    <row r="84" spans="1:11" ht="14.4" customHeight="1" thickBot="1" x14ac:dyDescent="0.35">
      <c r="A84" s="330" t="s">
        <v>283</v>
      </c>
      <c r="B84" s="308">
        <v>0</v>
      </c>
      <c r="C84" s="308">
        <v>0</v>
      </c>
      <c r="D84" s="309">
        <v>0</v>
      </c>
      <c r="E84" s="310">
        <v>1</v>
      </c>
      <c r="F84" s="308">
        <v>0</v>
      </c>
      <c r="G84" s="309">
        <v>0</v>
      </c>
      <c r="H84" s="311">
        <v>4.1980000000000004</v>
      </c>
      <c r="I84" s="308">
        <v>4.1980000000000004</v>
      </c>
      <c r="J84" s="309">
        <v>4.1980000000000004</v>
      </c>
      <c r="K84" s="318" t="s">
        <v>231</v>
      </c>
    </row>
    <row r="85" spans="1:11" ht="14.4" customHeight="1" thickBot="1" x14ac:dyDescent="0.35">
      <c r="A85" s="329" t="s">
        <v>284</v>
      </c>
      <c r="B85" s="313">
        <v>0</v>
      </c>
      <c r="C85" s="313">
        <v>3.76844</v>
      </c>
      <c r="D85" s="314">
        <v>3.76844</v>
      </c>
      <c r="E85" s="319" t="s">
        <v>231</v>
      </c>
      <c r="F85" s="313">
        <v>0</v>
      </c>
      <c r="G85" s="314">
        <v>0</v>
      </c>
      <c r="H85" s="316">
        <v>0</v>
      </c>
      <c r="I85" s="313">
        <v>0</v>
      </c>
      <c r="J85" s="314">
        <v>0</v>
      </c>
      <c r="K85" s="320" t="s">
        <v>207</v>
      </c>
    </row>
    <row r="86" spans="1:11" ht="14.4" customHeight="1" thickBot="1" x14ac:dyDescent="0.35">
      <c r="A86" s="330" t="s">
        <v>285</v>
      </c>
      <c r="B86" s="308">
        <v>0</v>
      </c>
      <c r="C86" s="308">
        <v>3.76844</v>
      </c>
      <c r="D86" s="309">
        <v>3.76844</v>
      </c>
      <c r="E86" s="321" t="s">
        <v>231</v>
      </c>
      <c r="F86" s="308">
        <v>0</v>
      </c>
      <c r="G86" s="309">
        <v>0</v>
      </c>
      <c r="H86" s="311">
        <v>0</v>
      </c>
      <c r="I86" s="308">
        <v>0</v>
      </c>
      <c r="J86" s="309">
        <v>0</v>
      </c>
      <c r="K86" s="318" t="s">
        <v>207</v>
      </c>
    </row>
    <row r="87" spans="1:11" ht="14.4" customHeight="1" thickBot="1" x14ac:dyDescent="0.35">
      <c r="A87" s="332" t="s">
        <v>286</v>
      </c>
      <c r="B87" s="308">
        <v>0</v>
      </c>
      <c r="C87" s="308">
        <v>1.1499999999999999</v>
      </c>
      <c r="D87" s="309">
        <v>1.1499999999999999</v>
      </c>
      <c r="E87" s="321" t="s">
        <v>207</v>
      </c>
      <c r="F87" s="308">
        <v>0</v>
      </c>
      <c r="G87" s="309">
        <v>0</v>
      </c>
      <c r="H87" s="311">
        <v>0.5</v>
      </c>
      <c r="I87" s="308">
        <v>0.5</v>
      </c>
      <c r="J87" s="309">
        <v>0.5</v>
      </c>
      <c r="K87" s="318" t="s">
        <v>207</v>
      </c>
    </row>
    <row r="88" spans="1:11" ht="14.4" customHeight="1" thickBot="1" x14ac:dyDescent="0.35">
      <c r="A88" s="330" t="s">
        <v>287</v>
      </c>
      <c r="B88" s="308">
        <v>0</v>
      </c>
      <c r="C88" s="308">
        <v>1.1499999999999999</v>
      </c>
      <c r="D88" s="309">
        <v>1.1499999999999999</v>
      </c>
      <c r="E88" s="321" t="s">
        <v>207</v>
      </c>
      <c r="F88" s="308">
        <v>0</v>
      </c>
      <c r="G88" s="309">
        <v>0</v>
      </c>
      <c r="H88" s="311">
        <v>0.5</v>
      </c>
      <c r="I88" s="308">
        <v>0.5</v>
      </c>
      <c r="J88" s="309">
        <v>0.5</v>
      </c>
      <c r="K88" s="318" t="s">
        <v>207</v>
      </c>
    </row>
    <row r="89" spans="1:11" ht="14.4" customHeight="1" thickBot="1" x14ac:dyDescent="0.35">
      <c r="A89" s="327" t="s">
        <v>288</v>
      </c>
      <c r="B89" s="308">
        <v>3452.6328789055901</v>
      </c>
      <c r="C89" s="308">
        <v>3454.1280000000002</v>
      </c>
      <c r="D89" s="309">
        <v>1.4951210944069999</v>
      </c>
      <c r="E89" s="310">
        <v>1.000433037958</v>
      </c>
      <c r="F89" s="308">
        <v>2663.9923563981502</v>
      </c>
      <c r="G89" s="309">
        <v>1331.9961781990801</v>
      </c>
      <c r="H89" s="311">
        <v>221.988</v>
      </c>
      <c r="I89" s="308">
        <v>1331.9459999999999</v>
      </c>
      <c r="J89" s="309">
        <v>-5.0178199074E-2</v>
      </c>
      <c r="K89" s="312">
        <v>0.499981164285</v>
      </c>
    </row>
    <row r="90" spans="1:11" ht="14.4" customHeight="1" thickBot="1" x14ac:dyDescent="0.35">
      <c r="A90" s="328" t="s">
        <v>289</v>
      </c>
      <c r="B90" s="308">
        <v>3452.6328789055901</v>
      </c>
      <c r="C90" s="308">
        <v>3454.1280000000002</v>
      </c>
      <c r="D90" s="309">
        <v>1.4951210944069999</v>
      </c>
      <c r="E90" s="310">
        <v>1.000433037958</v>
      </c>
      <c r="F90" s="308">
        <v>2663.9923563981502</v>
      </c>
      <c r="G90" s="309">
        <v>1331.9961781990801</v>
      </c>
      <c r="H90" s="311">
        <v>221.988</v>
      </c>
      <c r="I90" s="308">
        <v>1331.9459999999999</v>
      </c>
      <c r="J90" s="309">
        <v>-5.0178199074E-2</v>
      </c>
      <c r="K90" s="312">
        <v>0.499981164285</v>
      </c>
    </row>
    <row r="91" spans="1:11" ht="14.4" customHeight="1" thickBot="1" x14ac:dyDescent="0.35">
      <c r="A91" s="329" t="s">
        <v>290</v>
      </c>
      <c r="B91" s="313">
        <v>3452.6328789055901</v>
      </c>
      <c r="C91" s="313">
        <v>3454.1280000000002</v>
      </c>
      <c r="D91" s="314">
        <v>1.4951210944069999</v>
      </c>
      <c r="E91" s="315">
        <v>1.000433037958</v>
      </c>
      <c r="F91" s="313">
        <v>2663.9923563981502</v>
      </c>
      <c r="G91" s="314">
        <v>1331.9961781990801</v>
      </c>
      <c r="H91" s="316">
        <v>221.988</v>
      </c>
      <c r="I91" s="313">
        <v>1331.9459999999999</v>
      </c>
      <c r="J91" s="314">
        <v>-5.0178199074E-2</v>
      </c>
      <c r="K91" s="317">
        <v>0.499981164285</v>
      </c>
    </row>
    <row r="92" spans="1:11" ht="14.4" customHeight="1" thickBot="1" x14ac:dyDescent="0.35">
      <c r="A92" s="330" t="s">
        <v>291</v>
      </c>
      <c r="B92" s="308">
        <v>102.6392782209</v>
      </c>
      <c r="C92" s="308">
        <v>103.971</v>
      </c>
      <c r="D92" s="309">
        <v>1.3317217790989999</v>
      </c>
      <c r="E92" s="310">
        <v>1.0129747773190001</v>
      </c>
      <c r="F92" s="308">
        <v>104.99999669275201</v>
      </c>
      <c r="G92" s="309">
        <v>52.499998346376003</v>
      </c>
      <c r="H92" s="311">
        <v>8.7970000000000006</v>
      </c>
      <c r="I92" s="308">
        <v>52.781999999999996</v>
      </c>
      <c r="J92" s="309">
        <v>0.282001653623</v>
      </c>
      <c r="K92" s="312">
        <v>0.50268573011899997</v>
      </c>
    </row>
    <row r="93" spans="1:11" ht="14.4" customHeight="1" thickBot="1" x14ac:dyDescent="0.35">
      <c r="A93" s="330" t="s">
        <v>292</v>
      </c>
      <c r="B93" s="308">
        <v>1180.99999999998</v>
      </c>
      <c r="C93" s="308">
        <v>1180.748</v>
      </c>
      <c r="D93" s="309">
        <v>-0.25199999997700001</v>
      </c>
      <c r="E93" s="310">
        <v>0.99978662150700004</v>
      </c>
      <c r="F93" s="308">
        <v>458.99998554259702</v>
      </c>
      <c r="G93" s="309">
        <v>229.499992771298</v>
      </c>
      <c r="H93" s="311">
        <v>38.265000000000001</v>
      </c>
      <c r="I93" s="308">
        <v>229.601</v>
      </c>
      <c r="J93" s="309">
        <v>0.101007228701</v>
      </c>
      <c r="K93" s="312">
        <v>0.50022005932799996</v>
      </c>
    </row>
    <row r="94" spans="1:11" ht="14.4" customHeight="1" thickBot="1" x14ac:dyDescent="0.35">
      <c r="A94" s="330" t="s">
        <v>293</v>
      </c>
      <c r="B94" s="308">
        <v>198.001656558588</v>
      </c>
      <c r="C94" s="308">
        <v>197.49600000000001</v>
      </c>
      <c r="D94" s="309">
        <v>-0.50565655858699998</v>
      </c>
      <c r="E94" s="310">
        <v>0.99744620036300002</v>
      </c>
      <c r="F94" s="308">
        <v>197.000403751379</v>
      </c>
      <c r="G94" s="309">
        <v>98.500201875689001</v>
      </c>
      <c r="H94" s="311">
        <v>16.457000000000001</v>
      </c>
      <c r="I94" s="308">
        <v>98.745000000000005</v>
      </c>
      <c r="J94" s="309">
        <v>0.24479812431</v>
      </c>
      <c r="K94" s="312">
        <v>0.50124262752500004</v>
      </c>
    </row>
    <row r="95" spans="1:11" ht="14.4" customHeight="1" thickBot="1" x14ac:dyDescent="0.35">
      <c r="A95" s="330" t="s">
        <v>294</v>
      </c>
      <c r="B95" s="308">
        <v>653.99194412615202</v>
      </c>
      <c r="C95" s="308">
        <v>654.14700000000005</v>
      </c>
      <c r="D95" s="309">
        <v>0.15505587384799999</v>
      </c>
      <c r="E95" s="310">
        <v>1.000237091412</v>
      </c>
      <c r="F95" s="308">
        <v>654.99200972042797</v>
      </c>
      <c r="G95" s="309">
        <v>327.49600486021399</v>
      </c>
      <c r="H95" s="311">
        <v>54.527000000000001</v>
      </c>
      <c r="I95" s="308">
        <v>327.16199999999998</v>
      </c>
      <c r="J95" s="309">
        <v>-0.33400486021300002</v>
      </c>
      <c r="K95" s="312">
        <v>0.49949006269500001</v>
      </c>
    </row>
    <row r="96" spans="1:11" ht="14.4" customHeight="1" thickBot="1" x14ac:dyDescent="0.35">
      <c r="A96" s="330" t="s">
        <v>295</v>
      </c>
      <c r="B96" s="308">
        <v>1203.99999999998</v>
      </c>
      <c r="C96" s="308">
        <v>1204.5989999999999</v>
      </c>
      <c r="D96" s="309">
        <v>0.59900000002200005</v>
      </c>
      <c r="E96" s="310">
        <v>1.0004975083050001</v>
      </c>
      <c r="F96" s="308">
        <v>1134.9999642502301</v>
      </c>
      <c r="G96" s="309">
        <v>567.49998212511298</v>
      </c>
      <c r="H96" s="311">
        <v>94.513000000000005</v>
      </c>
      <c r="I96" s="308">
        <v>567.08199999999999</v>
      </c>
      <c r="J96" s="309">
        <v>-0.417982125112</v>
      </c>
      <c r="K96" s="312">
        <v>0.49963173379800002</v>
      </c>
    </row>
    <row r="97" spans="1:11" ht="14.4" customHeight="1" thickBot="1" x14ac:dyDescent="0.35">
      <c r="A97" s="330" t="s">
        <v>296</v>
      </c>
      <c r="B97" s="308">
        <v>112.999999999998</v>
      </c>
      <c r="C97" s="308">
        <v>113.167</v>
      </c>
      <c r="D97" s="309">
        <v>0.16700000000199999</v>
      </c>
      <c r="E97" s="310">
        <v>1.0014778761059999</v>
      </c>
      <c r="F97" s="308">
        <v>112.99999644077</v>
      </c>
      <c r="G97" s="309">
        <v>56.499998220384001</v>
      </c>
      <c r="H97" s="311">
        <v>9.4290000000000003</v>
      </c>
      <c r="I97" s="308">
        <v>56.573999999999998</v>
      </c>
      <c r="J97" s="309">
        <v>7.4001779614999999E-2</v>
      </c>
      <c r="K97" s="312">
        <v>0.50065488302600003</v>
      </c>
    </row>
    <row r="98" spans="1:11" ht="14.4" customHeight="1" thickBot="1" x14ac:dyDescent="0.35">
      <c r="A98" s="326" t="s">
        <v>297</v>
      </c>
      <c r="B98" s="308">
        <v>57.643769083571001</v>
      </c>
      <c r="C98" s="308">
        <v>70.31371</v>
      </c>
      <c r="D98" s="309">
        <v>12.669940916428001</v>
      </c>
      <c r="E98" s="310">
        <v>1.2197972325169999</v>
      </c>
      <c r="F98" s="308">
        <v>65.487801607601995</v>
      </c>
      <c r="G98" s="309">
        <v>32.743900803800997</v>
      </c>
      <c r="H98" s="311">
        <v>7.6530899999999997</v>
      </c>
      <c r="I98" s="308">
        <v>30.713080000000001</v>
      </c>
      <c r="J98" s="309">
        <v>-2.0308208038009998</v>
      </c>
      <c r="K98" s="312">
        <v>0.46898932695899997</v>
      </c>
    </row>
    <row r="99" spans="1:11" ht="14.4" customHeight="1" thickBot="1" x14ac:dyDescent="0.35">
      <c r="A99" s="327" t="s">
        <v>298</v>
      </c>
      <c r="B99" s="308">
        <v>57.643769083571001</v>
      </c>
      <c r="C99" s="308">
        <v>70.31371</v>
      </c>
      <c r="D99" s="309">
        <v>12.669940916428001</v>
      </c>
      <c r="E99" s="310">
        <v>1.2197972325169999</v>
      </c>
      <c r="F99" s="308">
        <v>65.487801607601995</v>
      </c>
      <c r="G99" s="309">
        <v>32.743900803800997</v>
      </c>
      <c r="H99" s="311">
        <v>7.6530899999999997</v>
      </c>
      <c r="I99" s="308">
        <v>30.713080000000001</v>
      </c>
      <c r="J99" s="309">
        <v>-2.0308208038009998</v>
      </c>
      <c r="K99" s="312">
        <v>0.46898932695899997</v>
      </c>
    </row>
    <row r="100" spans="1:11" ht="14.4" customHeight="1" thickBot="1" x14ac:dyDescent="0.35">
      <c r="A100" s="333" t="s">
        <v>299</v>
      </c>
      <c r="B100" s="313">
        <v>57.643769083571001</v>
      </c>
      <c r="C100" s="313">
        <v>70.31371</v>
      </c>
      <c r="D100" s="314">
        <v>12.669940916428001</v>
      </c>
      <c r="E100" s="315">
        <v>1.2197972325169999</v>
      </c>
      <c r="F100" s="313">
        <v>65.487801607601995</v>
      </c>
      <c r="G100" s="314">
        <v>32.743900803800997</v>
      </c>
      <c r="H100" s="316">
        <v>7.6530899999999997</v>
      </c>
      <c r="I100" s="313">
        <v>30.713080000000001</v>
      </c>
      <c r="J100" s="314">
        <v>-2.0308208038009998</v>
      </c>
      <c r="K100" s="317">
        <v>0.46898932695899997</v>
      </c>
    </row>
    <row r="101" spans="1:11" ht="14.4" customHeight="1" thickBot="1" x14ac:dyDescent="0.35">
      <c r="A101" s="329" t="s">
        <v>300</v>
      </c>
      <c r="B101" s="313">
        <v>0</v>
      </c>
      <c r="C101" s="313">
        <v>-2.2799999999999999E-3</v>
      </c>
      <c r="D101" s="314">
        <v>-2.2799999999999999E-3</v>
      </c>
      <c r="E101" s="319" t="s">
        <v>207</v>
      </c>
      <c r="F101" s="313">
        <v>0</v>
      </c>
      <c r="G101" s="314">
        <v>0</v>
      </c>
      <c r="H101" s="316">
        <v>6.3000000000000003E-4</v>
      </c>
      <c r="I101" s="313">
        <v>-1.1999999999999999E-3</v>
      </c>
      <c r="J101" s="314">
        <v>-1.1999999999999999E-3</v>
      </c>
      <c r="K101" s="320" t="s">
        <v>207</v>
      </c>
    </row>
    <row r="102" spans="1:11" ht="14.4" customHeight="1" thickBot="1" x14ac:dyDescent="0.35">
      <c r="A102" s="330" t="s">
        <v>301</v>
      </c>
      <c r="B102" s="308">
        <v>0</v>
      </c>
      <c r="C102" s="308">
        <v>-2.2799999999999999E-3</v>
      </c>
      <c r="D102" s="309">
        <v>-2.2799999999999999E-3</v>
      </c>
      <c r="E102" s="321" t="s">
        <v>207</v>
      </c>
      <c r="F102" s="308">
        <v>0</v>
      </c>
      <c r="G102" s="309">
        <v>0</v>
      </c>
      <c r="H102" s="311">
        <v>6.3000000000000003E-4</v>
      </c>
      <c r="I102" s="308">
        <v>-1.1999999999999999E-3</v>
      </c>
      <c r="J102" s="309">
        <v>-1.1999999999999999E-3</v>
      </c>
      <c r="K102" s="318" t="s">
        <v>207</v>
      </c>
    </row>
    <row r="103" spans="1:11" ht="14.4" customHeight="1" thickBot="1" x14ac:dyDescent="0.35">
      <c r="A103" s="329" t="s">
        <v>302</v>
      </c>
      <c r="B103" s="313">
        <v>57.643769083571001</v>
      </c>
      <c r="C103" s="313">
        <v>70.315989999999999</v>
      </c>
      <c r="D103" s="314">
        <v>12.672220916428</v>
      </c>
      <c r="E103" s="315">
        <v>1.219836785794</v>
      </c>
      <c r="F103" s="313">
        <v>65.487801607601995</v>
      </c>
      <c r="G103" s="314">
        <v>32.743900803800997</v>
      </c>
      <c r="H103" s="316">
        <v>7.6524599999999996</v>
      </c>
      <c r="I103" s="313">
        <v>30.714279999999999</v>
      </c>
      <c r="J103" s="314">
        <v>-2.029620803801</v>
      </c>
      <c r="K103" s="317">
        <v>0.46900765098199998</v>
      </c>
    </row>
    <row r="104" spans="1:11" ht="14.4" customHeight="1" thickBot="1" x14ac:dyDescent="0.35">
      <c r="A104" s="330" t="s">
        <v>303</v>
      </c>
      <c r="B104" s="308">
        <v>0</v>
      </c>
      <c r="C104" s="308">
        <v>0.42899999999999999</v>
      </c>
      <c r="D104" s="309">
        <v>0.42899999999999999</v>
      </c>
      <c r="E104" s="321" t="s">
        <v>207</v>
      </c>
      <c r="F104" s="308">
        <v>0</v>
      </c>
      <c r="G104" s="309">
        <v>0</v>
      </c>
      <c r="H104" s="311">
        <v>0.21</v>
      </c>
      <c r="I104" s="308">
        <v>0.66700000000000004</v>
      </c>
      <c r="J104" s="309">
        <v>0.66700000000000004</v>
      </c>
      <c r="K104" s="318" t="s">
        <v>207</v>
      </c>
    </row>
    <row r="105" spans="1:11" ht="14.4" customHeight="1" thickBot="1" x14ac:dyDescent="0.35">
      <c r="A105" s="330" t="s">
        <v>304</v>
      </c>
      <c r="B105" s="308">
        <v>57.643769083571001</v>
      </c>
      <c r="C105" s="308">
        <v>69.886989999999997</v>
      </c>
      <c r="D105" s="309">
        <v>12.243220916427999</v>
      </c>
      <c r="E105" s="310">
        <v>1.2123945243530001</v>
      </c>
      <c r="F105" s="308">
        <v>65.487801607601995</v>
      </c>
      <c r="G105" s="309">
        <v>32.743900803800997</v>
      </c>
      <c r="H105" s="311">
        <v>7.4424599999999996</v>
      </c>
      <c r="I105" s="308">
        <v>30.047280000000001</v>
      </c>
      <c r="J105" s="309">
        <v>-2.6966208038010002</v>
      </c>
      <c r="K105" s="312">
        <v>0.45882254805299999</v>
      </c>
    </row>
    <row r="106" spans="1:11" ht="14.4" customHeight="1" thickBot="1" x14ac:dyDescent="0.35">
      <c r="A106" s="326" t="s">
        <v>305</v>
      </c>
      <c r="B106" s="308">
        <v>2114.0038276155401</v>
      </c>
      <c r="C106" s="308">
        <v>1877.4403</v>
      </c>
      <c r="D106" s="309">
        <v>-236.563527615537</v>
      </c>
      <c r="E106" s="310">
        <v>0.888096925594</v>
      </c>
      <c r="F106" s="308">
        <v>2150.82414109415</v>
      </c>
      <c r="G106" s="309">
        <v>1075.41207054707</v>
      </c>
      <c r="H106" s="311">
        <v>212.49611999999999</v>
      </c>
      <c r="I106" s="308">
        <v>1022.07005</v>
      </c>
      <c r="J106" s="309">
        <v>-53.342020547071002</v>
      </c>
      <c r="K106" s="312">
        <v>0.47519926453799999</v>
      </c>
    </row>
    <row r="107" spans="1:11" ht="14.4" customHeight="1" thickBot="1" x14ac:dyDescent="0.35">
      <c r="A107" s="331" t="s">
        <v>306</v>
      </c>
      <c r="B107" s="313">
        <v>2114.0038276155401</v>
      </c>
      <c r="C107" s="313">
        <v>1877.4403</v>
      </c>
      <c r="D107" s="314">
        <v>-236.563527615537</v>
      </c>
      <c r="E107" s="315">
        <v>0.888096925594</v>
      </c>
      <c r="F107" s="313">
        <v>2150.82414109415</v>
      </c>
      <c r="G107" s="314">
        <v>1075.41207054707</v>
      </c>
      <c r="H107" s="316">
        <v>212.49611999999999</v>
      </c>
      <c r="I107" s="313">
        <v>1022.07005</v>
      </c>
      <c r="J107" s="314">
        <v>-53.342020547071002</v>
      </c>
      <c r="K107" s="317">
        <v>0.47519926453799999</v>
      </c>
    </row>
    <row r="108" spans="1:11" ht="14.4" customHeight="1" thickBot="1" x14ac:dyDescent="0.35">
      <c r="A108" s="333" t="s">
        <v>38</v>
      </c>
      <c r="B108" s="313">
        <v>2114.0038276155401</v>
      </c>
      <c r="C108" s="313">
        <v>1877.4403</v>
      </c>
      <c r="D108" s="314">
        <v>-236.563527615537</v>
      </c>
      <c r="E108" s="315">
        <v>0.888096925594</v>
      </c>
      <c r="F108" s="313">
        <v>2150.82414109415</v>
      </c>
      <c r="G108" s="314">
        <v>1075.41207054707</v>
      </c>
      <c r="H108" s="316">
        <v>212.49611999999999</v>
      </c>
      <c r="I108" s="313">
        <v>1022.07005</v>
      </c>
      <c r="J108" s="314">
        <v>-53.342020547071002</v>
      </c>
      <c r="K108" s="317">
        <v>0.47519926453799999</v>
      </c>
    </row>
    <row r="109" spans="1:11" ht="14.4" customHeight="1" thickBot="1" x14ac:dyDescent="0.35">
      <c r="A109" s="329" t="s">
        <v>307</v>
      </c>
      <c r="B109" s="313">
        <v>35</v>
      </c>
      <c r="C109" s="313">
        <v>15.246</v>
      </c>
      <c r="D109" s="314">
        <v>-19.754000000000001</v>
      </c>
      <c r="E109" s="315">
        <v>0.43559999999999999</v>
      </c>
      <c r="F109" s="313">
        <v>16.503324840651999</v>
      </c>
      <c r="G109" s="314">
        <v>8.2516624203259994</v>
      </c>
      <c r="H109" s="316">
        <v>1.5669999999999999</v>
      </c>
      <c r="I109" s="313">
        <v>9.4024999999999999</v>
      </c>
      <c r="J109" s="314">
        <v>1.1508375796729999</v>
      </c>
      <c r="K109" s="317">
        <v>0.56973368038100003</v>
      </c>
    </row>
    <row r="110" spans="1:11" ht="14.4" customHeight="1" thickBot="1" x14ac:dyDescent="0.35">
      <c r="A110" s="330" t="s">
        <v>308</v>
      </c>
      <c r="B110" s="308">
        <v>35</v>
      </c>
      <c r="C110" s="308">
        <v>15.246</v>
      </c>
      <c r="D110" s="309">
        <v>-19.754000000000001</v>
      </c>
      <c r="E110" s="310">
        <v>0.43559999999999999</v>
      </c>
      <c r="F110" s="308">
        <v>16.503324840651999</v>
      </c>
      <c r="G110" s="309">
        <v>8.2516624203259994</v>
      </c>
      <c r="H110" s="311">
        <v>1.5669999999999999</v>
      </c>
      <c r="I110" s="308">
        <v>9.4024999999999999</v>
      </c>
      <c r="J110" s="309">
        <v>1.1508375796729999</v>
      </c>
      <c r="K110" s="312">
        <v>0.56973368038100003</v>
      </c>
    </row>
    <row r="111" spans="1:11" ht="14.4" customHeight="1" thickBot="1" x14ac:dyDescent="0.35">
      <c r="A111" s="329" t="s">
        <v>309</v>
      </c>
      <c r="B111" s="313">
        <v>27.003827615536999</v>
      </c>
      <c r="C111" s="313">
        <v>24.4345</v>
      </c>
      <c r="D111" s="314">
        <v>-2.569327615537</v>
      </c>
      <c r="E111" s="315">
        <v>0.90485320628900001</v>
      </c>
      <c r="F111" s="313">
        <v>27.848129908158999</v>
      </c>
      <c r="G111" s="314">
        <v>13.924064954079</v>
      </c>
      <c r="H111" s="316">
        <v>0.95550000000000002</v>
      </c>
      <c r="I111" s="313">
        <v>8.266</v>
      </c>
      <c r="J111" s="314">
        <v>-5.6580649540790002</v>
      </c>
      <c r="K111" s="317">
        <v>0.296824240164</v>
      </c>
    </row>
    <row r="112" spans="1:11" ht="14.4" customHeight="1" thickBot="1" x14ac:dyDescent="0.35">
      <c r="A112" s="330" t="s">
        <v>310</v>
      </c>
      <c r="B112" s="308">
        <v>27.003827615536999</v>
      </c>
      <c r="C112" s="308">
        <v>24.4345</v>
      </c>
      <c r="D112" s="309">
        <v>-2.569327615537</v>
      </c>
      <c r="E112" s="310">
        <v>0.90485320628900001</v>
      </c>
      <c r="F112" s="308">
        <v>0</v>
      </c>
      <c r="G112" s="309">
        <v>0</v>
      </c>
      <c r="H112" s="311">
        <v>-7.3105000000000002</v>
      </c>
      <c r="I112" s="308">
        <v>2.2204460492503099E-14</v>
      </c>
      <c r="J112" s="309">
        <v>2.2204460492503099E-14</v>
      </c>
      <c r="K112" s="318" t="s">
        <v>207</v>
      </c>
    </row>
    <row r="113" spans="1:11" ht="14.4" customHeight="1" thickBot="1" x14ac:dyDescent="0.35">
      <c r="A113" s="330" t="s">
        <v>311</v>
      </c>
      <c r="B113" s="308">
        <v>0</v>
      </c>
      <c r="C113" s="308">
        <v>0</v>
      </c>
      <c r="D113" s="309">
        <v>0</v>
      </c>
      <c r="E113" s="310">
        <v>1</v>
      </c>
      <c r="F113" s="308">
        <v>27.848129908158999</v>
      </c>
      <c r="G113" s="309">
        <v>13.924064954079</v>
      </c>
      <c r="H113" s="311">
        <v>8.266</v>
      </c>
      <c r="I113" s="308">
        <v>8.266</v>
      </c>
      <c r="J113" s="309">
        <v>-5.6580649540790002</v>
      </c>
      <c r="K113" s="312">
        <v>0.296824240164</v>
      </c>
    </row>
    <row r="114" spans="1:11" ht="14.4" customHeight="1" thickBot="1" x14ac:dyDescent="0.35">
      <c r="A114" s="329" t="s">
        <v>312</v>
      </c>
      <c r="B114" s="313">
        <v>421</v>
      </c>
      <c r="C114" s="313">
        <v>228.93476000000001</v>
      </c>
      <c r="D114" s="314">
        <v>-192.06523999999999</v>
      </c>
      <c r="E114" s="315">
        <v>0.54378802850300001</v>
      </c>
      <c r="F114" s="313">
        <v>225.55124086632699</v>
      </c>
      <c r="G114" s="314">
        <v>112.775620433163</v>
      </c>
      <c r="H114" s="316">
        <v>16.155200000000001</v>
      </c>
      <c r="I114" s="313">
        <v>92.430989999999994</v>
      </c>
      <c r="J114" s="314">
        <v>-20.344630433163001</v>
      </c>
      <c r="K114" s="317">
        <v>0.40980040564100001</v>
      </c>
    </row>
    <row r="115" spans="1:11" ht="14.4" customHeight="1" thickBot="1" x14ac:dyDescent="0.35">
      <c r="A115" s="330" t="s">
        <v>313</v>
      </c>
      <c r="B115" s="308">
        <v>421</v>
      </c>
      <c r="C115" s="308">
        <v>228.93476000000001</v>
      </c>
      <c r="D115" s="309">
        <v>-192.06523999999999</v>
      </c>
      <c r="E115" s="310">
        <v>0.54378802850300001</v>
      </c>
      <c r="F115" s="308">
        <v>225.55124086632699</v>
      </c>
      <c r="G115" s="309">
        <v>112.775620433163</v>
      </c>
      <c r="H115" s="311">
        <v>16.155200000000001</v>
      </c>
      <c r="I115" s="308">
        <v>92.430989999999994</v>
      </c>
      <c r="J115" s="309">
        <v>-20.344630433163001</v>
      </c>
      <c r="K115" s="312">
        <v>0.40980040564100001</v>
      </c>
    </row>
    <row r="116" spans="1:11" ht="14.4" customHeight="1" thickBot="1" x14ac:dyDescent="0.35">
      <c r="A116" s="329" t="s">
        <v>314</v>
      </c>
      <c r="B116" s="313">
        <v>306</v>
      </c>
      <c r="C116" s="313">
        <v>268.46237000000002</v>
      </c>
      <c r="D116" s="314">
        <v>-37.53763</v>
      </c>
      <c r="E116" s="315">
        <v>0.87732800653499998</v>
      </c>
      <c r="F116" s="313">
        <v>688</v>
      </c>
      <c r="G116" s="314">
        <v>344</v>
      </c>
      <c r="H116" s="316">
        <v>92.682569999999998</v>
      </c>
      <c r="I116" s="313">
        <v>294.94490000000098</v>
      </c>
      <c r="J116" s="314">
        <v>-49.055099999999001</v>
      </c>
      <c r="K116" s="317">
        <v>0.42869898255799999</v>
      </c>
    </row>
    <row r="117" spans="1:11" ht="14.4" customHeight="1" thickBot="1" x14ac:dyDescent="0.35">
      <c r="A117" s="330" t="s">
        <v>315</v>
      </c>
      <c r="B117" s="308">
        <v>306</v>
      </c>
      <c r="C117" s="308">
        <v>268.46237000000002</v>
      </c>
      <c r="D117" s="309">
        <v>-37.53763</v>
      </c>
      <c r="E117" s="310">
        <v>0.87732800653499998</v>
      </c>
      <c r="F117" s="308">
        <v>688</v>
      </c>
      <c r="G117" s="309">
        <v>344</v>
      </c>
      <c r="H117" s="311">
        <v>92.682569999999998</v>
      </c>
      <c r="I117" s="308">
        <v>294.94490000000098</v>
      </c>
      <c r="J117" s="309">
        <v>-49.055099999999001</v>
      </c>
      <c r="K117" s="312">
        <v>0.42869898255799999</v>
      </c>
    </row>
    <row r="118" spans="1:11" ht="14.4" customHeight="1" thickBot="1" x14ac:dyDescent="0.35">
      <c r="A118" s="329" t="s">
        <v>316</v>
      </c>
      <c r="B118" s="313">
        <v>1325</v>
      </c>
      <c r="C118" s="313">
        <v>1340.36267</v>
      </c>
      <c r="D118" s="314">
        <v>15.36267</v>
      </c>
      <c r="E118" s="315">
        <v>1.0115944679240001</v>
      </c>
      <c r="F118" s="313">
        <v>1192.9214454790099</v>
      </c>
      <c r="G118" s="314">
        <v>596.46072273950494</v>
      </c>
      <c r="H118" s="316">
        <v>101.13585</v>
      </c>
      <c r="I118" s="313">
        <v>617.02566000000104</v>
      </c>
      <c r="J118" s="314">
        <v>20.564937260495999</v>
      </c>
      <c r="K118" s="317">
        <v>0.517239137864</v>
      </c>
    </row>
    <row r="119" spans="1:11" ht="14.4" customHeight="1" thickBot="1" x14ac:dyDescent="0.35">
      <c r="A119" s="330" t="s">
        <v>317</v>
      </c>
      <c r="B119" s="308">
        <v>1325</v>
      </c>
      <c r="C119" s="308">
        <v>1340.36267</v>
      </c>
      <c r="D119" s="309">
        <v>15.36267</v>
      </c>
      <c r="E119" s="310">
        <v>1.0115944679240001</v>
      </c>
      <c r="F119" s="308">
        <v>1192.9214454790099</v>
      </c>
      <c r="G119" s="309">
        <v>596.46072273950494</v>
      </c>
      <c r="H119" s="311">
        <v>101.13585</v>
      </c>
      <c r="I119" s="308">
        <v>617.02566000000104</v>
      </c>
      <c r="J119" s="309">
        <v>20.564937260495999</v>
      </c>
      <c r="K119" s="312">
        <v>0.517239137864</v>
      </c>
    </row>
    <row r="120" spans="1:11" ht="14.4" customHeight="1" thickBot="1" x14ac:dyDescent="0.35">
      <c r="A120" s="334"/>
      <c r="B120" s="308">
        <v>-28657.984320802101</v>
      </c>
      <c r="C120" s="308">
        <v>-27637.296310000002</v>
      </c>
      <c r="D120" s="309">
        <v>1020.68801080213</v>
      </c>
      <c r="E120" s="310">
        <v>0.96438381710999999</v>
      </c>
      <c r="F120" s="308">
        <v>-28177.356026380301</v>
      </c>
      <c r="G120" s="309">
        <v>-14088.6780131901</v>
      </c>
      <c r="H120" s="311">
        <v>-2446.91554</v>
      </c>
      <c r="I120" s="308">
        <v>-13836.638269999999</v>
      </c>
      <c r="J120" s="309">
        <v>252.03974319013099</v>
      </c>
      <c r="K120" s="312">
        <v>0.49105523800899997</v>
      </c>
    </row>
    <row r="121" spans="1:11" ht="14.4" customHeight="1" thickBot="1" x14ac:dyDescent="0.35">
      <c r="A121" s="335" t="s">
        <v>50</v>
      </c>
      <c r="B121" s="322">
        <v>-28657.984320802101</v>
      </c>
      <c r="C121" s="322">
        <v>-27637.296310000002</v>
      </c>
      <c r="D121" s="323">
        <v>1020.68801080213</v>
      </c>
      <c r="E121" s="324">
        <v>-0.63929941344499996</v>
      </c>
      <c r="F121" s="322">
        <v>-28177.356026380301</v>
      </c>
      <c r="G121" s="323">
        <v>-14088.6780131901</v>
      </c>
      <c r="H121" s="322">
        <v>-2446.91554</v>
      </c>
      <c r="I121" s="322">
        <v>-13836.638269999999</v>
      </c>
      <c r="J121" s="323">
        <v>252.03974319013</v>
      </c>
      <c r="K121" s="325">
        <v>0.49105523800899997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77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206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2013</v>
      </c>
      <c r="D3" s="234">
        <v>2014</v>
      </c>
      <c r="E3" s="7"/>
      <c r="F3" s="285">
        <v>2015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171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318</v>
      </c>
      <c r="B5" s="337" t="s">
        <v>319</v>
      </c>
      <c r="C5" s="338" t="s">
        <v>320</v>
      </c>
      <c r="D5" s="338" t="s">
        <v>320</v>
      </c>
      <c r="E5" s="338"/>
      <c r="F5" s="338" t="s">
        <v>320</v>
      </c>
      <c r="G5" s="338" t="s">
        <v>320</v>
      </c>
      <c r="H5" s="338" t="s">
        <v>320</v>
      </c>
      <c r="I5" s="339" t="s">
        <v>320</v>
      </c>
      <c r="J5" s="340" t="s">
        <v>53</v>
      </c>
    </row>
    <row r="6" spans="1:10" ht="14.4" customHeight="1" x14ac:dyDescent="0.3">
      <c r="A6" s="336" t="s">
        <v>318</v>
      </c>
      <c r="B6" s="337" t="s">
        <v>213</v>
      </c>
      <c r="C6" s="338">
        <v>28.670819999999001</v>
      </c>
      <c r="D6" s="338">
        <v>21.897100000000002</v>
      </c>
      <c r="E6" s="338"/>
      <c r="F6" s="338">
        <v>22.916219999999999</v>
      </c>
      <c r="G6" s="338">
        <v>27.260930588421498</v>
      </c>
      <c r="H6" s="338">
        <v>-4.3447105884214992</v>
      </c>
      <c r="I6" s="339">
        <v>0.84062500822085573</v>
      </c>
      <c r="J6" s="340" t="s">
        <v>1</v>
      </c>
    </row>
    <row r="7" spans="1:10" ht="14.4" customHeight="1" x14ac:dyDescent="0.3">
      <c r="A7" s="336" t="s">
        <v>318</v>
      </c>
      <c r="B7" s="337" t="s">
        <v>321</v>
      </c>
      <c r="C7" s="338">
        <v>28.670819999999001</v>
      </c>
      <c r="D7" s="338">
        <v>21.897100000000002</v>
      </c>
      <c r="E7" s="338"/>
      <c r="F7" s="338">
        <v>22.916219999999999</v>
      </c>
      <c r="G7" s="338">
        <v>27.260930588421498</v>
      </c>
      <c r="H7" s="338">
        <v>-4.3447105884214992</v>
      </c>
      <c r="I7" s="339">
        <v>0.84062500822085573</v>
      </c>
      <c r="J7" s="340" t="s">
        <v>322</v>
      </c>
    </row>
    <row r="9" spans="1:10" ht="14.4" customHeight="1" x14ac:dyDescent="0.3">
      <c r="A9" s="336" t="s">
        <v>318</v>
      </c>
      <c r="B9" s="337" t="s">
        <v>319</v>
      </c>
      <c r="C9" s="338" t="s">
        <v>320</v>
      </c>
      <c r="D9" s="338" t="s">
        <v>320</v>
      </c>
      <c r="E9" s="338"/>
      <c r="F9" s="338" t="s">
        <v>320</v>
      </c>
      <c r="G9" s="338" t="s">
        <v>320</v>
      </c>
      <c r="H9" s="338" t="s">
        <v>320</v>
      </c>
      <c r="I9" s="339" t="s">
        <v>320</v>
      </c>
      <c r="J9" s="340" t="s">
        <v>53</v>
      </c>
    </row>
    <row r="10" spans="1:10" ht="14.4" customHeight="1" x14ac:dyDescent="0.3">
      <c r="A10" s="336" t="s">
        <v>323</v>
      </c>
      <c r="B10" s="337" t="s">
        <v>324</v>
      </c>
      <c r="C10" s="338" t="s">
        <v>320</v>
      </c>
      <c r="D10" s="338" t="s">
        <v>320</v>
      </c>
      <c r="E10" s="338"/>
      <c r="F10" s="338" t="s">
        <v>320</v>
      </c>
      <c r="G10" s="338" t="s">
        <v>320</v>
      </c>
      <c r="H10" s="338" t="s">
        <v>320</v>
      </c>
      <c r="I10" s="339" t="s">
        <v>320</v>
      </c>
      <c r="J10" s="340" t="s">
        <v>0</v>
      </c>
    </row>
    <row r="11" spans="1:10" ht="14.4" customHeight="1" x14ac:dyDescent="0.3">
      <c r="A11" s="336" t="s">
        <v>323</v>
      </c>
      <c r="B11" s="337" t="s">
        <v>213</v>
      </c>
      <c r="C11" s="338">
        <v>28.670819999999001</v>
      </c>
      <c r="D11" s="338">
        <v>21.897100000000002</v>
      </c>
      <c r="E11" s="338"/>
      <c r="F11" s="338">
        <v>22.916219999999999</v>
      </c>
      <c r="G11" s="338">
        <v>24.575229331183998</v>
      </c>
      <c r="H11" s="338">
        <v>-1.6590093311839986</v>
      </c>
      <c r="I11" s="339">
        <v>0.9324926205641203</v>
      </c>
      <c r="J11" s="340" t="s">
        <v>1</v>
      </c>
    </row>
    <row r="12" spans="1:10" ht="14.4" customHeight="1" x14ac:dyDescent="0.3">
      <c r="A12" s="336" t="s">
        <v>323</v>
      </c>
      <c r="B12" s="337" t="s">
        <v>325</v>
      </c>
      <c r="C12" s="338">
        <v>28.670819999999001</v>
      </c>
      <c r="D12" s="338">
        <v>21.897100000000002</v>
      </c>
      <c r="E12" s="338"/>
      <c r="F12" s="338">
        <v>22.916219999999999</v>
      </c>
      <c r="G12" s="338">
        <v>24.575229331183998</v>
      </c>
      <c r="H12" s="338">
        <v>-1.6590093311839986</v>
      </c>
      <c r="I12" s="339">
        <v>0.9324926205641203</v>
      </c>
      <c r="J12" s="340" t="s">
        <v>326</v>
      </c>
    </row>
    <row r="13" spans="1:10" ht="14.4" customHeight="1" x14ac:dyDescent="0.3">
      <c r="A13" s="336" t="s">
        <v>320</v>
      </c>
      <c r="B13" s="337" t="s">
        <v>320</v>
      </c>
      <c r="C13" s="338" t="s">
        <v>320</v>
      </c>
      <c r="D13" s="338" t="s">
        <v>320</v>
      </c>
      <c r="E13" s="338"/>
      <c r="F13" s="338" t="s">
        <v>320</v>
      </c>
      <c r="G13" s="338" t="s">
        <v>320</v>
      </c>
      <c r="H13" s="338" t="s">
        <v>320</v>
      </c>
      <c r="I13" s="339" t="s">
        <v>320</v>
      </c>
      <c r="J13" s="340" t="s">
        <v>327</v>
      </c>
    </row>
    <row r="14" spans="1:10" ht="14.4" customHeight="1" x14ac:dyDescent="0.3">
      <c r="A14" s="336" t="s">
        <v>328</v>
      </c>
      <c r="B14" s="337" t="s">
        <v>329</v>
      </c>
      <c r="C14" s="338" t="s">
        <v>320</v>
      </c>
      <c r="D14" s="338" t="s">
        <v>320</v>
      </c>
      <c r="E14" s="338"/>
      <c r="F14" s="338" t="s">
        <v>320</v>
      </c>
      <c r="G14" s="338" t="s">
        <v>320</v>
      </c>
      <c r="H14" s="338" t="s">
        <v>320</v>
      </c>
      <c r="I14" s="339" t="s">
        <v>320</v>
      </c>
      <c r="J14" s="340" t="s">
        <v>0</v>
      </c>
    </row>
    <row r="15" spans="1:10" ht="14.4" customHeight="1" x14ac:dyDescent="0.3">
      <c r="A15" s="336" t="s">
        <v>328</v>
      </c>
      <c r="B15" s="337" t="s">
        <v>213</v>
      </c>
      <c r="C15" s="338">
        <v>0</v>
      </c>
      <c r="D15" s="338">
        <v>0</v>
      </c>
      <c r="E15" s="338"/>
      <c r="F15" s="338">
        <v>0</v>
      </c>
      <c r="G15" s="338">
        <v>2.6857012572375001</v>
      </c>
      <c r="H15" s="338">
        <v>-2.6857012572375001</v>
      </c>
      <c r="I15" s="339">
        <v>0</v>
      </c>
      <c r="J15" s="340" t="s">
        <v>1</v>
      </c>
    </row>
    <row r="16" spans="1:10" ht="14.4" customHeight="1" x14ac:dyDescent="0.3">
      <c r="A16" s="336" t="s">
        <v>328</v>
      </c>
      <c r="B16" s="337" t="s">
        <v>330</v>
      </c>
      <c r="C16" s="338">
        <v>0</v>
      </c>
      <c r="D16" s="338">
        <v>0</v>
      </c>
      <c r="E16" s="338"/>
      <c r="F16" s="338">
        <v>0</v>
      </c>
      <c r="G16" s="338">
        <v>2.6857012572375001</v>
      </c>
      <c r="H16" s="338">
        <v>-2.6857012572375001</v>
      </c>
      <c r="I16" s="339">
        <v>0</v>
      </c>
      <c r="J16" s="340" t="s">
        <v>326</v>
      </c>
    </row>
    <row r="17" spans="1:10" ht="14.4" customHeight="1" x14ac:dyDescent="0.3">
      <c r="A17" s="336" t="s">
        <v>320</v>
      </c>
      <c r="B17" s="337" t="s">
        <v>320</v>
      </c>
      <c r="C17" s="338" t="s">
        <v>320</v>
      </c>
      <c r="D17" s="338" t="s">
        <v>320</v>
      </c>
      <c r="E17" s="338"/>
      <c r="F17" s="338" t="s">
        <v>320</v>
      </c>
      <c r="G17" s="338" t="s">
        <v>320</v>
      </c>
      <c r="H17" s="338" t="s">
        <v>320</v>
      </c>
      <c r="I17" s="339" t="s">
        <v>320</v>
      </c>
      <c r="J17" s="340" t="s">
        <v>327</v>
      </c>
    </row>
    <row r="18" spans="1:10" ht="14.4" customHeight="1" x14ac:dyDescent="0.3">
      <c r="A18" s="336" t="s">
        <v>331</v>
      </c>
      <c r="B18" s="337" t="s">
        <v>332</v>
      </c>
      <c r="C18" s="338" t="s">
        <v>320</v>
      </c>
      <c r="D18" s="338" t="s">
        <v>320</v>
      </c>
      <c r="E18" s="338"/>
      <c r="F18" s="338" t="s">
        <v>320</v>
      </c>
      <c r="G18" s="338" t="s">
        <v>320</v>
      </c>
      <c r="H18" s="338" t="s">
        <v>320</v>
      </c>
      <c r="I18" s="339" t="s">
        <v>320</v>
      </c>
      <c r="J18" s="340" t="s">
        <v>0</v>
      </c>
    </row>
    <row r="19" spans="1:10" ht="14.4" customHeight="1" x14ac:dyDescent="0.3">
      <c r="A19" s="336" t="s">
        <v>331</v>
      </c>
      <c r="B19" s="337" t="s">
        <v>213</v>
      </c>
      <c r="C19" s="338">
        <v>0</v>
      </c>
      <c r="D19" s="338" t="s">
        <v>320</v>
      </c>
      <c r="E19" s="338"/>
      <c r="F19" s="338" t="s">
        <v>320</v>
      </c>
      <c r="G19" s="338" t="s">
        <v>320</v>
      </c>
      <c r="H19" s="338" t="s">
        <v>320</v>
      </c>
      <c r="I19" s="339" t="s">
        <v>320</v>
      </c>
      <c r="J19" s="340" t="s">
        <v>1</v>
      </c>
    </row>
    <row r="20" spans="1:10" ht="14.4" customHeight="1" x14ac:dyDescent="0.3">
      <c r="A20" s="336" t="s">
        <v>331</v>
      </c>
      <c r="B20" s="337" t="s">
        <v>333</v>
      </c>
      <c r="C20" s="338">
        <v>0</v>
      </c>
      <c r="D20" s="338" t="s">
        <v>320</v>
      </c>
      <c r="E20" s="338"/>
      <c r="F20" s="338" t="s">
        <v>320</v>
      </c>
      <c r="G20" s="338" t="s">
        <v>320</v>
      </c>
      <c r="H20" s="338" t="s">
        <v>320</v>
      </c>
      <c r="I20" s="339" t="s">
        <v>320</v>
      </c>
      <c r="J20" s="340" t="s">
        <v>326</v>
      </c>
    </row>
    <row r="21" spans="1:10" ht="14.4" customHeight="1" x14ac:dyDescent="0.3">
      <c r="A21" s="336" t="s">
        <v>320</v>
      </c>
      <c r="B21" s="337" t="s">
        <v>320</v>
      </c>
      <c r="C21" s="338" t="s">
        <v>320</v>
      </c>
      <c r="D21" s="338" t="s">
        <v>320</v>
      </c>
      <c r="E21" s="338"/>
      <c r="F21" s="338" t="s">
        <v>320</v>
      </c>
      <c r="G21" s="338" t="s">
        <v>320</v>
      </c>
      <c r="H21" s="338" t="s">
        <v>320</v>
      </c>
      <c r="I21" s="339" t="s">
        <v>320</v>
      </c>
      <c r="J21" s="340" t="s">
        <v>327</v>
      </c>
    </row>
    <row r="22" spans="1:10" ht="14.4" customHeight="1" x14ac:dyDescent="0.3">
      <c r="A22" s="336" t="s">
        <v>318</v>
      </c>
      <c r="B22" s="337" t="s">
        <v>321</v>
      </c>
      <c r="C22" s="338">
        <v>28.670819999999001</v>
      </c>
      <c r="D22" s="338">
        <v>21.897100000000002</v>
      </c>
      <c r="E22" s="338"/>
      <c r="F22" s="338">
        <v>22.916219999999999</v>
      </c>
      <c r="G22" s="338">
        <v>27.260930588421498</v>
      </c>
      <c r="H22" s="338">
        <v>-4.3447105884214992</v>
      </c>
      <c r="I22" s="339">
        <v>0.84062500822085573</v>
      </c>
      <c r="J22" s="340" t="s">
        <v>322</v>
      </c>
    </row>
  </sheetData>
  <mergeCells count="3">
    <mergeCell ref="F3:I3"/>
    <mergeCell ref="C4:D4"/>
    <mergeCell ref="A1:I1"/>
  </mergeCells>
  <conditionalFormatting sqref="F8 F23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22">
    <cfRule type="expression" dxfId="27" priority="5">
      <formula>$H9&gt;0</formula>
    </cfRule>
  </conditionalFormatting>
  <conditionalFormatting sqref="A9:A22">
    <cfRule type="expression" dxfId="26" priority="2">
      <formula>AND($J9&lt;&gt;"mezeraKL",$J9&lt;&gt;"")</formula>
    </cfRule>
  </conditionalFormatting>
  <conditionalFormatting sqref="I9:I22">
    <cfRule type="expression" dxfId="25" priority="6">
      <formula>$I9&gt;1</formula>
    </cfRule>
  </conditionalFormatting>
  <conditionalFormatting sqref="B9:B22">
    <cfRule type="expression" dxfId="24" priority="1">
      <formula>OR($J9="NS",$J9="SumaNS",$J9="Účet")</formula>
    </cfRule>
  </conditionalFormatting>
  <conditionalFormatting sqref="A9:D22 F9:I22">
    <cfRule type="expression" dxfId="23" priority="8">
      <formula>AND($J9&lt;&gt;"",$J9&lt;&gt;"mezeraKL")</formula>
    </cfRule>
  </conditionalFormatting>
  <conditionalFormatting sqref="B9:D22 F9:I22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22 F9:I22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5" style="165" customWidth="1"/>
    <col min="8" max="8" width="12.44140625" style="165" hidden="1" customWidth="1" outlineLevel="1"/>
    <col min="9" max="9" width="8.5546875" style="165" hidden="1" customWidth="1" outlineLevel="1"/>
    <col min="10" max="10" width="25.77734375" style="165" customWidth="1" collapsed="1"/>
    <col min="11" max="11" width="8.77734375" style="165" customWidth="1"/>
    <col min="12" max="13" width="7.77734375" style="163" customWidth="1"/>
    <col min="14" max="14" width="11.109375" style="163" customWidth="1"/>
    <col min="15" max="16384" width="8.88671875" style="96"/>
  </cols>
  <sheetData>
    <row r="1" spans="1:14" ht="18.600000000000001" customHeight="1" thickBot="1" x14ac:dyDescent="0.4">
      <c r="A1" s="297" t="s">
        <v>94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4.4" customHeight="1" thickBot="1" x14ac:dyDescent="0.35">
      <c r="A2" s="175" t="s">
        <v>206</v>
      </c>
      <c r="B2" s="5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</row>
    <row r="3" spans="1:14" ht="14.4" customHeight="1" thickBot="1" x14ac:dyDescent="0.35">
      <c r="A3" s="57"/>
      <c r="B3" s="57"/>
      <c r="C3" s="293"/>
      <c r="D3" s="294"/>
      <c r="E3" s="294"/>
      <c r="F3" s="294"/>
      <c r="G3" s="294"/>
      <c r="H3" s="294"/>
      <c r="I3" s="294"/>
      <c r="J3" s="295" t="s">
        <v>75</v>
      </c>
      <c r="K3" s="296"/>
      <c r="L3" s="71">
        <f>IF(M3&lt;&gt;0,N3/M3,0)</f>
        <v>113.44660318751745</v>
      </c>
      <c r="M3" s="71">
        <f>SUBTOTAL(9,M5:M1048576)</f>
        <v>202</v>
      </c>
      <c r="N3" s="72">
        <f>SUBTOTAL(9,N5:N1048576)</f>
        <v>22916.213843878526</v>
      </c>
    </row>
    <row r="4" spans="1:14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7</v>
      </c>
      <c r="H4" s="342" t="s">
        <v>8</v>
      </c>
      <c r="I4" s="342" t="s">
        <v>9</v>
      </c>
      <c r="J4" s="343" t="s">
        <v>10</v>
      </c>
      <c r="K4" s="343" t="s">
        <v>11</v>
      </c>
      <c r="L4" s="344" t="s">
        <v>81</v>
      </c>
      <c r="M4" s="344" t="s">
        <v>12</v>
      </c>
      <c r="N4" s="345" t="s">
        <v>89</v>
      </c>
    </row>
    <row r="5" spans="1:14" ht="14.4" customHeight="1" x14ac:dyDescent="0.3">
      <c r="A5" s="346" t="s">
        <v>318</v>
      </c>
      <c r="B5" s="347" t="s">
        <v>319</v>
      </c>
      <c r="C5" s="348" t="s">
        <v>323</v>
      </c>
      <c r="D5" s="349" t="s">
        <v>343</v>
      </c>
      <c r="E5" s="348" t="s">
        <v>334</v>
      </c>
      <c r="F5" s="349" t="s">
        <v>344</v>
      </c>
      <c r="G5" s="348" t="s">
        <v>335</v>
      </c>
      <c r="H5" s="348" t="s">
        <v>336</v>
      </c>
      <c r="I5" s="348" t="s">
        <v>96</v>
      </c>
      <c r="J5" s="348" t="s">
        <v>337</v>
      </c>
      <c r="K5" s="348"/>
      <c r="L5" s="350">
        <v>59.569607834272524</v>
      </c>
      <c r="M5" s="350">
        <v>98</v>
      </c>
      <c r="N5" s="351">
        <v>5837.8215677587077</v>
      </c>
    </row>
    <row r="6" spans="1:14" ht="14.4" customHeight="1" x14ac:dyDescent="0.3">
      <c r="A6" s="352" t="s">
        <v>318</v>
      </c>
      <c r="B6" s="353" t="s">
        <v>319</v>
      </c>
      <c r="C6" s="354" t="s">
        <v>323</v>
      </c>
      <c r="D6" s="355" t="s">
        <v>343</v>
      </c>
      <c r="E6" s="354" t="s">
        <v>334</v>
      </c>
      <c r="F6" s="355" t="s">
        <v>344</v>
      </c>
      <c r="G6" s="354" t="s">
        <v>335</v>
      </c>
      <c r="H6" s="354" t="s">
        <v>338</v>
      </c>
      <c r="I6" s="354" t="s">
        <v>96</v>
      </c>
      <c r="J6" s="354" t="s">
        <v>339</v>
      </c>
      <c r="K6" s="354" t="s">
        <v>340</v>
      </c>
      <c r="L6" s="356">
        <v>85.25057834710735</v>
      </c>
      <c r="M6" s="356">
        <v>6</v>
      </c>
      <c r="N6" s="357">
        <v>511.50347008264407</v>
      </c>
    </row>
    <row r="7" spans="1:14" ht="14.4" customHeight="1" thickBot="1" x14ac:dyDescent="0.35">
      <c r="A7" s="358" t="s">
        <v>318</v>
      </c>
      <c r="B7" s="359" t="s">
        <v>319</v>
      </c>
      <c r="C7" s="360" t="s">
        <v>323</v>
      </c>
      <c r="D7" s="361" t="s">
        <v>343</v>
      </c>
      <c r="E7" s="360" t="s">
        <v>334</v>
      </c>
      <c r="F7" s="361" t="s">
        <v>344</v>
      </c>
      <c r="G7" s="360" t="s">
        <v>335</v>
      </c>
      <c r="H7" s="360" t="s">
        <v>341</v>
      </c>
      <c r="I7" s="360" t="s">
        <v>96</v>
      </c>
      <c r="J7" s="360" t="s">
        <v>342</v>
      </c>
      <c r="K7" s="360"/>
      <c r="L7" s="362">
        <v>169.04988577588955</v>
      </c>
      <c r="M7" s="362">
        <v>98</v>
      </c>
      <c r="N7" s="363">
        <v>16566.888806037176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3" bestFit="1" customWidth="1"/>
    <col min="3" max="3" width="6.109375" style="163" bestFit="1" customWidth="1"/>
    <col min="4" max="4" width="7.44140625" style="163" bestFit="1" customWidth="1"/>
    <col min="5" max="5" width="6.21875" style="163" bestFit="1" customWidth="1"/>
    <col min="6" max="6" width="6.33203125" style="166" bestFit="1" customWidth="1"/>
    <col min="7" max="7" width="6.109375" style="166" bestFit="1" customWidth="1"/>
    <col min="8" max="8" width="7.44140625" style="166" bestFit="1" customWidth="1"/>
    <col min="9" max="9" width="6.21875" style="166" bestFit="1" customWidth="1"/>
    <col min="10" max="10" width="5.44140625" style="163" bestFit="1" customWidth="1"/>
    <col min="11" max="11" width="6.109375" style="163" bestFit="1" customWidth="1"/>
    <col min="12" max="12" width="7.44140625" style="163" bestFit="1" customWidth="1"/>
    <col min="13" max="13" width="6.21875" style="163" bestFit="1" customWidth="1"/>
    <col min="14" max="14" width="5.33203125" style="166" bestFit="1" customWidth="1"/>
    <col min="15" max="15" width="6.109375" style="166" bestFit="1" customWidth="1"/>
    <col min="16" max="16" width="7.44140625" style="166" bestFit="1" customWidth="1"/>
    <col min="17" max="17" width="6.21875" style="166" bestFit="1" customWidth="1"/>
    <col min="18" max="16384" width="8.88671875" style="96"/>
  </cols>
  <sheetData>
    <row r="1" spans="1:17" ht="18.600000000000001" customHeight="1" thickBot="1" x14ac:dyDescent="0.4">
      <c r="A1" s="298" t="s">
        <v>172</v>
      </c>
      <c r="B1" s="298"/>
      <c r="C1" s="298"/>
      <c r="D1" s="298"/>
      <c r="E1" s="298"/>
      <c r="F1" s="262"/>
      <c r="G1" s="262"/>
      <c r="H1" s="262"/>
      <c r="I1" s="26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175" t="s">
        <v>206</v>
      </c>
      <c r="B2" s="170"/>
      <c r="C2" s="170"/>
      <c r="D2" s="170"/>
      <c r="E2" s="170"/>
    </row>
    <row r="3" spans="1:17" ht="14.4" customHeight="1" thickBot="1" x14ac:dyDescent="0.35">
      <c r="A3" s="242" t="s">
        <v>2</v>
      </c>
      <c r="B3" s="246">
        <f>SUM(B6:B1048576)</f>
        <v>41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14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302" t="s">
        <v>174</v>
      </c>
      <c r="C4" s="303"/>
      <c r="D4" s="303"/>
      <c r="E4" s="304"/>
      <c r="F4" s="299" t="s">
        <v>179</v>
      </c>
      <c r="G4" s="300"/>
      <c r="H4" s="300"/>
      <c r="I4" s="301"/>
      <c r="J4" s="302" t="s">
        <v>180</v>
      </c>
      <c r="K4" s="303"/>
      <c r="L4" s="303"/>
      <c r="M4" s="304"/>
      <c r="N4" s="299" t="s">
        <v>181</v>
      </c>
      <c r="O4" s="300"/>
      <c r="P4" s="300"/>
      <c r="Q4" s="301"/>
    </row>
    <row r="5" spans="1:17" ht="14.4" customHeight="1" thickBot="1" x14ac:dyDescent="0.35">
      <c r="A5" s="364" t="s">
        <v>173</v>
      </c>
      <c r="B5" s="365" t="s">
        <v>175</v>
      </c>
      <c r="C5" s="365" t="s">
        <v>176</v>
      </c>
      <c r="D5" s="365" t="s">
        <v>177</v>
      </c>
      <c r="E5" s="366" t="s">
        <v>178</v>
      </c>
      <c r="F5" s="367" t="s">
        <v>175</v>
      </c>
      <c r="G5" s="368" t="s">
        <v>176</v>
      </c>
      <c r="H5" s="368" t="s">
        <v>177</v>
      </c>
      <c r="I5" s="369" t="s">
        <v>178</v>
      </c>
      <c r="J5" s="365" t="s">
        <v>175</v>
      </c>
      <c r="K5" s="365" t="s">
        <v>176</v>
      </c>
      <c r="L5" s="365" t="s">
        <v>177</v>
      </c>
      <c r="M5" s="366" t="s">
        <v>178</v>
      </c>
      <c r="N5" s="367" t="s">
        <v>175</v>
      </c>
      <c r="O5" s="368" t="s">
        <v>176</v>
      </c>
      <c r="P5" s="368" t="s">
        <v>177</v>
      </c>
      <c r="Q5" s="369" t="s">
        <v>178</v>
      </c>
    </row>
    <row r="6" spans="1:17" ht="14.4" customHeight="1" x14ac:dyDescent="0.3">
      <c r="A6" s="374" t="s">
        <v>345</v>
      </c>
      <c r="B6" s="378"/>
      <c r="C6" s="350"/>
      <c r="D6" s="350"/>
      <c r="E6" s="351"/>
      <c r="F6" s="376"/>
      <c r="G6" s="370"/>
      <c r="H6" s="370"/>
      <c r="I6" s="380"/>
      <c r="J6" s="378"/>
      <c r="K6" s="350"/>
      <c r="L6" s="350"/>
      <c r="M6" s="351"/>
      <c r="N6" s="376"/>
      <c r="O6" s="370"/>
      <c r="P6" s="370"/>
      <c r="Q6" s="371"/>
    </row>
    <row r="7" spans="1:17" ht="14.4" customHeight="1" thickBot="1" x14ac:dyDescent="0.35">
      <c r="A7" s="375" t="s">
        <v>346</v>
      </c>
      <c r="B7" s="379">
        <v>41</v>
      </c>
      <c r="C7" s="362"/>
      <c r="D7" s="362"/>
      <c r="E7" s="363"/>
      <c r="F7" s="377">
        <v>1</v>
      </c>
      <c r="G7" s="372">
        <v>0</v>
      </c>
      <c r="H7" s="372">
        <v>0</v>
      </c>
      <c r="I7" s="381">
        <v>0</v>
      </c>
      <c r="J7" s="379">
        <v>14</v>
      </c>
      <c r="K7" s="362"/>
      <c r="L7" s="362"/>
      <c r="M7" s="363"/>
      <c r="N7" s="377">
        <v>1</v>
      </c>
      <c r="O7" s="372">
        <v>0</v>
      </c>
      <c r="P7" s="372">
        <v>0</v>
      </c>
      <c r="Q7" s="3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78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206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2013</v>
      </c>
      <c r="D3" s="234">
        <v>2014</v>
      </c>
      <c r="E3" s="7"/>
      <c r="F3" s="285">
        <v>2015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171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318</v>
      </c>
      <c r="B5" s="337" t="s">
        <v>319</v>
      </c>
      <c r="C5" s="338" t="s">
        <v>320</v>
      </c>
      <c r="D5" s="338" t="s">
        <v>320</v>
      </c>
      <c r="E5" s="338"/>
      <c r="F5" s="338" t="s">
        <v>320</v>
      </c>
      <c r="G5" s="338" t="s">
        <v>320</v>
      </c>
      <c r="H5" s="338" t="s">
        <v>320</v>
      </c>
      <c r="I5" s="339" t="s">
        <v>320</v>
      </c>
      <c r="J5" s="340" t="s">
        <v>53</v>
      </c>
    </row>
    <row r="6" spans="1:10" ht="14.4" customHeight="1" x14ac:dyDescent="0.3">
      <c r="A6" s="336" t="s">
        <v>318</v>
      </c>
      <c r="B6" s="337" t="s">
        <v>347</v>
      </c>
      <c r="C6" s="338">
        <v>0</v>
      </c>
      <c r="D6" s="338" t="s">
        <v>320</v>
      </c>
      <c r="E6" s="338"/>
      <c r="F6" s="338" t="s">
        <v>320</v>
      </c>
      <c r="G6" s="338" t="s">
        <v>320</v>
      </c>
      <c r="H6" s="338" t="s">
        <v>320</v>
      </c>
      <c r="I6" s="339" t="s">
        <v>320</v>
      </c>
      <c r="J6" s="340" t="s">
        <v>1</v>
      </c>
    </row>
    <row r="7" spans="1:10" ht="14.4" customHeight="1" x14ac:dyDescent="0.3">
      <c r="A7" s="336" t="s">
        <v>318</v>
      </c>
      <c r="B7" s="337" t="s">
        <v>215</v>
      </c>
      <c r="C7" s="338">
        <v>5.3899999999989996</v>
      </c>
      <c r="D7" s="338">
        <v>5.2519999999999998</v>
      </c>
      <c r="E7" s="338"/>
      <c r="F7" s="338">
        <v>2.84</v>
      </c>
      <c r="G7" s="338">
        <v>5.4999998267630001</v>
      </c>
      <c r="H7" s="338">
        <v>-2.6599998267630003</v>
      </c>
      <c r="I7" s="339">
        <v>0.51636365262787087</v>
      </c>
      <c r="J7" s="340" t="s">
        <v>1</v>
      </c>
    </row>
    <row r="8" spans="1:10" ht="14.4" customHeight="1" x14ac:dyDescent="0.3">
      <c r="A8" s="336" t="s">
        <v>318</v>
      </c>
      <c r="B8" s="337" t="s">
        <v>321</v>
      </c>
      <c r="C8" s="338">
        <v>5.3899999999989996</v>
      </c>
      <c r="D8" s="338">
        <v>5.2519999999999998</v>
      </c>
      <c r="E8" s="338"/>
      <c r="F8" s="338">
        <v>2.84</v>
      </c>
      <c r="G8" s="338">
        <v>5.4999998267630001</v>
      </c>
      <c r="H8" s="338">
        <v>-2.6599998267630003</v>
      </c>
      <c r="I8" s="339">
        <v>0.51636365262787087</v>
      </c>
      <c r="J8" s="340" t="s">
        <v>322</v>
      </c>
    </row>
    <row r="10" spans="1:10" ht="14.4" customHeight="1" x14ac:dyDescent="0.3">
      <c r="A10" s="336" t="s">
        <v>318</v>
      </c>
      <c r="B10" s="337" t="s">
        <v>319</v>
      </c>
      <c r="C10" s="338" t="s">
        <v>320</v>
      </c>
      <c r="D10" s="338" t="s">
        <v>320</v>
      </c>
      <c r="E10" s="338"/>
      <c r="F10" s="338" t="s">
        <v>320</v>
      </c>
      <c r="G10" s="338" t="s">
        <v>320</v>
      </c>
      <c r="H10" s="338" t="s">
        <v>320</v>
      </c>
      <c r="I10" s="339" t="s">
        <v>320</v>
      </c>
      <c r="J10" s="340" t="s">
        <v>53</v>
      </c>
    </row>
    <row r="11" spans="1:10" ht="14.4" customHeight="1" x14ac:dyDescent="0.3">
      <c r="A11" s="336" t="s">
        <v>323</v>
      </c>
      <c r="B11" s="337" t="s">
        <v>324</v>
      </c>
      <c r="C11" s="338" t="s">
        <v>320</v>
      </c>
      <c r="D11" s="338" t="s">
        <v>320</v>
      </c>
      <c r="E11" s="338"/>
      <c r="F11" s="338" t="s">
        <v>320</v>
      </c>
      <c r="G11" s="338" t="s">
        <v>320</v>
      </c>
      <c r="H11" s="338" t="s">
        <v>320</v>
      </c>
      <c r="I11" s="339" t="s">
        <v>320</v>
      </c>
      <c r="J11" s="340" t="s">
        <v>0</v>
      </c>
    </row>
    <row r="12" spans="1:10" ht="14.4" customHeight="1" x14ac:dyDescent="0.3">
      <c r="A12" s="336" t="s">
        <v>323</v>
      </c>
      <c r="B12" s="337" t="s">
        <v>347</v>
      </c>
      <c r="C12" s="338">
        <v>0</v>
      </c>
      <c r="D12" s="338" t="s">
        <v>320</v>
      </c>
      <c r="E12" s="338"/>
      <c r="F12" s="338" t="s">
        <v>320</v>
      </c>
      <c r="G12" s="338" t="s">
        <v>320</v>
      </c>
      <c r="H12" s="338" t="s">
        <v>320</v>
      </c>
      <c r="I12" s="339" t="s">
        <v>320</v>
      </c>
      <c r="J12" s="340" t="s">
        <v>1</v>
      </c>
    </row>
    <row r="13" spans="1:10" ht="14.4" customHeight="1" x14ac:dyDescent="0.3">
      <c r="A13" s="336" t="s">
        <v>323</v>
      </c>
      <c r="B13" s="337" t="s">
        <v>215</v>
      </c>
      <c r="C13" s="338">
        <v>3.9299999999989996</v>
      </c>
      <c r="D13" s="338">
        <v>4.968</v>
      </c>
      <c r="E13" s="338"/>
      <c r="F13" s="338">
        <v>2.84</v>
      </c>
      <c r="G13" s="338">
        <v>5.2842539772050001</v>
      </c>
      <c r="H13" s="338">
        <v>-2.4442539772050003</v>
      </c>
      <c r="I13" s="339">
        <v>0.53744577990593878</v>
      </c>
      <c r="J13" s="340" t="s">
        <v>1</v>
      </c>
    </row>
    <row r="14" spans="1:10" ht="14.4" customHeight="1" x14ac:dyDescent="0.3">
      <c r="A14" s="336" t="s">
        <v>323</v>
      </c>
      <c r="B14" s="337" t="s">
        <v>325</v>
      </c>
      <c r="C14" s="338">
        <v>3.9299999999989996</v>
      </c>
      <c r="D14" s="338">
        <v>4.968</v>
      </c>
      <c r="E14" s="338"/>
      <c r="F14" s="338">
        <v>2.84</v>
      </c>
      <c r="G14" s="338">
        <v>5.2842539772050001</v>
      </c>
      <c r="H14" s="338">
        <v>-2.4442539772050003</v>
      </c>
      <c r="I14" s="339">
        <v>0.53744577990593878</v>
      </c>
      <c r="J14" s="340" t="s">
        <v>326</v>
      </c>
    </row>
    <row r="15" spans="1:10" ht="14.4" customHeight="1" x14ac:dyDescent="0.3">
      <c r="A15" s="336" t="s">
        <v>320</v>
      </c>
      <c r="B15" s="337" t="s">
        <v>320</v>
      </c>
      <c r="C15" s="338" t="s">
        <v>320</v>
      </c>
      <c r="D15" s="338" t="s">
        <v>320</v>
      </c>
      <c r="E15" s="338"/>
      <c r="F15" s="338" t="s">
        <v>320</v>
      </c>
      <c r="G15" s="338" t="s">
        <v>320</v>
      </c>
      <c r="H15" s="338" t="s">
        <v>320</v>
      </c>
      <c r="I15" s="339" t="s">
        <v>320</v>
      </c>
      <c r="J15" s="340" t="s">
        <v>327</v>
      </c>
    </row>
    <row r="16" spans="1:10" ht="14.4" customHeight="1" x14ac:dyDescent="0.3">
      <c r="A16" s="336" t="s">
        <v>331</v>
      </c>
      <c r="B16" s="337" t="s">
        <v>332</v>
      </c>
      <c r="C16" s="338" t="s">
        <v>320</v>
      </c>
      <c r="D16" s="338" t="s">
        <v>320</v>
      </c>
      <c r="E16" s="338"/>
      <c r="F16" s="338" t="s">
        <v>320</v>
      </c>
      <c r="G16" s="338" t="s">
        <v>320</v>
      </c>
      <c r="H16" s="338" t="s">
        <v>320</v>
      </c>
      <c r="I16" s="339" t="s">
        <v>320</v>
      </c>
      <c r="J16" s="340" t="s">
        <v>0</v>
      </c>
    </row>
    <row r="17" spans="1:10" ht="14.4" customHeight="1" x14ac:dyDescent="0.3">
      <c r="A17" s="336" t="s">
        <v>331</v>
      </c>
      <c r="B17" s="337" t="s">
        <v>215</v>
      </c>
      <c r="C17" s="338">
        <v>1.46</v>
      </c>
      <c r="D17" s="338">
        <v>0.28399999999999997</v>
      </c>
      <c r="E17" s="338"/>
      <c r="F17" s="338">
        <v>0</v>
      </c>
      <c r="G17" s="338">
        <v>0.21574584955800002</v>
      </c>
      <c r="H17" s="338">
        <v>-0.21574584955800002</v>
      </c>
      <c r="I17" s="339">
        <v>0</v>
      </c>
      <c r="J17" s="340" t="s">
        <v>1</v>
      </c>
    </row>
    <row r="18" spans="1:10" ht="14.4" customHeight="1" x14ac:dyDescent="0.3">
      <c r="A18" s="336" t="s">
        <v>331</v>
      </c>
      <c r="B18" s="337" t="s">
        <v>333</v>
      </c>
      <c r="C18" s="338">
        <v>1.46</v>
      </c>
      <c r="D18" s="338">
        <v>0.28399999999999997</v>
      </c>
      <c r="E18" s="338"/>
      <c r="F18" s="338">
        <v>0</v>
      </c>
      <c r="G18" s="338">
        <v>0.21574584955800002</v>
      </c>
      <c r="H18" s="338">
        <v>-0.21574584955800002</v>
      </c>
      <c r="I18" s="339">
        <v>0</v>
      </c>
      <c r="J18" s="340" t="s">
        <v>326</v>
      </c>
    </row>
    <row r="19" spans="1:10" ht="14.4" customHeight="1" x14ac:dyDescent="0.3">
      <c r="A19" s="336" t="s">
        <v>320</v>
      </c>
      <c r="B19" s="337" t="s">
        <v>320</v>
      </c>
      <c r="C19" s="338" t="s">
        <v>320</v>
      </c>
      <c r="D19" s="338" t="s">
        <v>320</v>
      </c>
      <c r="E19" s="338"/>
      <c r="F19" s="338" t="s">
        <v>320</v>
      </c>
      <c r="G19" s="338" t="s">
        <v>320</v>
      </c>
      <c r="H19" s="338" t="s">
        <v>320</v>
      </c>
      <c r="I19" s="339" t="s">
        <v>320</v>
      </c>
      <c r="J19" s="340" t="s">
        <v>327</v>
      </c>
    </row>
    <row r="20" spans="1:10" ht="14.4" customHeight="1" x14ac:dyDescent="0.3">
      <c r="A20" s="336" t="s">
        <v>318</v>
      </c>
      <c r="B20" s="337" t="s">
        <v>321</v>
      </c>
      <c r="C20" s="338">
        <v>5.3899999999989996</v>
      </c>
      <c r="D20" s="338">
        <v>5.2519999999999998</v>
      </c>
      <c r="E20" s="338"/>
      <c r="F20" s="338">
        <v>2.84</v>
      </c>
      <c r="G20" s="338">
        <v>5.4999998267630001</v>
      </c>
      <c r="H20" s="338">
        <v>-2.6599998267630003</v>
      </c>
      <c r="I20" s="339">
        <v>0.51636365262787087</v>
      </c>
      <c r="J20" s="340" t="s">
        <v>322</v>
      </c>
    </row>
  </sheetData>
  <mergeCells count="3">
    <mergeCell ref="A1:I1"/>
    <mergeCell ref="F3:I3"/>
    <mergeCell ref="C4:D4"/>
  </mergeCells>
  <conditionalFormatting sqref="F9 F21:F65537">
    <cfRule type="cellIs" dxfId="19" priority="18" stopIfTrue="1" operator="greaterThan">
      <formula>1</formula>
    </cfRule>
  </conditionalFormatting>
  <conditionalFormatting sqref="H5:H8">
    <cfRule type="expression" dxfId="18" priority="14">
      <formula>$H5&gt;0</formula>
    </cfRule>
  </conditionalFormatting>
  <conditionalFormatting sqref="I5:I8">
    <cfRule type="expression" dxfId="17" priority="15">
      <formula>$I5&gt;1</formula>
    </cfRule>
  </conditionalFormatting>
  <conditionalFormatting sqref="B5:B8">
    <cfRule type="expression" dxfId="16" priority="11">
      <formula>OR($J5="NS",$J5="SumaNS",$J5="Účet")</formula>
    </cfRule>
  </conditionalFormatting>
  <conditionalFormatting sqref="F5:I8 B5:D8">
    <cfRule type="expression" dxfId="15" priority="17">
      <formula>AND($J5&lt;&gt;"",$J5&lt;&gt;"mezeraKL")</formula>
    </cfRule>
  </conditionalFormatting>
  <conditionalFormatting sqref="B5:D8 F5:I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3" priority="13">
      <formula>OR($J5="SumaNS",$J5="NS")</formula>
    </cfRule>
  </conditionalFormatting>
  <conditionalFormatting sqref="A5:A8">
    <cfRule type="expression" dxfId="12" priority="9">
      <formula>AND($J5&lt;&gt;"mezeraKL",$J5&lt;&gt;"")</formula>
    </cfRule>
  </conditionalFormatting>
  <conditionalFormatting sqref="A5:A8">
    <cfRule type="expression" dxfId="11" priority="10">
      <formula>AND($J5&lt;&gt;"",$J5&lt;&gt;"mezeraKL")</formula>
    </cfRule>
  </conditionalFormatting>
  <conditionalFormatting sqref="H10:H20">
    <cfRule type="expression" dxfId="10" priority="5">
      <formula>$H10&gt;0</formula>
    </cfRule>
  </conditionalFormatting>
  <conditionalFormatting sqref="A10:A20">
    <cfRule type="expression" dxfId="9" priority="2">
      <formula>AND($J10&lt;&gt;"mezeraKL",$J10&lt;&gt;"")</formula>
    </cfRule>
  </conditionalFormatting>
  <conditionalFormatting sqref="I10:I20">
    <cfRule type="expression" dxfId="8" priority="6">
      <formula>$I10&gt;1</formula>
    </cfRule>
  </conditionalFormatting>
  <conditionalFormatting sqref="B10:B20">
    <cfRule type="expression" dxfId="7" priority="1">
      <formula>OR($J10="NS",$J10="SumaNS",$J10="Účet")</formula>
    </cfRule>
  </conditionalFormatting>
  <conditionalFormatting sqref="A10:D20 F10:I20">
    <cfRule type="expression" dxfId="6" priority="8">
      <formula>AND($J10&lt;&gt;"",$J10&lt;&gt;"mezeraKL")</formula>
    </cfRule>
  </conditionalFormatting>
  <conditionalFormatting sqref="B10:D20 F10:I20">
    <cfRule type="expression" dxfId="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4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2015-07-23T10:27:40Z</dcterms:modified>
</cp:coreProperties>
</file>