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G26" i="419" l="1"/>
  <c r="G27" i="419" s="1"/>
  <c r="G25" i="419"/>
  <c r="C26" i="419"/>
  <c r="G28" i="419" l="1"/>
  <c r="C25" i="419"/>
  <c r="G20" i="419"/>
  <c r="F20" i="419"/>
  <c r="G19" i="419"/>
  <c r="F19" i="419"/>
  <c r="G17" i="419"/>
  <c r="F17" i="419"/>
  <c r="G16" i="419"/>
  <c r="F16" i="419"/>
  <c r="G14" i="419"/>
  <c r="F14" i="419"/>
  <c r="G13" i="419"/>
  <c r="F13" i="419"/>
  <c r="G12" i="419"/>
  <c r="F12" i="419"/>
  <c r="G11" i="419"/>
  <c r="F11" i="419"/>
  <c r="AW3" i="418"/>
  <c r="AV3" i="418"/>
  <c r="AU3" i="418"/>
  <c r="AT3" i="418"/>
  <c r="AS3" i="418"/>
  <c r="AR3" i="418"/>
  <c r="AQ3" i="418"/>
  <c r="AP3" i="418"/>
  <c r="F18" i="419" l="1"/>
  <c r="G18" i="419"/>
  <c r="B25" i="419"/>
  <c r="C27" i="419" l="1"/>
  <c r="B26" i="419"/>
  <c r="B27" i="419" s="1"/>
  <c r="C28" i="419"/>
  <c r="A8" i="414"/>
  <c r="A7" i="414"/>
  <c r="E21" i="419" l="1"/>
  <c r="D21" i="419"/>
  <c r="C21" i="419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C18" i="419" l="1"/>
  <c r="E18" i="419"/>
  <c r="C23" i="419"/>
  <c r="E23" i="419"/>
  <c r="D23" i="419"/>
  <c r="E22" i="419"/>
  <c r="D18" i="419"/>
  <c r="C22" i="419"/>
  <c r="D22" i="419"/>
  <c r="M3" i="418"/>
  <c r="B21" i="419" l="1"/>
  <c r="B22" i="419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B28" i="419" l="1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F6" i="419" l="1"/>
  <c r="G6" i="419"/>
  <c r="D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13" i="414"/>
  <c r="A4" i="414"/>
  <c r="A6" i="339" l="1"/>
  <c r="A5" i="339"/>
  <c r="D4" i="414"/>
  <c r="C13" i="414"/>
  <c r="D16" i="414"/>
  <c r="D13" i="414"/>
  <c r="C16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7" i="414"/>
  <c r="D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C4" i="414"/>
  <c r="D15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<sst xmlns="http://schemas.openxmlformats.org/spreadsheetml/2006/main" count="669" uniqueCount="332">
  <si>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</si>
  <si>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</si>
  <si>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</si>
  <si>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</si>
  <si>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</si>
  <si>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</si>
  <si>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</si>
  <si>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</si>
  <si>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</si>
  <si>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</si>
  <si>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</si>
  <si>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</si>
  <si>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</si>
  <si>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</si>
  <si>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</si>
  <si>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</si>
  <si>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</si>
  <si>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</si>
  <si>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</si>
  <si>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</si>
  <si>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</si>
  <si>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</si>
  <si>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</si>
  <si>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</si>
  <si>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</si>
  <si>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</si>
  <si>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</si>
  <si>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</si>
  <si>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</si>
  <si>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</si>
  <si>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</si>
  <si>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</si>
  <si>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</si>
  <si>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</si>
  <si>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</si>
  <si>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</si>
  <si>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</si>
  <si>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</si>
  <si>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</si>
  <si>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</si>
  <si>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</si>
  <si>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</si>
  <si>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</si>
  <si>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</si>
  <si>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</si>
  <si>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</si>
  <si>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</si>
  <si>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</si>
  <si>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</si>
  <si>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</si>
  <si>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</si>
  <si>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</si>
  <si>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</si>
  <si>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</si>
  <si>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</si>
  <si>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</si>
  <si>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</si>
  <si>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</si>
  <si>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</si>
  <si>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</si>
  <si>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</si>
  <si>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</si>
  <si>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</si>
  <si>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</si>
  <si>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</si>
  <si>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</si>
  <si>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</si>
  <si>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</si>
  <si>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</si>
  <si>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</si>
  <si>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</si>
  <si>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</si>
  <si>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</si>
  <si>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</si>
  <si>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</si>
  <si>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</si>
  <si>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</si>
  <si>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</si>
  <si>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</si>
  <si>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</si>
  <si>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</si>
  <si>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</si>
  <si>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</si>
  <si>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</si>
  <si>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</si>
  <si>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</si>
  <si>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</si>
  <si>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</si>
  <si>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</si>
  <si>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</si>
  <si>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</si>
  <si>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</si>
  <si>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</si>
  <si>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</si>
  <si>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</si>
  <si>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</si>
  <si>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</si>
  <si>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</si>
  <si>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</si>
  <si>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</si>
  <si>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</si>
  <si>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</si>
  <si>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</si>
  <si>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</si>
  <si>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</si>
  <si>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</si>
  <si>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</si>
  <si>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</si>
  <si>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</si>
  <si>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</si>
  <si>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</si>
  <si>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</si>
  <si>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</si>
  <si>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</si>
  <si>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</si>
  <si>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</si>
  <si>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</si>
  <si>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</si>
  <si>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</si>
  <si>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</si>
  <si>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</si>
  <si>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</si>
  <si>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</si>
  <si>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</si>
  <si>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</si>
  <si>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</si>
  <si>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</si>
  <si>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</si>
  <si>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</si>
  <si>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</si>
  <si>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</si>
  <si>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</si>
  <si>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zdravotničtí asistenti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</si>
  <si>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</si>
  <si>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</si>
  <si>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</si>
  <si>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</si>
  <si>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</si>
  <si>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</si>
  <si>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</si>
  <si>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</si>
  <si>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</si>
  <si>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</si>
  <si>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</si>
  <si>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</si>
  <si>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</si>
  <si>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</si>
  <si>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(Sk.do data - Rozp.do data 2015)</t>
  </si>
  <si>
    <t>všeobecné sestry pod dohl.</t>
  </si>
  <si>
    <t>všeobecné sestry bez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</si>
  <si>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</si>
  <si>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</si>
  <si>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</si>
  <si>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</si>
  <si>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</si>
  <si>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</si>
  <si>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</si>
  <si>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</si>
  <si>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</si>
  <si>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</si>
  <si>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</si>
  <si>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</si>
  <si>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</si>
  <si>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</si>
  <si>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</si>
  <si>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</si>
  <si>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</si>
  <si>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</si>
  <si>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</si>
  <si>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</si>
  <si>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</si>
  <si>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</si>
  <si>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</si>
  <si>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</si>
  <si>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centrální sterilizace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</si>
  <si>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</si>
  <si>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</si>
  <si>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</si>
  <si>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</si>
  <si>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</si>
  <si>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</si>
  <si>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</si>
  <si>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</si>
  <si>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</si>
  <si>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</si>
  <si>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</si>
  <si>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</si>
  <si>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</si>
  <si>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</si>
  <si>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</si>
  <si>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</si>
  <si>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</si>
  <si>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--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</si>
  <si>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</si>
  <si>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</si>
  <si>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</si>
  <si>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</si>
  <si>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</si>
  <si>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</si>
  <si>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</si>
  <si>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</si>
  <si>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</si>
  <si>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</si>
  <si>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</si>
  <si>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</si>
  <si>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</si>
  <si>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</si>
  <si>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</si>
  <si>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</si>
  <si>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</si>
  <si>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</si>
  <si>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</si>
  <si>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</si>
  <si>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</si>
  <si>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</si>
  <si>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</si>
  <si>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</si>
  <si>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</si>
  <si>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</si>
  <si>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</si>
  <si>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</si>
  <si>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</si>
  <si>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</si>
  <si>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</si>
  <si>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</si>
  <si>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51806002     úklid. služby - více práce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</si>
  <si>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</si>
  <si>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</si>
  <si>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</si>
  <si>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</si>
  <si>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</si>
  <si>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</si>
  <si>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</si>
  <si>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</si>
  <si>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</si>
  <si>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</si>
  <si>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</si>
  <si>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</si>
  <si>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</si>
  <si>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</si>
  <si>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</si>
  <si>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</si>
  <si>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</si>
  <si>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</si>
  <si>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</si>
  <si>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</si>
  <si>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</si>
  <si>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</si>
  <si>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</si>
  <si>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</si>
  <si>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</si>
  <si>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</si>
  <si>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</si>
  <si>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</si>
  <si>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</si>
  <si>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</si>
  <si>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</si>
  <si>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</si>
  <si>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</si>
  <si>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</si>
  <si>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</si>
  <si>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</si>
  <si>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</si>
  <si>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</si>
  <si>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</si>
  <si>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</si>
  <si>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</si>
  <si>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</si>
  <si>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</si>
  <si>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</si>
  <si>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</si>
  <si>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</si>
  <si>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</si>
  <si>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</si>
  <si>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</si>
  <si>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</si>
  <si>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</si>
  <si>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</si>
  <si>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</si>
  <si>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</si>
  <si>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</si>
  <si>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</si>
  <si>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</si>
  <si>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</si>
  <si>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</si>
  <si>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</si>
  <si>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</si>
  <si>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</si>
  <si>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</si>
  <si>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</si>
  <si>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</si>
  <si>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</si>
  <si>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</si>
  <si>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56</t>
  </si>
  <si>
    <t>Oddělení centrální sterilizace</t>
  </si>
  <si>
    <t/>
  </si>
  <si>
    <t>Oddělení centrální sterilizace Celkem</t>
  </si>
  <si>
    <t>SumaKL</t>
  </si>
  <si>
    <t>5693</t>
  </si>
  <si>
    <t>oddělení centrální sterilizace</t>
  </si>
  <si>
    <t>oddělení centrální sterilizace Celkem</t>
  </si>
  <si>
    <t>SumaNS</t>
  </si>
  <si>
    <t>mezeraNS</t>
  </si>
  <si>
    <t>5695</t>
  </si>
  <si>
    <t>OCS - detašované pracoviště Ortopedie</t>
  </si>
  <si>
    <t>OCS - detašované pracoviště Ortopedie Celkem</t>
  </si>
  <si>
    <t>50113001</t>
  </si>
  <si>
    <t>O</t>
  </si>
  <si>
    <t>900503</t>
  </si>
  <si>
    <t>0</t>
  </si>
  <si>
    <t>KL AQUA PURIF. 1000G</t>
  </si>
  <si>
    <t>930759</t>
  </si>
  <si>
    <t>MS BENZINUM  900 ml  FA , KU</t>
  </si>
  <si>
    <t>DPH 21%</t>
  </si>
  <si>
    <t>930224</t>
  </si>
  <si>
    <t>KL BENZINUM 900ml/ 600g</t>
  </si>
  <si>
    <t>UN 3295</t>
  </si>
  <si>
    <t>920294</t>
  </si>
  <si>
    <t>KL SOL.FORMALDEHYDI 3% 1 KG</t>
  </si>
  <si>
    <t>Oddělení centrální sterilizace, oddělení centrální</t>
  </si>
  <si>
    <t>Lékárna - léčiva</t>
  </si>
  <si>
    <t>56 - Oddělení centrální sterilizace</t>
  </si>
  <si>
    <t>5693 - oddělení centrální sterilizace</t>
  </si>
  <si>
    <t>5696</t>
  </si>
  <si>
    <t>OCS - detašované pracoviště  DK</t>
  </si>
  <si>
    <t>OCS - detašované pracoviště  DK Celkem</t>
  </si>
  <si>
    <t>ZM292</t>
  </si>
  <si>
    <t>Rukavice nitril sempercare bez p. M bal. á 200 ks 30803</t>
  </si>
  <si>
    <t>50115067</t>
  </si>
  <si>
    <t>532 SZM Rukavice (112 02 108)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</si>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</sst>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05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8" xfId="0" applyFont="1" applyFill="1" applyBorder="1" applyAlignment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7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6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7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4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1" xfId="0" applyNumberFormat="1" applyFont="1" applyFill="1" applyBorder="1"/>
    <xf numFmtId="3" fontId="51" fillId="8" borderId="52" xfId="0" applyNumberFormat="1" applyFont="1" applyFill="1" applyBorder="1"/>
    <xf numFmtId="3" fontId="51" fillId="8" borderId="51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39" fillId="2" borderId="56" xfId="0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0" fontId="53" fillId="2" borderId="59" xfId="0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1" xfId="0" applyFont="1" applyFill="1" applyBorder="1" applyAlignment="1"/>
    <xf numFmtId="0" fontId="39" fillId="2" borderId="63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1" xfId="0" applyFont="1" applyFill="1" applyBorder="1" applyAlignment="1"/>
    <xf numFmtId="0" fontId="39" fillId="4" borderId="63" xfId="0" applyFont="1" applyFill="1" applyBorder="1" applyAlignment="1">
      <alignment horizontal="left" indent="1"/>
    </xf>
    <xf numFmtId="0" fontId="39" fillId="4" borderId="74" xfId="0" applyFont="1" applyFill="1" applyBorder="1" applyAlignment="1">
      <alignment horizontal="left" indent="1"/>
    </xf>
    <xf numFmtId="0" fontId="32" fillId="2" borderId="63" xfId="0" quotePrefix="1" applyFont="1" applyFill="1" applyBorder="1" applyAlignment="1">
      <alignment horizontal="left" indent="2"/>
    </xf>
    <xf numFmtId="0" fontId="32" fillId="2" borderId="69" xfId="0" quotePrefix="1" applyFont="1" applyFill="1" applyBorder="1" applyAlignment="1">
      <alignment horizontal="left" indent="2"/>
    </xf>
    <xf numFmtId="0" fontId="39" fillId="2" borderId="61" xfId="0" applyFont="1" applyFill="1" applyBorder="1" applyAlignment="1">
      <alignment horizontal="left" indent="1"/>
    </xf>
    <xf numFmtId="0" fontId="39" fillId="2" borderId="74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0" borderId="79" xfId="0" applyFont="1" applyBorder="1"/>
    <xf numFmtId="3" fontId="32" fillId="0" borderId="79" xfId="0" applyNumberFormat="1" applyFont="1" applyBorder="1"/>
    <xf numFmtId="0" fontId="39" fillId="4" borderId="53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8" xfId="0" applyNumberFormat="1" applyFont="1" applyFill="1" applyBorder="1" applyAlignment="1">
      <alignment horizontal="center" vertical="center"/>
    </xf>
    <xf numFmtId="3" fontId="53" fillId="2" borderId="76" xfId="0" applyNumberFormat="1" applyFont="1" applyFill="1" applyBorder="1" applyAlignment="1">
      <alignment horizontal="center" vertical="center" wrapText="1"/>
    </xf>
    <xf numFmtId="173" fontId="39" fillId="4" borderId="62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4" xfId="0" applyNumberFormat="1" applyFont="1" applyBorder="1"/>
    <xf numFmtId="173" fontId="32" fillId="0" borderId="66" xfId="0" applyNumberFormat="1" applyFont="1" applyBorder="1"/>
    <xf numFmtId="173" fontId="32" fillId="0" borderId="67" xfId="0" applyNumberFormat="1" applyFont="1" applyBorder="1"/>
    <xf numFmtId="173" fontId="39" fillId="0" borderId="75" xfId="0" applyNumberFormat="1" applyFont="1" applyBorder="1"/>
    <xf numFmtId="173" fontId="32" fillId="0" borderId="59" xfId="0" applyNumberFormat="1" applyFont="1" applyBorder="1"/>
    <xf numFmtId="173" fontId="32" fillId="0" borderId="60" xfId="0" applyNumberFormat="1" applyFont="1" applyBorder="1"/>
    <xf numFmtId="173" fontId="39" fillId="2" borderId="77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0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0" borderId="62" xfId="0" applyNumberFormat="1" applyFont="1" applyBorder="1"/>
    <xf numFmtId="173" fontId="32" fillId="0" borderId="56" xfId="0" applyNumberFormat="1" applyFont="1" applyBorder="1"/>
    <xf numFmtId="173" fontId="32" fillId="0" borderId="57" xfId="0" applyNumberFormat="1" applyFont="1" applyBorder="1"/>
    <xf numFmtId="174" fontId="39" fillId="2" borderId="62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4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9" fillId="0" borderId="70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2" xfId="0" applyNumberFormat="1" applyFont="1" applyFill="1" applyBorder="1" applyAlignment="1">
      <alignment horizontal="center"/>
    </xf>
    <xf numFmtId="175" fontId="39" fillId="0" borderId="70" xfId="0" applyNumberFormat="1" applyFont="1" applyBorder="1"/>
    <xf numFmtId="0" fontId="31" fillId="2" borderId="84" xfId="74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4" xfId="0" applyNumberFormat="1" applyFont="1" applyBorder="1"/>
    <xf numFmtId="9" fontId="32" fillId="0" borderId="6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37" xfId="81" applyFont="1" applyFill="1" applyBorder="1" applyAlignment="1">
      <alignment horizontal="center"/>
    </xf>
    <xf numFmtId="0" fontId="31" fillId="2" borderId="50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4" xfId="81" applyFont="1" applyFill="1" applyBorder="1" applyAlignment="1">
      <alignment horizontal="center"/>
    </xf>
    <xf numFmtId="0" fontId="31" fillId="2" borderId="82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5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88" xfId="0" applyNumberFormat="1" applyFont="1" applyFill="1" applyBorder="1" applyAlignment="1">
      <alignment horizontal="right" vertical="top"/>
    </xf>
    <xf numFmtId="3" fontId="33" fillId="9" borderId="89" xfId="0" applyNumberFormat="1" applyFont="1" applyFill="1" applyBorder="1" applyAlignment="1">
      <alignment horizontal="right" vertical="top"/>
    </xf>
    <xf numFmtId="176" fontId="33" fillId="9" borderId="90" xfId="0" applyNumberFormat="1" applyFont="1" applyFill="1" applyBorder="1" applyAlignment="1">
      <alignment horizontal="right" vertical="top"/>
    </xf>
    <xf numFmtId="3" fontId="33" fillId="0" borderId="88" xfId="0" applyNumberFormat="1" applyFont="1" applyBorder="1" applyAlignment="1">
      <alignment horizontal="right" vertical="top"/>
    </xf>
    <xf numFmtId="176" fontId="33" fillId="9" borderId="91" xfId="0" applyNumberFormat="1" applyFont="1" applyFill="1" applyBorder="1" applyAlignment="1">
      <alignment horizontal="right" vertical="top"/>
    </xf>
    <xf numFmtId="3" fontId="35" fillId="9" borderId="93" xfId="0" applyNumberFormat="1" applyFont="1" applyFill="1" applyBorder="1" applyAlignment="1">
      <alignment horizontal="right" vertical="top"/>
    </xf>
    <xf numFmtId="3" fontId="35" fillId="9" borderId="94" xfId="0" applyNumberFormat="1" applyFont="1" applyFill="1" applyBorder="1" applyAlignment="1">
      <alignment horizontal="right" vertical="top"/>
    </xf>
    <xf numFmtId="176" fontId="35" fillId="9" borderId="95" xfId="0" applyNumberFormat="1" applyFont="1" applyFill="1" applyBorder="1" applyAlignment="1">
      <alignment horizontal="right" vertical="top"/>
    </xf>
    <xf numFmtId="3" fontId="35" fillId="0" borderId="93" xfId="0" applyNumberFormat="1" applyFont="1" applyBorder="1" applyAlignment="1">
      <alignment horizontal="right" vertical="top"/>
    </xf>
    <xf numFmtId="176" fontId="35" fillId="9" borderId="96" xfId="0" applyNumberFormat="1" applyFont="1" applyFill="1" applyBorder="1" applyAlignment="1">
      <alignment horizontal="right" vertical="top"/>
    </xf>
    <xf numFmtId="0" fontId="33" fillId="9" borderId="91" xfId="0" applyFont="1" applyFill="1" applyBorder="1" applyAlignment="1">
      <alignment horizontal="right" vertical="top"/>
    </xf>
    <xf numFmtId="0" fontId="33" fillId="9" borderId="90" xfId="0" applyFont="1" applyFill="1" applyBorder="1" applyAlignment="1">
      <alignment horizontal="right" vertical="top"/>
    </xf>
    <xf numFmtId="0" fontId="35" fillId="9" borderId="95" xfId="0" applyFont="1" applyFill="1" applyBorder="1" applyAlignment="1">
      <alignment horizontal="right" vertical="top"/>
    </xf>
    <xf numFmtId="0" fontId="35" fillId="9" borderId="96" xfId="0" applyFont="1" applyFill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176" fontId="35" fillId="9" borderId="100" xfId="0" applyNumberFormat="1" applyFont="1" applyFill="1" applyBorder="1" applyAlignment="1">
      <alignment horizontal="right" vertical="top"/>
    </xf>
    <xf numFmtId="0" fontId="37" fillId="10" borderId="87" xfId="0" applyFont="1" applyFill="1" applyBorder="1" applyAlignment="1">
      <alignment vertical="top"/>
    </xf>
    <xf numFmtId="0" fontId="37" fillId="10" borderId="87" xfId="0" applyFont="1" applyFill="1" applyBorder="1" applyAlignment="1">
      <alignment vertical="top" indent="2"/>
    </xf>
    <xf numFmtId="0" fontId="37" fillId="10" borderId="87" xfId="0" applyFont="1" applyFill="1" applyBorder="1" applyAlignment="1">
      <alignment vertical="top" indent="4"/>
    </xf>
    <xf numFmtId="0" fontId="38" fillId="10" borderId="92" xfId="0" applyFont="1" applyFill="1" applyBorder="1" applyAlignment="1">
      <alignment vertical="top" indent="6"/>
    </xf>
    <xf numFmtId="0" fontId="37" fillId="10" borderId="87" xfId="0" applyFont="1" applyFill="1" applyBorder="1" applyAlignment="1">
      <alignment vertical="top" indent="8"/>
    </xf>
    <xf numFmtId="0" fontId="38" fillId="10" borderId="92" xfId="0" applyFont="1" applyFill="1" applyBorder="1" applyAlignment="1">
      <alignment vertical="top" indent="2"/>
    </xf>
    <xf numFmtId="0" fontId="37" fillId="10" borderId="87" xfId="0" applyFont="1" applyFill="1" applyBorder="1" applyAlignment="1">
      <alignment vertical="top" indent="6"/>
    </xf>
    <xf numFmtId="0" fontId="38" fillId="10" borderId="92" xfId="0" applyFont="1" applyFill="1" applyBorder="1" applyAlignment="1">
      <alignment vertical="top" indent="4"/>
    </xf>
    <xf numFmtId="0" fontId="32" fillId="10" borderId="87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1" xfId="53" applyNumberFormat="1" applyFont="1" applyFill="1" applyBorder="1" applyAlignment="1">
      <alignment horizontal="left"/>
    </xf>
    <xf numFmtId="164" fontId="31" fillId="2" borderId="102" xfId="53" applyNumberFormat="1" applyFont="1" applyFill="1" applyBorder="1" applyAlignment="1">
      <alignment horizontal="left"/>
    </xf>
    <xf numFmtId="164" fontId="31" fillId="2" borderId="45" xfId="53" applyNumberFormat="1" applyFont="1" applyFill="1" applyBorder="1" applyAlignment="1">
      <alignment horizontal="left"/>
    </xf>
    <xf numFmtId="3" fontId="31" fillId="2" borderId="45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0" fontId="32" fillId="0" borderId="55" xfId="0" applyFont="1" applyFill="1" applyBorder="1"/>
    <xf numFmtId="0" fontId="32" fillId="0" borderId="56" xfId="0" applyFont="1" applyFill="1" applyBorder="1"/>
    <xf numFmtId="164" fontId="32" fillId="0" borderId="56" xfId="0" applyNumberFormat="1" applyFont="1" applyFill="1" applyBorder="1"/>
    <xf numFmtId="164" fontId="32" fillId="0" borderId="56" xfId="0" applyNumberFormat="1" applyFont="1" applyFill="1" applyBorder="1" applyAlignment="1">
      <alignment horizontal="right"/>
    </xf>
    <xf numFmtId="3" fontId="32" fillId="0" borderId="56" xfId="0" applyNumberFormat="1" applyFont="1" applyFill="1" applyBorder="1"/>
    <xf numFmtId="3" fontId="32" fillId="0" borderId="57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0" fontId="3" fillId="2" borderId="101" xfId="79" applyFont="1" applyFill="1" applyBorder="1" applyAlignment="1">
      <alignment horizontal="left"/>
    </xf>
    <xf numFmtId="3" fontId="3" fillId="2" borderId="72" xfId="80" applyNumberFormat="1" applyFont="1" applyFill="1" applyBorder="1"/>
    <xf numFmtId="3" fontId="3" fillId="2" borderId="73" xfId="80" applyNumberFormat="1" applyFont="1" applyFill="1" applyBorder="1"/>
    <xf numFmtId="9" fontId="3" fillId="2" borderId="71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2" fillId="0" borderId="56" xfId="0" applyNumberFormat="1" applyFont="1" applyFill="1" applyBorder="1"/>
    <xf numFmtId="9" fontId="32" fillId="0" borderId="57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0" fontId="39" fillId="0" borderId="84" xfId="0" applyFont="1" applyFill="1" applyBorder="1"/>
    <xf numFmtId="0" fontId="39" fillId="0" borderId="83" xfId="0" applyFont="1" applyFill="1" applyBorder="1" applyAlignment="1">
      <alignment horizontal="left" indent="1"/>
    </xf>
    <xf numFmtId="9" fontId="32" fillId="0" borderId="78" xfId="0" applyNumberFormat="1" applyFont="1" applyFill="1" applyBorder="1"/>
    <xf numFmtId="9" fontId="32" fillId="0" borderId="76" xfId="0" applyNumberFormat="1" applyFont="1" applyFill="1" applyBorder="1"/>
    <xf numFmtId="3" fontId="32" fillId="0" borderId="55" xfId="0" applyNumberFormat="1" applyFont="1" applyFill="1" applyBorder="1"/>
    <xf numFmtId="3" fontId="32" fillId="0" borderId="58" xfId="0" applyNumberFormat="1" applyFont="1" applyFill="1" applyBorder="1"/>
    <xf numFmtId="9" fontId="32" fillId="0" borderId="81" xfId="0" applyNumberFormat="1" applyFont="1" applyFill="1" applyBorder="1"/>
    <xf numFmtId="9" fontId="32" fillId="0" borderId="80" xfId="0" applyNumberFormat="1" applyFont="1" applyFill="1" applyBorder="1"/>
    <xf numFmtId="0" fontId="32" fillId="0" borderId="18" xfId="0" applyFont="1" applyFill="1" applyBorder="1"/>
    <xf numFmtId="0" fontId="32" fillId="0" borderId="26" xfId="0" applyFont="1" applyFill="1" applyBorder="1"/>
    <xf numFmtId="164" fontId="32" fillId="0" borderId="26" xfId="0" applyNumberFormat="1" applyFont="1" applyFill="1" applyBorder="1"/>
    <xf numFmtId="164" fontId="32" fillId="0" borderId="26" xfId="0" applyNumberFormat="1" applyFont="1" applyFill="1" applyBorder="1" applyAlignment="1">
      <alignment horizontal="right"/>
    </xf>
    <xf numFmtId="3" fontId="32" fillId="0" borderId="26" xfId="0" applyNumberFormat="1" applyFont="1" applyFill="1" applyBorder="1"/>
    <xf numFmtId="3" fontId="32" fillId="0" borderId="19" xfId="0" applyNumberFormat="1" applyFont="1" applyFill="1" applyBorder="1"/>
    <xf numFmtId="0" fontId="0" fillId="0" borderId="103" xfId="0" applyBorder="1" applyAlignment="1">
      <alignment horizontal="center"/>
    </xf>
    <xf numFmtId="0" fontId="0" fillId="0" borderId="104" xfId="0" applyBorder="1" applyAlignment="1">
      <alignment horizontal="center"/>
    </xf>
    <xf numFmtId="173" fontId="39" fillId="4" borderId="104" xfId="0" applyNumberFormat="1" applyFont="1" applyFill="1" applyBorder="1" applyAlignment="1">
      <alignment horizontal="center"/>
    </xf>
    <xf numFmtId="0" fontId="0" fillId="0" borderId="105" xfId="0" applyBorder="1"/>
    <xf numFmtId="0" fontId="0" fillId="0" borderId="106" xfId="0" applyBorder="1" applyAlignment="1">
      <alignment horizontal="right"/>
    </xf>
    <xf numFmtId="0" fontId="0" fillId="0" borderId="107" xfId="0" applyBorder="1" applyAlignment="1">
      <alignment horizontal="right"/>
    </xf>
    <xf numFmtId="173" fontId="32" fillId="0" borderId="107" xfId="0" applyNumberFormat="1" applyFont="1" applyBorder="1" applyAlignment="1">
      <alignment horizontal="right"/>
    </xf>
    <xf numFmtId="0" fontId="0" fillId="0" borderId="106" xfId="0" applyBorder="1" applyAlignment="1">
      <alignment horizontal="right" wrapText="1"/>
    </xf>
    <xf numFmtId="0" fontId="0" fillId="0" borderId="107" xfId="0" applyBorder="1" applyAlignment="1">
      <alignment horizontal="right" wrapText="1"/>
    </xf>
    <xf numFmtId="175" fontId="32" fillId="0" borderId="107" xfId="0" applyNumberFormat="1" applyFont="1" applyBorder="1" applyAlignment="1">
      <alignment horizontal="right"/>
    </xf>
    <xf numFmtId="0" fontId="0" fillId="0" borderId="108" xfId="0" applyBorder="1" applyAlignment="1">
      <alignment horizontal="right"/>
    </xf>
    <xf numFmtId="0" fontId="0" fillId="0" borderId="109" xfId="0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0" fontId="0" fillId="0" borderId="111" xfId="0" applyBorder="1"/>
    <xf numFmtId="0" fontId="0" fillId="0" borderId="110" xfId="0" applyBorder="1"/>
    <xf numFmtId="173" fontId="39" fillId="4" borderId="61" xfId="0" applyNumberFormat="1" applyFont="1" applyFill="1" applyBorder="1" applyAlignment="1">
      <alignment horizontal="center"/>
    </xf>
    <xf numFmtId="173" fontId="32" fillId="0" borderId="63" xfId="0" applyNumberFormat="1" applyFont="1" applyBorder="1" applyAlignment="1">
      <alignment horizontal="right"/>
    </xf>
    <xf numFmtId="173" fontId="32" fillId="0" borderId="63" xfId="0" applyNumberFormat="1" applyFont="1" applyBorder="1" applyAlignment="1">
      <alignment horizontal="right" wrapText="1"/>
    </xf>
    <xf numFmtId="175" fontId="32" fillId="0" borderId="63" xfId="0" applyNumberFormat="1" applyFont="1" applyBorder="1" applyAlignment="1">
      <alignment horizontal="right"/>
    </xf>
    <xf numFmtId="173" fontId="32" fillId="0" borderId="74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58" t="s">
        <v>63</v>
      </c>
      <c r="B1" s="258"/>
    </row>
    <row r="2" spans="1:3" ht="14.4" customHeight="1" thickBot="1" x14ac:dyDescent="0.35">
      <c r="A2" s="174" t="s">
        <v>174</v>
      </c>
      <c r="B2" s="41"/>
    </row>
    <row r="3" spans="1:3" ht="14.4" customHeight="1" thickBot="1" x14ac:dyDescent="0.35">
      <c r="A3" s="254" t="s">
        <v>79</v>
      </c>
      <c r="B3" s="255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176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6" t="s">
        <v>64</v>
      </c>
      <c r="B9" s="255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93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7" t="s">
        <v>135</v>
      </c>
      <c r="C12" s="42" t="s">
        <v>145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330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57" t="s">
        <v>65</v>
      </c>
      <c r="B17" s="255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294" t="s">
        <v>330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4.4" customHeight="1" thickBot="1" x14ac:dyDescent="0.35">
      <c r="A2" s="174" t="s">
        <v>174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290"/>
      <c r="D3" s="291"/>
      <c r="E3" s="291"/>
      <c r="F3" s="291"/>
      <c r="G3" s="291"/>
      <c r="H3" s="108" t="s">
        <v>75</v>
      </c>
      <c r="I3" s="71">
        <f>IF(J3&lt;&gt;0,K3/J3,0)</f>
        <v>0.71</v>
      </c>
      <c r="J3" s="71">
        <f>SUBTOTAL(9,J5:J1048576)</f>
        <v>3800</v>
      </c>
      <c r="K3" s="72">
        <f>SUBTOTAL(9,K5:K1048576)</f>
        <v>2698</v>
      </c>
    </row>
    <row r="4" spans="1:11" s="163" customFormat="1" ht="14.4" customHeight="1" thickBot="1" x14ac:dyDescent="0.35">
      <c r="A4" s="338" t="s">
        <v>3</v>
      </c>
      <c r="B4" s="339" t="s">
        <v>4</v>
      </c>
      <c r="C4" s="339" t="s">
        <v>0</v>
      </c>
      <c r="D4" s="339" t="s">
        <v>5</v>
      </c>
      <c r="E4" s="339" t="s">
        <v>6</v>
      </c>
      <c r="F4" s="339" t="s">
        <v>1</v>
      </c>
      <c r="G4" s="339" t="s">
        <v>54</v>
      </c>
      <c r="H4" s="340" t="s">
        <v>10</v>
      </c>
      <c r="I4" s="341" t="s">
        <v>81</v>
      </c>
      <c r="J4" s="341" t="s">
        <v>12</v>
      </c>
      <c r="K4" s="342" t="s">
        <v>89</v>
      </c>
    </row>
    <row r="5" spans="1:11" ht="14.4" customHeight="1" thickBot="1" x14ac:dyDescent="0.35">
      <c r="A5" s="379" t="s">
        <v>293</v>
      </c>
      <c r="B5" s="380" t="s">
        <v>294</v>
      </c>
      <c r="C5" s="381" t="s">
        <v>298</v>
      </c>
      <c r="D5" s="382" t="s">
        <v>319</v>
      </c>
      <c r="E5" s="381" t="s">
        <v>328</v>
      </c>
      <c r="F5" s="382" t="s">
        <v>329</v>
      </c>
      <c r="G5" s="381" t="s">
        <v>326</v>
      </c>
      <c r="H5" s="381" t="s">
        <v>327</v>
      </c>
      <c r="I5" s="383">
        <v>0.71</v>
      </c>
      <c r="J5" s="383">
        <v>3800</v>
      </c>
      <c r="K5" s="384">
        <v>2698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6" width="13.109375" customWidth="1"/>
    <col min="7" max="7" width="13.109375" hidden="1" customWidth="1"/>
  </cols>
  <sheetData>
    <row r="1" spans="1:46" ht="18.600000000000001" thickBot="1" x14ac:dyDescent="0.4">
      <c r="A1" s="304" t="s">
        <v>61</v>
      </c>
      <c r="B1" s="289"/>
      <c r="C1" s="289"/>
      <c r="D1" s="289"/>
      <c r="E1" s="289"/>
      <c r="F1" s="289"/>
      <c r="G1" s="289"/>
    </row>
    <row r="2" spans="1:46" ht="15" thickBot="1" x14ac:dyDescent="0.35">
      <c r="A2" s="174" t="s">
        <v>174</v>
      </c>
      <c r="B2" s="175"/>
      <c r="C2" s="175"/>
      <c r="D2" s="175"/>
      <c r="E2" s="175"/>
    </row>
    <row r="3" spans="1:46" x14ac:dyDescent="0.3">
      <c r="A3" s="193" t="s">
        <v>124</v>
      </c>
      <c r="B3" s="302" t="s">
        <v>108</v>
      </c>
      <c r="C3" s="196">
        <v>302</v>
      </c>
      <c r="D3" s="196">
        <v>303</v>
      </c>
      <c r="E3" s="176">
        <v>629</v>
      </c>
      <c r="F3" s="176">
        <v>642</v>
      </c>
      <c r="G3" s="177">
        <v>930</v>
      </c>
      <c r="AT3" s="399"/>
    </row>
    <row r="4" spans="1:46" ht="24.6" outlineLevel="1" thickBot="1" x14ac:dyDescent="0.35">
      <c r="A4" s="194">
        <v>2016</v>
      </c>
      <c r="B4" s="303"/>
      <c r="C4" s="197" t="s">
        <v>148</v>
      </c>
      <c r="D4" s="197" t="s">
        <v>149</v>
      </c>
      <c r="E4" s="178" t="s">
        <v>132</v>
      </c>
      <c r="F4" s="178" t="s">
        <v>133</v>
      </c>
      <c r="G4" s="179" t="s">
        <v>126</v>
      </c>
      <c r="AT4" s="399"/>
    </row>
    <row r="5" spans="1:46" x14ac:dyDescent="0.3">
      <c r="A5" s="180" t="s">
        <v>109</v>
      </c>
      <c r="B5" s="216"/>
      <c r="C5" s="217"/>
      <c r="D5" s="217"/>
      <c r="E5" s="217"/>
      <c r="F5" s="217"/>
      <c r="G5" s="218"/>
      <c r="AT5" s="399"/>
    </row>
    <row r="6" spans="1:46" ht="15" collapsed="1" thickBot="1" x14ac:dyDescent="0.35">
      <c r="A6" s="181" t="s">
        <v>55</v>
      </c>
      <c r="B6" s="219">
        <f xml:space="preserve">
TRUNC(IF($A$4&lt;=12,SUMIFS('ON Data'!F:F,'ON Data'!$D:$D,$A$4,'ON Data'!$E:$E,1),SUMIFS('ON Data'!F:F,'ON Data'!$E:$E,1)/'ON Data'!$D$3),1)</f>
        <v>32.200000000000003</v>
      </c>
      <c r="C6" s="220">
        <f xml:space="preserve">
TRUNC(IF($A$4&lt;=12,SUMIFS('ON Data'!O:O,'ON Data'!$D:$D,$A$4,'ON Data'!$E:$E,1),SUMIFS('ON Data'!O:O,'ON Data'!$E:$E,1)/'ON Data'!$D$3),1)</f>
        <v>0</v>
      </c>
      <c r="D6" s="220">
        <f xml:space="preserve">
TRUNC(IF($A$4&lt;=12,SUMIFS('ON Data'!P:P,'ON Data'!$D:$D,$A$4,'ON Data'!$E:$E,1),SUMIFS('ON Data'!P:P,'ON Data'!$E:$E,1)/'ON Data'!$D$3),1)</f>
        <v>15.2</v>
      </c>
      <c r="E6" s="220">
        <f xml:space="preserve">
TRUNC(IF($A$4&lt;=12,SUMIFS('ON Data'!AM:AM,'ON Data'!$D:$D,$A$4,'ON Data'!$E:$E,1),SUMIFS('ON Data'!AM:AM,'ON Data'!$E:$E,1)/'ON Data'!$D$3),1)</f>
        <v>5</v>
      </c>
      <c r="F6" s="220">
        <f xml:space="preserve">
TRUNC(IF($A$4&lt;=12,SUMIFS('ON Data'!AR:AR,'ON Data'!$D:$D,$A$4,'ON Data'!$E:$E,1),SUMIFS('ON Data'!AR:AR,'ON Data'!$E:$E,1)/'ON Data'!$D$3),1)</f>
        <v>12</v>
      </c>
      <c r="G6" s="221">
        <f xml:space="preserve">
TRUNC(IF($A$4&lt;=12,SUMIFS('ON Data'!AW:AW,'ON Data'!$D:$D,$A$4,'ON Data'!$E:$E,1),SUMIFS('ON Data'!AW:AW,'ON Data'!$E:$E,1)/'ON Data'!$D$3),1)</f>
        <v>0</v>
      </c>
      <c r="AT6" s="399"/>
    </row>
    <row r="7" spans="1:46" ht="15" hidden="1" outlineLevel="1" thickBot="1" x14ac:dyDescent="0.35">
      <c r="A7" s="181" t="s">
        <v>62</v>
      </c>
      <c r="B7" s="219"/>
      <c r="C7" s="220"/>
      <c r="D7" s="220"/>
      <c r="E7" s="220"/>
      <c r="F7" s="220"/>
      <c r="G7" s="221"/>
      <c r="AT7" s="399"/>
    </row>
    <row r="8" spans="1:46" ht="15" hidden="1" outlineLevel="1" thickBot="1" x14ac:dyDescent="0.35">
      <c r="A8" s="181" t="s">
        <v>57</v>
      </c>
      <c r="B8" s="219"/>
      <c r="C8" s="220"/>
      <c r="D8" s="220"/>
      <c r="E8" s="220"/>
      <c r="F8" s="220"/>
      <c r="G8" s="221"/>
      <c r="AT8" s="399"/>
    </row>
    <row r="9" spans="1:46" ht="15" hidden="1" outlineLevel="1" thickBot="1" x14ac:dyDescent="0.35">
      <c r="A9" s="182" t="s">
        <v>52</v>
      </c>
      <c r="B9" s="222"/>
      <c r="C9" s="223"/>
      <c r="D9" s="223"/>
      <c r="E9" s="223"/>
      <c r="F9" s="223"/>
      <c r="G9" s="224"/>
      <c r="AT9" s="399"/>
    </row>
    <row r="10" spans="1:46" x14ac:dyDescent="0.3">
      <c r="A10" s="183" t="s">
        <v>110</v>
      </c>
      <c r="B10" s="198"/>
      <c r="C10" s="199"/>
      <c r="D10" s="199"/>
      <c r="E10" s="199"/>
      <c r="F10" s="199"/>
      <c r="G10" s="200"/>
      <c r="AT10" s="399"/>
    </row>
    <row r="11" spans="1:46" x14ac:dyDescent="0.3">
      <c r="A11" s="184" t="s">
        <v>111</v>
      </c>
      <c r="B11" s="201">
        <f xml:space="preserve">
IF($A$4&lt;=12,SUMIFS('ON Data'!F:F,'ON Data'!$D:$D,$A$4,'ON Data'!$E:$E,2),SUMIFS('ON Data'!F:F,'ON Data'!$E:$E,2))</f>
        <v>14376.25</v>
      </c>
      <c r="C11" s="202">
        <f xml:space="preserve">
IF($A$4&lt;=12,SUMIFS('ON Data'!O:O,'ON Data'!$D:$D,$A$4,'ON Data'!$E:$E,2),SUMIFS('ON Data'!O:O,'ON Data'!$E:$E,2))</f>
        <v>0</v>
      </c>
      <c r="D11" s="202">
        <f xml:space="preserve">
IF($A$4&lt;=12,SUMIFS('ON Data'!P:P,'ON Data'!$D:$D,$A$4,'ON Data'!$E:$E,2),SUMIFS('ON Data'!P:P,'ON Data'!$E:$E,2))</f>
        <v>6633</v>
      </c>
      <c r="E11" s="202">
        <f xml:space="preserve">
IF($A$4&lt;=12,SUMIFS('ON Data'!AM:AM,'ON Data'!$D:$D,$A$4,'ON Data'!$E:$E,2),SUMIFS('ON Data'!AM:AM,'ON Data'!$E:$E,2))</f>
        <v>2120.5</v>
      </c>
      <c r="F11" s="202">
        <f xml:space="preserve">
IF($A$4&lt;=12,SUMIFS('ON Data'!AR:AR,'ON Data'!$D:$D,$A$4,'ON Data'!$E:$E,2),SUMIFS('ON Data'!AR:AR,'ON Data'!$E:$E,2))</f>
        <v>5622.75</v>
      </c>
      <c r="G11" s="203">
        <f xml:space="preserve">
IF($A$4&lt;=12,SUMIFS('ON Data'!AW:AW,'ON Data'!$D:$D,$A$4,'ON Data'!$E:$E,2),SUMIFS('ON Data'!AW:AW,'ON Data'!$E:$E,2))</f>
        <v>0</v>
      </c>
      <c r="AT11" s="399"/>
    </row>
    <row r="12" spans="1:46" x14ac:dyDescent="0.3">
      <c r="A12" s="184" t="s">
        <v>112</v>
      </c>
      <c r="B12" s="201">
        <f xml:space="preserve">
IF($A$4&lt;=12,SUMIFS('ON Data'!F:F,'ON Data'!$D:$D,$A$4,'ON Data'!$E:$E,3),SUMIFS('ON Data'!F:F,'ON Data'!$E:$E,3))</f>
        <v>0</v>
      </c>
      <c r="C12" s="202">
        <f xml:space="preserve">
IF($A$4&lt;=12,SUMIFS('ON Data'!O:O,'ON Data'!$D:$D,$A$4,'ON Data'!$E:$E,3),SUMIFS('ON Data'!O:O,'ON Data'!$E:$E,3))</f>
        <v>0</v>
      </c>
      <c r="D12" s="202">
        <f xml:space="preserve">
IF($A$4&lt;=12,SUMIFS('ON Data'!P:P,'ON Data'!$D:$D,$A$4,'ON Data'!$E:$E,3),SUMIFS('ON Data'!P:P,'ON Data'!$E:$E,3))</f>
        <v>0</v>
      </c>
      <c r="E12" s="202">
        <f xml:space="preserve">
IF($A$4&lt;=12,SUMIFS('ON Data'!AM:AM,'ON Data'!$D:$D,$A$4,'ON Data'!$E:$E,3),SUMIFS('ON Data'!AM:AM,'ON Data'!$E:$E,3))</f>
        <v>0</v>
      </c>
      <c r="F12" s="202">
        <f xml:space="preserve">
IF($A$4&lt;=12,SUMIFS('ON Data'!AR:AR,'ON Data'!$D:$D,$A$4,'ON Data'!$E:$E,3),SUMIFS('ON Data'!AR:AR,'ON Data'!$E:$E,3))</f>
        <v>0</v>
      </c>
      <c r="G12" s="203">
        <f xml:space="preserve">
IF($A$4&lt;=12,SUMIFS('ON Data'!AW:AW,'ON Data'!$D:$D,$A$4,'ON Data'!$E:$E,3),SUMIFS('ON Data'!AW:AW,'ON Data'!$E:$E,3))</f>
        <v>0</v>
      </c>
      <c r="AT12" s="399"/>
    </row>
    <row r="13" spans="1:46" x14ac:dyDescent="0.3">
      <c r="A13" s="184" t="s">
        <v>119</v>
      </c>
      <c r="B13" s="201">
        <f xml:space="preserve">
IF($A$4&lt;=12,SUMIFS('ON Data'!F:F,'ON Data'!$D:$D,$A$4,'ON Data'!$E:$E,4),SUMIFS('ON Data'!F:F,'ON Data'!$E:$E,4))</f>
        <v>0</v>
      </c>
      <c r="C13" s="202">
        <f xml:space="preserve">
IF($A$4&lt;=12,SUMIFS('ON Data'!O:O,'ON Data'!$D:$D,$A$4,'ON Data'!$E:$E,4),SUMIFS('ON Data'!O:O,'ON Data'!$E:$E,4))</f>
        <v>0</v>
      </c>
      <c r="D13" s="202">
        <f xml:space="preserve">
IF($A$4&lt;=12,SUMIFS('ON Data'!P:P,'ON Data'!$D:$D,$A$4,'ON Data'!$E:$E,4),SUMIFS('ON Data'!P:P,'ON Data'!$E:$E,4))</f>
        <v>0</v>
      </c>
      <c r="E13" s="202">
        <f xml:space="preserve">
IF($A$4&lt;=12,SUMIFS('ON Data'!AM:AM,'ON Data'!$D:$D,$A$4,'ON Data'!$E:$E,4),SUMIFS('ON Data'!AM:AM,'ON Data'!$E:$E,4))</f>
        <v>0</v>
      </c>
      <c r="F13" s="202">
        <f xml:space="preserve">
IF($A$4&lt;=12,SUMIFS('ON Data'!AR:AR,'ON Data'!$D:$D,$A$4,'ON Data'!$E:$E,4),SUMIFS('ON Data'!AR:AR,'ON Data'!$E:$E,4))</f>
        <v>0</v>
      </c>
      <c r="G13" s="203">
        <f xml:space="preserve">
IF($A$4&lt;=12,SUMIFS('ON Data'!AW:AW,'ON Data'!$D:$D,$A$4,'ON Data'!$E:$E,4),SUMIFS('ON Data'!AW:AW,'ON Data'!$E:$E,4))</f>
        <v>0</v>
      </c>
      <c r="AT13" s="399"/>
    </row>
    <row r="14" spans="1:46" ht="15" thickBot="1" x14ac:dyDescent="0.35">
      <c r="A14" s="185" t="s">
        <v>113</v>
      </c>
      <c r="B14" s="204">
        <f xml:space="preserve">
IF($A$4&lt;=12,SUMIFS('ON Data'!F:F,'ON Data'!$D:$D,$A$4,'ON Data'!$E:$E,5),SUMIFS('ON Data'!F:F,'ON Data'!$E:$E,5))</f>
        <v>0</v>
      </c>
      <c r="C14" s="205">
        <f xml:space="preserve">
IF($A$4&lt;=12,SUMIFS('ON Data'!O:O,'ON Data'!$D:$D,$A$4,'ON Data'!$E:$E,5),SUMIFS('ON Data'!O:O,'ON Data'!$E:$E,5))</f>
        <v>0</v>
      </c>
      <c r="D14" s="205">
        <f xml:space="preserve">
IF($A$4&lt;=12,SUMIFS('ON Data'!P:P,'ON Data'!$D:$D,$A$4,'ON Data'!$E:$E,5),SUMIFS('ON Data'!P:P,'ON Data'!$E:$E,5))</f>
        <v>0</v>
      </c>
      <c r="E14" s="205">
        <f xml:space="preserve">
IF($A$4&lt;=12,SUMIFS('ON Data'!AM:AM,'ON Data'!$D:$D,$A$4,'ON Data'!$E:$E,5),SUMIFS('ON Data'!AM:AM,'ON Data'!$E:$E,5))</f>
        <v>0</v>
      </c>
      <c r="F14" s="205">
        <f xml:space="preserve">
IF($A$4&lt;=12,SUMIFS('ON Data'!AR:AR,'ON Data'!$D:$D,$A$4,'ON Data'!$E:$E,5),SUMIFS('ON Data'!AR:AR,'ON Data'!$E:$E,5))</f>
        <v>0</v>
      </c>
      <c r="G14" s="206">
        <f xml:space="preserve">
IF($A$4&lt;=12,SUMIFS('ON Data'!AW:AW,'ON Data'!$D:$D,$A$4,'ON Data'!$E:$E,5),SUMIFS('ON Data'!AW:AW,'ON Data'!$E:$E,5))</f>
        <v>0</v>
      </c>
      <c r="AT14" s="399"/>
    </row>
    <row r="15" spans="1:46" x14ac:dyDescent="0.3">
      <c r="A15" s="126" t="s">
        <v>123</v>
      </c>
      <c r="B15" s="207"/>
      <c r="C15" s="208"/>
      <c r="D15" s="208"/>
      <c r="E15" s="208"/>
      <c r="F15" s="208"/>
      <c r="G15" s="209"/>
      <c r="AT15" s="399"/>
    </row>
    <row r="16" spans="1:46" x14ac:dyDescent="0.3">
      <c r="A16" s="186" t="s">
        <v>114</v>
      </c>
      <c r="B16" s="201">
        <f xml:space="preserve">
IF($A$4&lt;=12,SUMIFS('ON Data'!F:F,'ON Data'!$D:$D,$A$4,'ON Data'!$E:$E,7),SUMIFS('ON Data'!F:F,'ON Data'!$E:$E,7))</f>
        <v>0</v>
      </c>
      <c r="C16" s="202">
        <f xml:space="preserve">
IF($A$4&lt;=12,SUMIFS('ON Data'!O:O,'ON Data'!$D:$D,$A$4,'ON Data'!$E:$E,7),SUMIFS('ON Data'!O:O,'ON Data'!$E:$E,7))</f>
        <v>0</v>
      </c>
      <c r="D16" s="202">
        <f xml:space="preserve">
IF($A$4&lt;=12,SUMIFS('ON Data'!P:P,'ON Data'!$D:$D,$A$4,'ON Data'!$E:$E,7),SUMIFS('ON Data'!P:P,'ON Data'!$E:$E,7))</f>
        <v>0</v>
      </c>
      <c r="E16" s="202">
        <f xml:space="preserve">
IF($A$4&lt;=12,SUMIFS('ON Data'!AM:AM,'ON Data'!$D:$D,$A$4,'ON Data'!$E:$E,7),SUMIFS('ON Data'!AM:AM,'ON Data'!$E:$E,7))</f>
        <v>0</v>
      </c>
      <c r="F16" s="202">
        <f xml:space="preserve">
IF($A$4&lt;=12,SUMIFS('ON Data'!AR:AR,'ON Data'!$D:$D,$A$4,'ON Data'!$E:$E,7),SUMIFS('ON Data'!AR:AR,'ON Data'!$E:$E,7))</f>
        <v>0</v>
      </c>
      <c r="G16" s="203">
        <f xml:space="preserve">
IF($A$4&lt;=12,SUMIFS('ON Data'!AW:AW,'ON Data'!$D:$D,$A$4,'ON Data'!$E:$E,7),SUMIFS('ON Data'!AW:AW,'ON Data'!$E:$E,7))</f>
        <v>0</v>
      </c>
      <c r="AT16" s="399"/>
    </row>
    <row r="17" spans="1:46" x14ac:dyDescent="0.3">
      <c r="A17" s="186" t="s">
        <v>115</v>
      </c>
      <c r="B17" s="201">
        <f xml:space="preserve">
IF($A$4&lt;=12,SUMIFS('ON Data'!F:F,'ON Data'!$D:$D,$A$4,'ON Data'!$E:$E,8),SUMIFS('ON Data'!F:F,'ON Data'!$E:$E,8))</f>
        <v>0</v>
      </c>
      <c r="C17" s="202">
        <f xml:space="preserve">
IF($A$4&lt;=12,SUMIFS('ON Data'!O:O,'ON Data'!$D:$D,$A$4,'ON Data'!$E:$E,8),SUMIFS('ON Data'!O:O,'ON Data'!$E:$E,8))</f>
        <v>0</v>
      </c>
      <c r="D17" s="202">
        <f xml:space="preserve">
IF($A$4&lt;=12,SUMIFS('ON Data'!P:P,'ON Data'!$D:$D,$A$4,'ON Data'!$E:$E,8),SUMIFS('ON Data'!P:P,'ON Data'!$E:$E,8))</f>
        <v>0</v>
      </c>
      <c r="E17" s="202">
        <f xml:space="preserve">
IF($A$4&lt;=12,SUMIFS('ON Data'!AM:AM,'ON Data'!$D:$D,$A$4,'ON Data'!$E:$E,8),SUMIFS('ON Data'!AM:AM,'ON Data'!$E:$E,8))</f>
        <v>0</v>
      </c>
      <c r="F17" s="202">
        <f xml:space="preserve">
IF($A$4&lt;=12,SUMIFS('ON Data'!AR:AR,'ON Data'!$D:$D,$A$4,'ON Data'!$E:$E,8),SUMIFS('ON Data'!AR:AR,'ON Data'!$E:$E,8))</f>
        <v>0</v>
      </c>
      <c r="G17" s="203">
        <f xml:space="preserve">
IF($A$4&lt;=12,SUMIFS('ON Data'!AW:AW,'ON Data'!$D:$D,$A$4,'ON Data'!$E:$E,8),SUMIFS('ON Data'!AW:AW,'ON Data'!$E:$E,8))</f>
        <v>0</v>
      </c>
      <c r="AT17" s="399"/>
    </row>
    <row r="18" spans="1:46" x14ac:dyDescent="0.3">
      <c r="A18" s="186" t="s">
        <v>116</v>
      </c>
      <c r="B18" s="201">
        <f xml:space="preserve">
B19-B16-B17</f>
        <v>31800</v>
      </c>
      <c r="C18" s="202">
        <f t="shared" ref="C18:E18" si="0" xml:space="preserve">
C19-C16-C17</f>
        <v>0</v>
      </c>
      <c r="D18" s="202">
        <f t="shared" si="0"/>
        <v>21800</v>
      </c>
      <c r="E18" s="202">
        <f t="shared" si="0"/>
        <v>8000</v>
      </c>
      <c r="F18" s="202">
        <f t="shared" ref="F18:G18" si="1" xml:space="preserve">
F19-F16-F17</f>
        <v>2000</v>
      </c>
      <c r="G18" s="203">
        <f t="shared" si="1"/>
        <v>0</v>
      </c>
      <c r="AT18" s="399"/>
    </row>
    <row r="19" spans="1:46" ht="15" thickBot="1" x14ac:dyDescent="0.35">
      <c r="A19" s="187" t="s">
        <v>117</v>
      </c>
      <c r="B19" s="210">
        <f xml:space="preserve">
IF($A$4&lt;=12,SUMIFS('ON Data'!F:F,'ON Data'!$D:$D,$A$4,'ON Data'!$E:$E,9),SUMIFS('ON Data'!F:F,'ON Data'!$E:$E,9))</f>
        <v>31800</v>
      </c>
      <c r="C19" s="211">
        <f xml:space="preserve">
IF($A$4&lt;=12,SUMIFS('ON Data'!O:O,'ON Data'!$D:$D,$A$4,'ON Data'!$E:$E,9),SUMIFS('ON Data'!O:O,'ON Data'!$E:$E,9))</f>
        <v>0</v>
      </c>
      <c r="D19" s="211">
        <f xml:space="preserve">
IF($A$4&lt;=12,SUMIFS('ON Data'!P:P,'ON Data'!$D:$D,$A$4,'ON Data'!$E:$E,9),SUMIFS('ON Data'!P:P,'ON Data'!$E:$E,9))</f>
        <v>21800</v>
      </c>
      <c r="E19" s="211">
        <f xml:space="preserve">
IF($A$4&lt;=12,SUMIFS('ON Data'!AM:AM,'ON Data'!$D:$D,$A$4,'ON Data'!$E:$E,9),SUMIFS('ON Data'!AM:AM,'ON Data'!$E:$E,9))</f>
        <v>8000</v>
      </c>
      <c r="F19" s="211">
        <f xml:space="preserve">
IF($A$4&lt;=12,SUMIFS('ON Data'!AR:AR,'ON Data'!$D:$D,$A$4,'ON Data'!$E:$E,9),SUMIFS('ON Data'!AR:AR,'ON Data'!$E:$E,9))</f>
        <v>2000</v>
      </c>
      <c r="G19" s="212">
        <f xml:space="preserve">
IF($A$4&lt;=12,SUMIFS('ON Data'!AW:AW,'ON Data'!$D:$D,$A$4,'ON Data'!$E:$E,9),SUMIFS('ON Data'!AW:AW,'ON Data'!$E:$E,9))</f>
        <v>0</v>
      </c>
      <c r="AT19" s="399"/>
    </row>
    <row r="20" spans="1:46" ht="15" collapsed="1" thickBot="1" x14ac:dyDescent="0.35">
      <c r="A20" s="188" t="s">
        <v>55</v>
      </c>
      <c r="B20" s="213">
        <f xml:space="preserve">
IF($A$4&lt;=12,SUMIFS('ON Data'!F:F,'ON Data'!$D:$D,$A$4,'ON Data'!$E:$E,6),SUMIFS('ON Data'!F:F,'ON Data'!$E:$E,6))</f>
        <v>2178374</v>
      </c>
      <c r="C20" s="214">
        <f xml:space="preserve">
IF($A$4&lt;=12,SUMIFS('ON Data'!O:O,'ON Data'!$D:$D,$A$4,'ON Data'!$E:$E,6),SUMIFS('ON Data'!O:O,'ON Data'!$E:$E,6))</f>
        <v>0</v>
      </c>
      <c r="D20" s="214">
        <f xml:space="preserve">
IF($A$4&lt;=12,SUMIFS('ON Data'!P:P,'ON Data'!$D:$D,$A$4,'ON Data'!$E:$E,6),SUMIFS('ON Data'!P:P,'ON Data'!$E:$E,6))</f>
        <v>1281883</v>
      </c>
      <c r="E20" s="214">
        <f xml:space="preserve">
IF($A$4&lt;=12,SUMIFS('ON Data'!AM:AM,'ON Data'!$D:$D,$A$4,'ON Data'!$E:$E,6),SUMIFS('ON Data'!AM:AM,'ON Data'!$E:$E,6))</f>
        <v>280722</v>
      </c>
      <c r="F20" s="214">
        <f xml:space="preserve">
IF($A$4&lt;=12,SUMIFS('ON Data'!AR:AR,'ON Data'!$D:$D,$A$4,'ON Data'!$E:$E,6),SUMIFS('ON Data'!AR:AR,'ON Data'!$E:$E,6))</f>
        <v>615769</v>
      </c>
      <c r="G20" s="215">
        <f xml:space="preserve">
IF($A$4&lt;=12,SUMIFS('ON Data'!AW:AW,'ON Data'!$D:$D,$A$4,'ON Data'!$E:$E,6),SUMIFS('ON Data'!AW:AW,'ON Data'!$E:$E,6))</f>
        <v>0</v>
      </c>
      <c r="AT20" s="399"/>
    </row>
    <row r="21" spans="1:46" ht="15" hidden="1" outlineLevel="1" thickBot="1" x14ac:dyDescent="0.35">
      <c r="A21" s="181" t="s">
        <v>62</v>
      </c>
      <c r="B21" s="201">
        <f xml:space="preserve">
IF($A$4&lt;=12,SUMIFS('ON Data'!F:F,'ON Data'!$D:$D,$A$4,'ON Data'!$E:$E,12),SUMIFS('ON Data'!F:F,'ON Data'!$E:$E,12))</f>
        <v>0</v>
      </c>
      <c r="C21" s="202">
        <f xml:space="preserve">
IF($A$4&lt;=12,SUMIFS('ON Data'!O:O,'ON Data'!$D:$D,$A$4,'ON Data'!$E:$E,12),SUMIFS('ON Data'!O:O,'ON Data'!$E:$E,12))</f>
        <v>0</v>
      </c>
      <c r="D21" s="202">
        <f xml:space="preserve">
IF($A$4&lt;=12,SUMIFS('ON Data'!P:P,'ON Data'!$D:$D,$A$4,'ON Data'!$E:$E,12),SUMIFS('ON Data'!P:P,'ON Data'!$E:$E,12))</f>
        <v>0</v>
      </c>
      <c r="E21" s="202">
        <f xml:space="preserve">
IF($A$4&lt;=12,SUMIFS('ON Data'!AM:AM,'ON Data'!$D:$D,$A$4,'ON Data'!$E:$E,12),SUMIFS('ON Data'!AM:AM,'ON Data'!$E:$E,12))</f>
        <v>0</v>
      </c>
      <c r="AT21" s="399"/>
    </row>
    <row r="22" spans="1:46" ht="15" hidden="1" outlineLevel="1" thickBot="1" x14ac:dyDescent="0.35">
      <c r="A22" s="181" t="s">
        <v>57</v>
      </c>
      <c r="B22" s="252" t="str">
        <f xml:space="preserve">
IF(OR(B21="",B21=0),"",B20/B21)</f>
        <v/>
      </c>
      <c r="C22" s="253" t="str">
        <f t="shared" ref="C22:E22" si="2" xml:space="preserve">
IF(OR(C21="",C21=0),"",C20/C21)</f>
        <v/>
      </c>
      <c r="D22" s="253" t="str">
        <f t="shared" si="2"/>
        <v/>
      </c>
      <c r="E22" s="253" t="str">
        <f t="shared" si="2"/>
        <v/>
      </c>
      <c r="AT22" s="399"/>
    </row>
    <row r="23" spans="1:46" ht="15" hidden="1" outlineLevel="1" thickBot="1" x14ac:dyDescent="0.35">
      <c r="A23" s="189" t="s">
        <v>52</v>
      </c>
      <c r="B23" s="204">
        <f xml:space="preserve">
IF(B21="","",B20-B21)</f>
        <v>2178374</v>
      </c>
      <c r="C23" s="205">
        <f t="shared" ref="C23:E23" si="3" xml:space="preserve">
IF(C21="","",C20-C21)</f>
        <v>0</v>
      </c>
      <c r="D23" s="205">
        <f t="shared" si="3"/>
        <v>1281883</v>
      </c>
      <c r="E23" s="205">
        <f t="shared" si="3"/>
        <v>280722</v>
      </c>
      <c r="AT23" s="399"/>
    </row>
    <row r="24" spans="1:46" x14ac:dyDescent="0.3">
      <c r="A24" s="183" t="s">
        <v>118</v>
      </c>
      <c r="B24" s="229" t="s">
        <v>2</v>
      </c>
      <c r="C24" s="400" t="s">
        <v>129</v>
      </c>
      <c r="D24" s="385"/>
      <c r="E24" s="386"/>
      <c r="F24" s="386"/>
      <c r="G24" s="387" t="s">
        <v>130</v>
      </c>
      <c r="H24" s="388"/>
      <c r="I24" s="388"/>
      <c r="J24" s="388"/>
      <c r="K24" s="388"/>
      <c r="L24" s="388"/>
      <c r="M24" s="388"/>
      <c r="N24" s="388"/>
      <c r="O24" s="388"/>
      <c r="P24" s="388"/>
      <c r="Q24" s="388"/>
      <c r="R24" s="388"/>
      <c r="S24" s="388"/>
      <c r="T24" s="388"/>
      <c r="U24" s="388"/>
      <c r="V24" s="388"/>
      <c r="W24" s="388"/>
      <c r="X24" s="388"/>
      <c r="Y24" s="388"/>
      <c r="Z24" s="388"/>
      <c r="AA24" s="388"/>
      <c r="AB24" s="388"/>
      <c r="AC24" s="388"/>
      <c r="AD24" s="388"/>
      <c r="AE24" s="388"/>
      <c r="AF24" s="388"/>
      <c r="AG24" s="388"/>
      <c r="AH24" s="388"/>
      <c r="AI24" s="388"/>
      <c r="AJ24" s="388"/>
      <c r="AK24" s="388"/>
      <c r="AL24" s="388"/>
      <c r="AM24" s="388"/>
      <c r="AN24" s="388"/>
      <c r="AO24" s="388"/>
      <c r="AP24" s="388"/>
      <c r="AQ24" s="388"/>
      <c r="AR24" s="388"/>
      <c r="AS24" s="398"/>
      <c r="AT24" s="399"/>
    </row>
    <row r="25" spans="1:46" x14ac:dyDescent="0.3">
      <c r="A25" s="184" t="s">
        <v>55</v>
      </c>
      <c r="B25" s="201">
        <f xml:space="preserve">
SUM(C25:G25)</f>
        <v>0</v>
      </c>
      <c r="C25" s="401">
        <f xml:space="preserve">
IF($A$4&lt;=12,SUMIFS('ON Data'!O:O,'ON Data'!$D:$D,$A$4,'ON Data'!$E:$E,10),SUMIFS('ON Data'!O:O,'ON Data'!$E:$E,10))</f>
        <v>0</v>
      </c>
      <c r="D25" s="389"/>
      <c r="E25" s="390"/>
      <c r="F25" s="390"/>
      <c r="G25" s="391">
        <f xml:space="preserve">
IF($A$4&lt;=12,SUMIFS('ON Data'!AW:AW,'ON Data'!$D:$D,$A$4,'ON Data'!$E:$E,10),SUMIFS('ON Data'!AW:AW,'ON Data'!$E:$E,10))</f>
        <v>0</v>
      </c>
      <c r="H25" s="388"/>
      <c r="I25" s="388"/>
      <c r="J25" s="388"/>
      <c r="K25" s="388"/>
      <c r="L25" s="388"/>
      <c r="M25" s="388"/>
      <c r="N25" s="388"/>
      <c r="O25" s="388"/>
      <c r="P25" s="388"/>
      <c r="Q25" s="388"/>
      <c r="R25" s="388"/>
      <c r="S25" s="388"/>
      <c r="T25" s="388"/>
      <c r="U25" s="388"/>
      <c r="V25" s="388"/>
      <c r="W25" s="388"/>
      <c r="X25" s="388"/>
      <c r="Y25" s="388"/>
      <c r="Z25" s="388"/>
      <c r="AA25" s="388"/>
      <c r="AB25" s="388"/>
      <c r="AC25" s="388"/>
      <c r="AD25" s="388"/>
      <c r="AE25" s="388"/>
      <c r="AF25" s="388"/>
      <c r="AG25" s="388"/>
      <c r="AH25" s="388"/>
      <c r="AI25" s="388"/>
      <c r="AJ25" s="388"/>
      <c r="AK25" s="388"/>
      <c r="AL25" s="388"/>
      <c r="AM25" s="388"/>
      <c r="AN25" s="388"/>
      <c r="AO25" s="388"/>
      <c r="AP25" s="388"/>
      <c r="AQ25" s="388"/>
      <c r="AR25" s="388"/>
      <c r="AS25" s="398"/>
      <c r="AT25" s="399"/>
    </row>
    <row r="26" spans="1:46" x14ac:dyDescent="0.3">
      <c r="A26" s="190" t="s">
        <v>128</v>
      </c>
      <c r="B26" s="210">
        <f xml:space="preserve">
SUM(C26:G26)</f>
        <v>0</v>
      </c>
      <c r="C26" s="402">
        <f xml:space="preserve">
IF($A$4&lt;=12,SUMIFS('ON Data'!O:O,'ON Data'!$D:$D,$A$4,'ON Data'!$E:$E,11),SUMIFS('ON Data'!O:O,'ON Data'!$E:$E,11))</f>
        <v>0</v>
      </c>
      <c r="D26" s="392"/>
      <c r="E26" s="393"/>
      <c r="F26" s="393"/>
      <c r="G26" s="391">
        <f xml:space="preserve">
IF($A$4&lt;=12,SUMIFS('ON Data'!AW:AW,'ON Data'!$D:$D,$A$4,'ON Data'!$E:$E,11),SUMIFS('ON Data'!AW:AW,'ON Data'!$E:$E,11))</f>
        <v>0</v>
      </c>
      <c r="H26" s="388"/>
      <c r="I26" s="388"/>
      <c r="J26" s="388"/>
      <c r="K26" s="388"/>
      <c r="L26" s="388"/>
      <c r="M26" s="388"/>
      <c r="N26" s="388"/>
      <c r="O26" s="388"/>
      <c r="P26" s="388"/>
      <c r="Q26" s="388"/>
      <c r="R26" s="388"/>
      <c r="S26" s="388"/>
      <c r="T26" s="388"/>
      <c r="U26" s="388"/>
      <c r="V26" s="388"/>
      <c r="W26" s="388"/>
      <c r="X26" s="388"/>
      <c r="Y26" s="388"/>
      <c r="Z26" s="388"/>
      <c r="AA26" s="388"/>
      <c r="AB26" s="388"/>
      <c r="AC26" s="388"/>
      <c r="AD26" s="388"/>
      <c r="AE26" s="388"/>
      <c r="AF26" s="388"/>
      <c r="AG26" s="388"/>
      <c r="AH26" s="388"/>
      <c r="AI26" s="388"/>
      <c r="AJ26" s="388"/>
      <c r="AK26" s="388"/>
      <c r="AL26" s="388"/>
      <c r="AM26" s="388"/>
      <c r="AN26" s="388"/>
      <c r="AO26" s="388"/>
      <c r="AP26" s="388"/>
      <c r="AQ26" s="388"/>
      <c r="AR26" s="388"/>
      <c r="AS26" s="398"/>
      <c r="AT26" s="399"/>
    </row>
    <row r="27" spans="1:46" x14ac:dyDescent="0.3">
      <c r="A27" s="190" t="s">
        <v>57</v>
      </c>
      <c r="B27" s="230">
        <f xml:space="preserve">
IF(B26=0,0,B25/B26)</f>
        <v>0</v>
      </c>
      <c r="C27" s="403">
        <f xml:space="preserve">
IF(C26=0,0,C25/C26)</f>
        <v>0</v>
      </c>
      <c r="D27" s="389"/>
      <c r="E27" s="390"/>
      <c r="F27" s="390"/>
      <c r="G27" s="394">
        <f xml:space="preserve">
IF(G26=0,0,G25/G26)</f>
        <v>0</v>
      </c>
      <c r="H27" s="388"/>
      <c r="I27" s="388"/>
      <c r="J27" s="388"/>
      <c r="K27" s="388"/>
      <c r="L27" s="388"/>
      <c r="M27" s="388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8"/>
      <c r="Y27" s="388"/>
      <c r="Z27" s="388"/>
      <c r="AA27" s="388"/>
      <c r="AB27" s="388"/>
      <c r="AC27" s="388"/>
      <c r="AD27" s="388"/>
      <c r="AE27" s="388"/>
      <c r="AF27" s="388"/>
      <c r="AG27" s="388"/>
      <c r="AH27" s="388"/>
      <c r="AI27" s="388"/>
      <c r="AJ27" s="388"/>
      <c r="AK27" s="388"/>
      <c r="AL27" s="388"/>
      <c r="AM27" s="388"/>
      <c r="AN27" s="388"/>
      <c r="AO27" s="388"/>
      <c r="AP27" s="388"/>
      <c r="AQ27" s="388"/>
      <c r="AR27" s="388"/>
      <c r="AS27" s="398"/>
      <c r="AT27" s="399"/>
    </row>
    <row r="28" spans="1:46" ht="15" thickBot="1" x14ac:dyDescent="0.35">
      <c r="A28" s="190" t="s">
        <v>127</v>
      </c>
      <c r="B28" s="210">
        <f xml:space="preserve">
SUM(C28:G28)</f>
        <v>0</v>
      </c>
      <c r="C28" s="404">
        <f xml:space="preserve">
C26-C25</f>
        <v>0</v>
      </c>
      <c r="D28" s="395"/>
      <c r="E28" s="396"/>
      <c r="F28" s="396"/>
      <c r="G28" s="397">
        <f xml:space="preserve">
G26-G25</f>
        <v>0</v>
      </c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Y28" s="388"/>
      <c r="Z28" s="388"/>
      <c r="AA28" s="388"/>
      <c r="AB28" s="388"/>
      <c r="AC28" s="388"/>
      <c r="AD28" s="388"/>
      <c r="AE28" s="388"/>
      <c r="AF28" s="388"/>
      <c r="AG28" s="388"/>
      <c r="AH28" s="388"/>
      <c r="AI28" s="388"/>
      <c r="AJ28" s="388"/>
      <c r="AK28" s="388"/>
      <c r="AL28" s="388"/>
      <c r="AM28" s="388"/>
      <c r="AN28" s="388"/>
      <c r="AO28" s="388"/>
      <c r="AP28" s="388"/>
      <c r="AQ28" s="388"/>
      <c r="AR28" s="388"/>
      <c r="AS28" s="398"/>
      <c r="AT28" s="399"/>
    </row>
    <row r="29" spans="1:46" x14ac:dyDescent="0.3">
      <c r="A29" s="191"/>
      <c r="B29" s="191"/>
      <c r="C29" s="192"/>
      <c r="D29" s="192"/>
      <c r="E29" s="191"/>
    </row>
    <row r="30" spans="1:46" x14ac:dyDescent="0.3">
      <c r="A30" s="79" t="s">
        <v>90</v>
      </c>
      <c r="B30" s="96"/>
      <c r="C30" s="96"/>
      <c r="D30" s="96"/>
      <c r="E30" s="114"/>
    </row>
    <row r="31" spans="1:46" x14ac:dyDescent="0.3">
      <c r="A31" s="80" t="s">
        <v>125</v>
      </c>
      <c r="B31" s="96"/>
      <c r="C31" s="96"/>
      <c r="D31" s="96"/>
      <c r="E31" s="114"/>
    </row>
    <row r="32" spans="1:46" ht="14.4" customHeight="1" x14ac:dyDescent="0.3">
      <c r="A32" s="226" t="s">
        <v>122</v>
      </c>
      <c r="B32" s="227"/>
      <c r="C32" s="227"/>
      <c r="D32" s="227"/>
    </row>
    <row r="33" spans="1:1" x14ac:dyDescent="0.3">
      <c r="A33" s="228" t="s">
        <v>150</v>
      </c>
    </row>
    <row r="34" spans="1:1" x14ac:dyDescent="0.3">
      <c r="A34" s="228" t="s">
        <v>151</v>
      </c>
    </row>
    <row r="35" spans="1:1" x14ac:dyDescent="0.3">
      <c r="A35" s="228" t="s">
        <v>152</v>
      </c>
    </row>
    <row r="36" spans="1:1" x14ac:dyDescent="0.3">
      <c r="A36" s="228" t="s">
        <v>131</v>
      </c>
    </row>
  </sheetData>
  <mergeCells count="7">
    <mergeCell ref="B3:B4"/>
    <mergeCell ref="A1:G1"/>
    <mergeCell ref="C27:F27"/>
    <mergeCell ref="C28:F28"/>
    <mergeCell ref="C24:F24"/>
    <mergeCell ref="C25:F25"/>
    <mergeCell ref="C26:F26"/>
  </mergeCells>
  <conditionalFormatting sqref="B22:E22">
    <cfRule type="cellIs" dxfId="5" priority="6" operator="greaterThan">
      <formula>1</formula>
    </cfRule>
  </conditionalFormatting>
  <conditionalFormatting sqref="B23:E23">
    <cfRule type="cellIs" dxfId="4" priority="5" operator="greaterThan">
      <formula>0</formula>
    </cfRule>
  </conditionalFormatting>
  <conditionalFormatting sqref="G27">
    <cfRule type="cellIs" dxfId="3" priority="4" operator="greaterThan">
      <formula>1</formula>
    </cfRule>
  </conditionalFormatting>
  <conditionalFormatting sqref="G28">
    <cfRule type="cellIs" dxfId="2" priority="3" operator="lessThan">
      <formula>0</formula>
    </cfRule>
  </conditionalFormatting>
  <conditionalFormatting sqref="C28">
    <cfRule type="cellIs" dxfId="1" priority="1" operator="lessThan">
      <formula>0</formula>
    </cfRule>
  </conditionalFormatting>
  <conditionalFormatting sqref="C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6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9" x14ac:dyDescent="0.3">
      <c r="A1" s="170" t="s">
        <v>331</v>
      </c>
    </row>
    <row r="2" spans="1:49" x14ac:dyDescent="0.3">
      <c r="A2" s="174" t="s">
        <v>174</v>
      </c>
    </row>
    <row r="3" spans="1:49" x14ac:dyDescent="0.3">
      <c r="A3" s="170" t="s">
        <v>95</v>
      </c>
      <c r="B3" s="195">
        <v>2016</v>
      </c>
      <c r="D3" s="171">
        <f>MAX(D5:D1048576)</f>
        <v>3</v>
      </c>
      <c r="F3" s="171">
        <f>SUMIF($E5:$E1048576,"&lt;10",F5:F1048576)</f>
        <v>2224647</v>
      </c>
      <c r="G3" s="171">
        <f t="shared" ref="G3:AW3" si="0">SUMIF($E5:$E1048576,"&lt;10",G5:G1048576)</f>
        <v>0</v>
      </c>
      <c r="H3" s="171">
        <f t="shared" si="0"/>
        <v>0</v>
      </c>
      <c r="I3" s="171">
        <f t="shared" si="0"/>
        <v>0</v>
      </c>
      <c r="J3" s="171">
        <f t="shared" si="0"/>
        <v>0</v>
      </c>
      <c r="K3" s="171">
        <f t="shared" si="0"/>
        <v>0</v>
      </c>
      <c r="L3" s="171">
        <f t="shared" si="0"/>
        <v>0</v>
      </c>
      <c r="M3" s="171">
        <f t="shared" si="0"/>
        <v>0</v>
      </c>
      <c r="N3" s="171">
        <f t="shared" si="0"/>
        <v>0</v>
      </c>
      <c r="O3" s="171">
        <f t="shared" si="0"/>
        <v>0</v>
      </c>
      <c r="P3" s="171">
        <f t="shared" si="0"/>
        <v>1310361.75</v>
      </c>
      <c r="Q3" s="171">
        <f t="shared" si="0"/>
        <v>0</v>
      </c>
      <c r="R3" s="171">
        <f t="shared" si="0"/>
        <v>0</v>
      </c>
      <c r="S3" s="171">
        <f t="shared" si="0"/>
        <v>0</v>
      </c>
      <c r="T3" s="171">
        <f t="shared" si="0"/>
        <v>0</v>
      </c>
      <c r="U3" s="171">
        <f t="shared" si="0"/>
        <v>0</v>
      </c>
      <c r="V3" s="171">
        <f t="shared" si="0"/>
        <v>0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0</v>
      </c>
      <c r="AC3" s="171">
        <f t="shared" si="0"/>
        <v>0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0</v>
      </c>
      <c r="AI3" s="171">
        <f t="shared" si="0"/>
        <v>0</v>
      </c>
      <c r="AJ3" s="171">
        <f t="shared" si="0"/>
        <v>0</v>
      </c>
      <c r="AK3" s="171">
        <f t="shared" si="0"/>
        <v>0</v>
      </c>
      <c r="AL3" s="171">
        <f t="shared" si="0"/>
        <v>0</v>
      </c>
      <c r="AM3" s="171">
        <f t="shared" si="0"/>
        <v>290857.5</v>
      </c>
      <c r="AN3" s="171">
        <f t="shared" si="0"/>
        <v>0</v>
      </c>
      <c r="AO3" s="171">
        <f t="shared" si="0"/>
        <v>0</v>
      </c>
      <c r="AP3" s="171">
        <f t="shared" si="0"/>
        <v>0</v>
      </c>
      <c r="AQ3" s="171">
        <f t="shared" si="0"/>
        <v>0</v>
      </c>
      <c r="AR3" s="171">
        <f t="shared" si="0"/>
        <v>623427.75</v>
      </c>
      <c r="AS3" s="171">
        <f t="shared" si="0"/>
        <v>0</v>
      </c>
      <c r="AT3" s="171">
        <f t="shared" si="0"/>
        <v>0</v>
      </c>
      <c r="AU3" s="171">
        <f t="shared" si="0"/>
        <v>0</v>
      </c>
      <c r="AV3" s="171">
        <f t="shared" si="0"/>
        <v>0</v>
      </c>
      <c r="AW3" s="171">
        <f t="shared" si="0"/>
        <v>0</v>
      </c>
    </row>
    <row r="4" spans="1:49" x14ac:dyDescent="0.3">
      <c r="A4" s="170" t="s">
        <v>96</v>
      </c>
      <c r="B4" s="195">
        <v>1</v>
      </c>
      <c r="C4" s="172" t="s">
        <v>4</v>
      </c>
      <c r="D4" s="173" t="s">
        <v>51</v>
      </c>
      <c r="E4" s="173" t="s">
        <v>94</v>
      </c>
      <c r="F4" s="173" t="s">
        <v>2</v>
      </c>
      <c r="G4" s="173">
        <v>0</v>
      </c>
      <c r="H4" s="173">
        <v>25</v>
      </c>
      <c r="I4" s="173">
        <v>99</v>
      </c>
      <c r="J4" s="173">
        <v>100</v>
      </c>
      <c r="K4" s="173">
        <v>101</v>
      </c>
      <c r="L4" s="173">
        <v>102</v>
      </c>
      <c r="M4" s="173">
        <v>103</v>
      </c>
      <c r="N4" s="173">
        <v>203</v>
      </c>
      <c r="O4" s="173">
        <v>302</v>
      </c>
      <c r="P4" s="173">
        <v>303</v>
      </c>
      <c r="Q4" s="173">
        <v>304</v>
      </c>
      <c r="R4" s="173">
        <v>305</v>
      </c>
      <c r="S4" s="173">
        <v>306</v>
      </c>
      <c r="T4" s="173">
        <v>407</v>
      </c>
      <c r="U4" s="173">
        <v>408</v>
      </c>
      <c r="V4" s="173">
        <v>409</v>
      </c>
      <c r="W4" s="173">
        <v>410</v>
      </c>
      <c r="X4" s="173">
        <v>415</v>
      </c>
      <c r="Y4" s="173">
        <v>416</v>
      </c>
      <c r="Z4" s="173">
        <v>418</v>
      </c>
      <c r="AA4" s="173">
        <v>419</v>
      </c>
      <c r="AB4" s="173">
        <v>420</v>
      </c>
      <c r="AC4" s="173">
        <v>421</v>
      </c>
      <c r="AD4" s="173">
        <v>520</v>
      </c>
      <c r="AE4" s="173">
        <v>521</v>
      </c>
      <c r="AF4" s="173">
        <v>522</v>
      </c>
      <c r="AG4" s="173">
        <v>523</v>
      </c>
      <c r="AH4" s="173">
        <v>524</v>
      </c>
      <c r="AI4" s="173">
        <v>525</v>
      </c>
      <c r="AJ4" s="173">
        <v>526</v>
      </c>
      <c r="AK4" s="173">
        <v>527</v>
      </c>
      <c r="AL4" s="173">
        <v>528</v>
      </c>
      <c r="AM4" s="173">
        <v>629</v>
      </c>
      <c r="AN4" s="173">
        <v>630</v>
      </c>
      <c r="AO4" s="173">
        <v>636</v>
      </c>
      <c r="AP4" s="173">
        <v>637</v>
      </c>
      <c r="AQ4" s="173">
        <v>640</v>
      </c>
      <c r="AR4" s="173">
        <v>642</v>
      </c>
      <c r="AS4" s="173">
        <v>743</v>
      </c>
      <c r="AT4" s="173">
        <v>745</v>
      </c>
      <c r="AU4" s="173">
        <v>746</v>
      </c>
      <c r="AV4" s="173">
        <v>747</v>
      </c>
      <c r="AW4" s="173">
        <v>930</v>
      </c>
    </row>
    <row r="5" spans="1:49" x14ac:dyDescent="0.3">
      <c r="A5" s="170" t="s">
        <v>97</v>
      </c>
      <c r="B5" s="195">
        <v>2</v>
      </c>
      <c r="C5" s="170">
        <v>56</v>
      </c>
      <c r="D5" s="170">
        <v>1</v>
      </c>
      <c r="E5" s="170">
        <v>1</v>
      </c>
      <c r="F5" s="170">
        <v>32.25</v>
      </c>
      <c r="G5" s="170">
        <v>0</v>
      </c>
      <c r="H5" s="170">
        <v>0</v>
      </c>
      <c r="I5" s="170">
        <v>0</v>
      </c>
      <c r="J5" s="170">
        <v>0</v>
      </c>
      <c r="K5" s="170">
        <v>0</v>
      </c>
      <c r="L5" s="170">
        <v>0</v>
      </c>
      <c r="M5" s="170">
        <v>0</v>
      </c>
      <c r="N5" s="170">
        <v>0</v>
      </c>
      <c r="O5" s="170">
        <v>0</v>
      </c>
      <c r="P5" s="170">
        <v>15.25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0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0</v>
      </c>
      <c r="AC5" s="170">
        <v>0</v>
      </c>
      <c r="AD5" s="170">
        <v>0</v>
      </c>
      <c r="AE5" s="170">
        <v>0</v>
      </c>
      <c r="AF5" s="170">
        <v>0</v>
      </c>
      <c r="AG5" s="170">
        <v>0</v>
      </c>
      <c r="AH5" s="170">
        <v>0</v>
      </c>
      <c r="AI5" s="170">
        <v>0</v>
      </c>
      <c r="AJ5" s="170">
        <v>0</v>
      </c>
      <c r="AK5" s="170">
        <v>0</v>
      </c>
      <c r="AL5" s="170">
        <v>0</v>
      </c>
      <c r="AM5" s="170">
        <v>5</v>
      </c>
      <c r="AN5" s="170">
        <v>0</v>
      </c>
      <c r="AO5" s="170">
        <v>0</v>
      </c>
      <c r="AP5" s="170">
        <v>0</v>
      </c>
      <c r="AQ5" s="170">
        <v>0</v>
      </c>
      <c r="AR5" s="170">
        <v>12</v>
      </c>
      <c r="AS5" s="170">
        <v>0</v>
      </c>
      <c r="AT5" s="170">
        <v>0</v>
      </c>
      <c r="AU5" s="170">
        <v>0</v>
      </c>
      <c r="AV5" s="170">
        <v>0</v>
      </c>
      <c r="AW5" s="170">
        <v>0</v>
      </c>
    </row>
    <row r="6" spans="1:49" x14ac:dyDescent="0.3">
      <c r="A6" s="170" t="s">
        <v>98</v>
      </c>
      <c r="B6" s="195">
        <v>3</v>
      </c>
      <c r="C6" s="170">
        <v>56</v>
      </c>
      <c r="D6" s="170">
        <v>1</v>
      </c>
      <c r="E6" s="170">
        <v>2</v>
      </c>
      <c r="F6" s="170">
        <v>4878</v>
      </c>
      <c r="G6" s="170">
        <v>0</v>
      </c>
      <c r="H6" s="170">
        <v>0</v>
      </c>
      <c r="I6" s="170">
        <v>0</v>
      </c>
      <c r="J6" s="170">
        <v>0</v>
      </c>
      <c r="K6" s="170">
        <v>0</v>
      </c>
      <c r="L6" s="170">
        <v>0</v>
      </c>
      <c r="M6" s="170">
        <v>0</v>
      </c>
      <c r="N6" s="170">
        <v>0</v>
      </c>
      <c r="O6" s="170">
        <v>0</v>
      </c>
      <c r="P6" s="170">
        <v>2241.25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0</v>
      </c>
      <c r="AC6" s="170">
        <v>0</v>
      </c>
      <c r="AD6" s="170">
        <v>0</v>
      </c>
      <c r="AE6" s="170">
        <v>0</v>
      </c>
      <c r="AF6" s="170">
        <v>0</v>
      </c>
      <c r="AG6" s="170">
        <v>0</v>
      </c>
      <c r="AH6" s="170">
        <v>0</v>
      </c>
      <c r="AI6" s="170">
        <v>0</v>
      </c>
      <c r="AJ6" s="170">
        <v>0</v>
      </c>
      <c r="AK6" s="170">
        <v>0</v>
      </c>
      <c r="AL6" s="170">
        <v>0</v>
      </c>
      <c r="AM6" s="170">
        <v>739.5</v>
      </c>
      <c r="AN6" s="170">
        <v>0</v>
      </c>
      <c r="AO6" s="170">
        <v>0</v>
      </c>
      <c r="AP6" s="170">
        <v>0</v>
      </c>
      <c r="AQ6" s="170">
        <v>0</v>
      </c>
      <c r="AR6" s="170">
        <v>1897.25</v>
      </c>
      <c r="AS6" s="170">
        <v>0</v>
      </c>
      <c r="AT6" s="170">
        <v>0</v>
      </c>
      <c r="AU6" s="170">
        <v>0</v>
      </c>
      <c r="AV6" s="170">
        <v>0</v>
      </c>
      <c r="AW6" s="170">
        <v>0</v>
      </c>
    </row>
    <row r="7" spans="1:49" x14ac:dyDescent="0.3">
      <c r="A7" s="170" t="s">
        <v>99</v>
      </c>
      <c r="B7" s="195">
        <v>4</v>
      </c>
      <c r="C7" s="170">
        <v>56</v>
      </c>
      <c r="D7" s="170">
        <v>1</v>
      </c>
      <c r="E7" s="170">
        <v>6</v>
      </c>
      <c r="F7" s="170">
        <v>731577</v>
      </c>
      <c r="G7" s="170">
        <v>0</v>
      </c>
      <c r="H7" s="170">
        <v>0</v>
      </c>
      <c r="I7" s="170">
        <v>0</v>
      </c>
      <c r="J7" s="170">
        <v>0</v>
      </c>
      <c r="K7" s="170">
        <v>0</v>
      </c>
      <c r="L7" s="170">
        <v>0</v>
      </c>
      <c r="M7" s="170">
        <v>0</v>
      </c>
      <c r="N7" s="170">
        <v>0</v>
      </c>
      <c r="O7" s="170">
        <v>0</v>
      </c>
      <c r="P7" s="170">
        <v>431533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0</v>
      </c>
      <c r="AC7" s="170">
        <v>0</v>
      </c>
      <c r="AD7" s="170">
        <v>0</v>
      </c>
      <c r="AE7" s="170">
        <v>0</v>
      </c>
      <c r="AF7" s="170">
        <v>0</v>
      </c>
      <c r="AG7" s="170">
        <v>0</v>
      </c>
      <c r="AH7" s="170">
        <v>0</v>
      </c>
      <c r="AI7" s="170">
        <v>0</v>
      </c>
      <c r="AJ7" s="170">
        <v>0</v>
      </c>
      <c r="AK7" s="170">
        <v>0</v>
      </c>
      <c r="AL7" s="170">
        <v>0</v>
      </c>
      <c r="AM7" s="170">
        <v>93371</v>
      </c>
      <c r="AN7" s="170">
        <v>0</v>
      </c>
      <c r="AO7" s="170">
        <v>0</v>
      </c>
      <c r="AP7" s="170">
        <v>0</v>
      </c>
      <c r="AQ7" s="170">
        <v>0</v>
      </c>
      <c r="AR7" s="170">
        <v>206673</v>
      </c>
      <c r="AS7" s="170">
        <v>0</v>
      </c>
      <c r="AT7" s="170">
        <v>0</v>
      </c>
      <c r="AU7" s="170">
        <v>0</v>
      </c>
      <c r="AV7" s="170">
        <v>0</v>
      </c>
      <c r="AW7" s="170">
        <v>0</v>
      </c>
    </row>
    <row r="8" spans="1:49" x14ac:dyDescent="0.3">
      <c r="A8" s="170" t="s">
        <v>100</v>
      </c>
      <c r="B8" s="195">
        <v>5</v>
      </c>
      <c r="C8" s="170">
        <v>56</v>
      </c>
      <c r="D8" s="170">
        <v>1</v>
      </c>
      <c r="E8" s="170">
        <v>9</v>
      </c>
      <c r="F8" s="170">
        <v>10600</v>
      </c>
      <c r="G8" s="170">
        <v>0</v>
      </c>
      <c r="H8" s="170">
        <v>0</v>
      </c>
      <c r="I8" s="170">
        <v>0</v>
      </c>
      <c r="J8" s="170">
        <v>0</v>
      </c>
      <c r="K8" s="170">
        <v>0</v>
      </c>
      <c r="L8" s="170">
        <v>0</v>
      </c>
      <c r="M8" s="170">
        <v>0</v>
      </c>
      <c r="N8" s="170">
        <v>0</v>
      </c>
      <c r="O8" s="170">
        <v>0</v>
      </c>
      <c r="P8" s="170">
        <v>5600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0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0</v>
      </c>
      <c r="AD8" s="170">
        <v>0</v>
      </c>
      <c r="AE8" s="170">
        <v>0</v>
      </c>
      <c r="AF8" s="170">
        <v>0</v>
      </c>
      <c r="AG8" s="170">
        <v>0</v>
      </c>
      <c r="AH8" s="170">
        <v>0</v>
      </c>
      <c r="AI8" s="170">
        <v>0</v>
      </c>
      <c r="AJ8" s="170">
        <v>0</v>
      </c>
      <c r="AK8" s="170">
        <v>0</v>
      </c>
      <c r="AL8" s="170">
        <v>0</v>
      </c>
      <c r="AM8" s="170">
        <v>4000</v>
      </c>
      <c r="AN8" s="170">
        <v>0</v>
      </c>
      <c r="AO8" s="170">
        <v>0</v>
      </c>
      <c r="AP8" s="170">
        <v>0</v>
      </c>
      <c r="AQ8" s="170">
        <v>0</v>
      </c>
      <c r="AR8" s="170">
        <v>1000</v>
      </c>
      <c r="AS8" s="170">
        <v>0</v>
      </c>
      <c r="AT8" s="170">
        <v>0</v>
      </c>
      <c r="AU8" s="170">
        <v>0</v>
      </c>
      <c r="AV8" s="170">
        <v>0</v>
      </c>
      <c r="AW8" s="170">
        <v>0</v>
      </c>
    </row>
    <row r="9" spans="1:49" x14ac:dyDescent="0.3">
      <c r="A9" s="170" t="s">
        <v>101</v>
      </c>
      <c r="B9" s="195">
        <v>6</v>
      </c>
      <c r="C9" s="170">
        <v>56</v>
      </c>
      <c r="D9" s="170">
        <v>2</v>
      </c>
      <c r="E9" s="170">
        <v>1</v>
      </c>
      <c r="F9" s="170">
        <v>32.25</v>
      </c>
      <c r="G9" s="170">
        <v>0</v>
      </c>
      <c r="H9" s="170">
        <v>0</v>
      </c>
      <c r="I9" s="170">
        <v>0</v>
      </c>
      <c r="J9" s="170">
        <v>0</v>
      </c>
      <c r="K9" s="170">
        <v>0</v>
      </c>
      <c r="L9" s="170">
        <v>0</v>
      </c>
      <c r="M9" s="170">
        <v>0</v>
      </c>
      <c r="N9" s="170">
        <v>0</v>
      </c>
      <c r="O9" s="170">
        <v>0</v>
      </c>
      <c r="P9" s="170">
        <v>15.25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5</v>
      </c>
      <c r="AN9" s="170">
        <v>0</v>
      </c>
      <c r="AO9" s="170">
        <v>0</v>
      </c>
      <c r="AP9" s="170">
        <v>0</v>
      </c>
      <c r="AQ9" s="170">
        <v>0</v>
      </c>
      <c r="AR9" s="170">
        <v>12</v>
      </c>
      <c r="AS9" s="170">
        <v>0</v>
      </c>
      <c r="AT9" s="170">
        <v>0</v>
      </c>
      <c r="AU9" s="170">
        <v>0</v>
      </c>
      <c r="AV9" s="170">
        <v>0</v>
      </c>
      <c r="AW9" s="170">
        <v>0</v>
      </c>
    </row>
    <row r="10" spans="1:49" x14ac:dyDescent="0.3">
      <c r="A10" s="170" t="s">
        <v>102</v>
      </c>
      <c r="B10" s="195">
        <v>7</v>
      </c>
      <c r="C10" s="170">
        <v>56</v>
      </c>
      <c r="D10" s="170">
        <v>2</v>
      </c>
      <c r="E10" s="170">
        <v>2</v>
      </c>
      <c r="F10" s="170">
        <v>4739.25</v>
      </c>
      <c r="G10" s="170">
        <v>0</v>
      </c>
      <c r="H10" s="170">
        <v>0</v>
      </c>
      <c r="I10" s="170">
        <v>0</v>
      </c>
      <c r="J10" s="170">
        <v>0</v>
      </c>
      <c r="K10" s="170">
        <v>0</v>
      </c>
      <c r="L10" s="170">
        <v>0</v>
      </c>
      <c r="M10" s="170">
        <v>0</v>
      </c>
      <c r="N10" s="170">
        <v>0</v>
      </c>
      <c r="O10" s="170">
        <v>0</v>
      </c>
      <c r="P10" s="170">
        <v>2186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0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0</v>
      </c>
      <c r="AC10" s="170">
        <v>0</v>
      </c>
      <c r="AD10" s="170">
        <v>0</v>
      </c>
      <c r="AE10" s="170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  <c r="AK10" s="170">
        <v>0</v>
      </c>
      <c r="AL10" s="170">
        <v>0</v>
      </c>
      <c r="AM10" s="170">
        <v>779</v>
      </c>
      <c r="AN10" s="170">
        <v>0</v>
      </c>
      <c r="AO10" s="170">
        <v>0</v>
      </c>
      <c r="AP10" s="170">
        <v>0</v>
      </c>
      <c r="AQ10" s="170">
        <v>0</v>
      </c>
      <c r="AR10" s="170">
        <v>1774.25</v>
      </c>
      <c r="AS10" s="170">
        <v>0</v>
      </c>
      <c r="AT10" s="170">
        <v>0</v>
      </c>
      <c r="AU10" s="170">
        <v>0</v>
      </c>
      <c r="AV10" s="170">
        <v>0</v>
      </c>
      <c r="AW10" s="170">
        <v>0</v>
      </c>
    </row>
    <row r="11" spans="1:49" x14ac:dyDescent="0.3">
      <c r="A11" s="170" t="s">
        <v>103</v>
      </c>
      <c r="B11" s="195">
        <v>8</v>
      </c>
      <c r="C11" s="170">
        <v>56</v>
      </c>
      <c r="D11" s="170">
        <v>2</v>
      </c>
      <c r="E11" s="170">
        <v>6</v>
      </c>
      <c r="F11" s="170">
        <v>719208</v>
      </c>
      <c r="G11" s="170">
        <v>0</v>
      </c>
      <c r="H11" s="170">
        <v>0</v>
      </c>
      <c r="I11" s="170">
        <v>0</v>
      </c>
      <c r="J11" s="170">
        <v>0</v>
      </c>
      <c r="K11" s="170">
        <v>0</v>
      </c>
      <c r="L11" s="170">
        <v>0</v>
      </c>
      <c r="M11" s="170">
        <v>0</v>
      </c>
      <c r="N11" s="170">
        <v>0</v>
      </c>
      <c r="O11" s="170">
        <v>0</v>
      </c>
      <c r="P11" s="170">
        <v>423357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0</v>
      </c>
      <c r="AD11" s="170">
        <v>0</v>
      </c>
      <c r="AE11" s="170">
        <v>0</v>
      </c>
      <c r="AF11" s="170">
        <v>0</v>
      </c>
      <c r="AG11" s="170">
        <v>0</v>
      </c>
      <c r="AH11" s="170">
        <v>0</v>
      </c>
      <c r="AI11" s="170">
        <v>0</v>
      </c>
      <c r="AJ11" s="170">
        <v>0</v>
      </c>
      <c r="AK11" s="170">
        <v>0</v>
      </c>
      <c r="AL11" s="170">
        <v>0</v>
      </c>
      <c r="AM11" s="170">
        <v>96755</v>
      </c>
      <c r="AN11" s="170">
        <v>0</v>
      </c>
      <c r="AO11" s="170">
        <v>0</v>
      </c>
      <c r="AP11" s="170">
        <v>0</v>
      </c>
      <c r="AQ11" s="170">
        <v>0</v>
      </c>
      <c r="AR11" s="170">
        <v>199096</v>
      </c>
      <c r="AS11" s="170">
        <v>0</v>
      </c>
      <c r="AT11" s="170">
        <v>0</v>
      </c>
      <c r="AU11" s="170">
        <v>0</v>
      </c>
      <c r="AV11" s="170">
        <v>0</v>
      </c>
      <c r="AW11" s="170">
        <v>0</v>
      </c>
    </row>
    <row r="12" spans="1:49" x14ac:dyDescent="0.3">
      <c r="A12" s="170" t="s">
        <v>104</v>
      </c>
      <c r="B12" s="195">
        <v>9</v>
      </c>
      <c r="C12" s="170">
        <v>56</v>
      </c>
      <c r="D12" s="170">
        <v>2</v>
      </c>
      <c r="E12" s="170">
        <v>9</v>
      </c>
      <c r="F12" s="170">
        <v>10600</v>
      </c>
      <c r="G12" s="170">
        <v>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8600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0</v>
      </c>
      <c r="AI12" s="170">
        <v>0</v>
      </c>
      <c r="AJ12" s="170">
        <v>0</v>
      </c>
      <c r="AK12" s="170">
        <v>0</v>
      </c>
      <c r="AL12" s="170">
        <v>0</v>
      </c>
      <c r="AM12" s="170">
        <v>2000</v>
      </c>
      <c r="AN12" s="170">
        <v>0</v>
      </c>
      <c r="AO12" s="170">
        <v>0</v>
      </c>
      <c r="AP12" s="170">
        <v>0</v>
      </c>
      <c r="AQ12" s="170">
        <v>0</v>
      </c>
      <c r="AR12" s="170">
        <v>0</v>
      </c>
      <c r="AS12" s="170">
        <v>0</v>
      </c>
      <c r="AT12" s="170">
        <v>0</v>
      </c>
      <c r="AU12" s="170">
        <v>0</v>
      </c>
      <c r="AV12" s="170">
        <v>0</v>
      </c>
      <c r="AW12" s="170">
        <v>0</v>
      </c>
    </row>
    <row r="13" spans="1:49" x14ac:dyDescent="0.3">
      <c r="A13" s="170" t="s">
        <v>105</v>
      </c>
      <c r="B13" s="195">
        <v>10</v>
      </c>
      <c r="C13" s="170">
        <v>56</v>
      </c>
      <c r="D13" s="170">
        <v>3</v>
      </c>
      <c r="E13" s="170">
        <v>1</v>
      </c>
      <c r="F13" s="170">
        <v>32.25</v>
      </c>
      <c r="G13" s="170">
        <v>0</v>
      </c>
      <c r="H13" s="170">
        <v>0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0</v>
      </c>
      <c r="P13" s="170">
        <v>15.25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0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0</v>
      </c>
      <c r="AD13" s="170">
        <v>0</v>
      </c>
      <c r="AE13" s="170">
        <v>0</v>
      </c>
      <c r="AF13" s="170">
        <v>0</v>
      </c>
      <c r="AG13" s="170">
        <v>0</v>
      </c>
      <c r="AH13" s="170">
        <v>0</v>
      </c>
      <c r="AI13" s="170">
        <v>0</v>
      </c>
      <c r="AJ13" s="170">
        <v>0</v>
      </c>
      <c r="AK13" s="170">
        <v>0</v>
      </c>
      <c r="AL13" s="170">
        <v>0</v>
      </c>
      <c r="AM13" s="170">
        <v>5</v>
      </c>
      <c r="AN13" s="170">
        <v>0</v>
      </c>
      <c r="AO13" s="170">
        <v>0</v>
      </c>
      <c r="AP13" s="170">
        <v>0</v>
      </c>
      <c r="AQ13" s="170">
        <v>0</v>
      </c>
      <c r="AR13" s="170">
        <v>12</v>
      </c>
      <c r="AS13" s="170">
        <v>0</v>
      </c>
      <c r="AT13" s="170">
        <v>0</v>
      </c>
      <c r="AU13" s="170">
        <v>0</v>
      </c>
      <c r="AV13" s="170">
        <v>0</v>
      </c>
      <c r="AW13" s="170">
        <v>0</v>
      </c>
    </row>
    <row r="14" spans="1:49" x14ac:dyDescent="0.3">
      <c r="A14" s="170" t="s">
        <v>106</v>
      </c>
      <c r="B14" s="195">
        <v>11</v>
      </c>
      <c r="C14" s="170">
        <v>56</v>
      </c>
      <c r="D14" s="170">
        <v>3</v>
      </c>
      <c r="E14" s="170">
        <v>2</v>
      </c>
      <c r="F14" s="170">
        <v>4759</v>
      </c>
      <c r="G14" s="170">
        <v>0</v>
      </c>
      <c r="H14" s="170">
        <v>0</v>
      </c>
      <c r="I14" s="170">
        <v>0</v>
      </c>
      <c r="J14" s="170">
        <v>0</v>
      </c>
      <c r="K14" s="170">
        <v>0</v>
      </c>
      <c r="L14" s="170">
        <v>0</v>
      </c>
      <c r="M14" s="170">
        <v>0</v>
      </c>
      <c r="N14" s="170">
        <v>0</v>
      </c>
      <c r="O14" s="170">
        <v>0</v>
      </c>
      <c r="P14" s="170">
        <v>2205.75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0</v>
      </c>
      <c r="AC14" s="170">
        <v>0</v>
      </c>
      <c r="AD14" s="170">
        <v>0</v>
      </c>
      <c r="AE14" s="170">
        <v>0</v>
      </c>
      <c r="AF14" s="170">
        <v>0</v>
      </c>
      <c r="AG14" s="170">
        <v>0</v>
      </c>
      <c r="AH14" s="170">
        <v>0</v>
      </c>
      <c r="AI14" s="170">
        <v>0</v>
      </c>
      <c r="AJ14" s="170">
        <v>0</v>
      </c>
      <c r="AK14" s="170">
        <v>0</v>
      </c>
      <c r="AL14" s="170">
        <v>0</v>
      </c>
      <c r="AM14" s="170">
        <v>602</v>
      </c>
      <c r="AN14" s="170">
        <v>0</v>
      </c>
      <c r="AO14" s="170">
        <v>0</v>
      </c>
      <c r="AP14" s="170">
        <v>0</v>
      </c>
      <c r="AQ14" s="170">
        <v>0</v>
      </c>
      <c r="AR14" s="170">
        <v>1951.25</v>
      </c>
      <c r="AS14" s="170">
        <v>0</v>
      </c>
      <c r="AT14" s="170">
        <v>0</v>
      </c>
      <c r="AU14" s="170">
        <v>0</v>
      </c>
      <c r="AV14" s="170">
        <v>0</v>
      </c>
      <c r="AW14" s="170">
        <v>0</v>
      </c>
    </row>
    <row r="15" spans="1:49" x14ac:dyDescent="0.3">
      <c r="A15" s="170" t="s">
        <v>107</v>
      </c>
      <c r="B15" s="195">
        <v>12</v>
      </c>
      <c r="C15" s="170">
        <v>56</v>
      </c>
      <c r="D15" s="170">
        <v>3</v>
      </c>
      <c r="E15" s="170">
        <v>6</v>
      </c>
      <c r="F15" s="170">
        <v>727589</v>
      </c>
      <c r="G15" s="170">
        <v>0</v>
      </c>
      <c r="H15" s="170">
        <v>0</v>
      </c>
      <c r="I15" s="170">
        <v>0</v>
      </c>
      <c r="J15" s="170">
        <v>0</v>
      </c>
      <c r="K15" s="170">
        <v>0</v>
      </c>
      <c r="L15" s="170">
        <v>0</v>
      </c>
      <c r="M15" s="170">
        <v>0</v>
      </c>
      <c r="N15" s="170">
        <v>0</v>
      </c>
      <c r="O15" s="170">
        <v>0</v>
      </c>
      <c r="P15" s="170">
        <v>426993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0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>
        <v>0</v>
      </c>
      <c r="AC15" s="170">
        <v>0</v>
      </c>
      <c r="AD15" s="170">
        <v>0</v>
      </c>
      <c r="AE15" s="170">
        <v>0</v>
      </c>
      <c r="AF15" s="170">
        <v>0</v>
      </c>
      <c r="AG15" s="170">
        <v>0</v>
      </c>
      <c r="AH15" s="170">
        <v>0</v>
      </c>
      <c r="AI15" s="170">
        <v>0</v>
      </c>
      <c r="AJ15" s="170">
        <v>0</v>
      </c>
      <c r="AK15" s="170">
        <v>0</v>
      </c>
      <c r="AL15" s="170">
        <v>0</v>
      </c>
      <c r="AM15" s="170">
        <v>90596</v>
      </c>
      <c r="AN15" s="170">
        <v>0</v>
      </c>
      <c r="AO15" s="170">
        <v>0</v>
      </c>
      <c r="AP15" s="170">
        <v>0</v>
      </c>
      <c r="AQ15" s="170">
        <v>0</v>
      </c>
      <c r="AR15" s="170">
        <v>210000</v>
      </c>
      <c r="AS15" s="170">
        <v>0</v>
      </c>
      <c r="AT15" s="170">
        <v>0</v>
      </c>
      <c r="AU15" s="170">
        <v>0</v>
      </c>
      <c r="AV15" s="170">
        <v>0</v>
      </c>
      <c r="AW15" s="170">
        <v>0</v>
      </c>
    </row>
    <row r="16" spans="1:49" x14ac:dyDescent="0.3">
      <c r="A16" s="170" t="s">
        <v>95</v>
      </c>
      <c r="B16" s="195">
        <v>2016</v>
      </c>
      <c r="C16" s="170">
        <v>56</v>
      </c>
      <c r="D16" s="170">
        <v>3</v>
      </c>
      <c r="E16" s="170">
        <v>9</v>
      </c>
      <c r="F16" s="170">
        <v>10600</v>
      </c>
      <c r="G16" s="170">
        <v>0</v>
      </c>
      <c r="H16" s="170">
        <v>0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0</v>
      </c>
      <c r="P16" s="170">
        <v>7600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70">
        <v>0</v>
      </c>
      <c r="AC16" s="170">
        <v>0</v>
      </c>
      <c r="AD16" s="170">
        <v>0</v>
      </c>
      <c r="AE16" s="170">
        <v>0</v>
      </c>
      <c r="AF16" s="170">
        <v>0</v>
      </c>
      <c r="AG16" s="170">
        <v>0</v>
      </c>
      <c r="AH16" s="170">
        <v>0</v>
      </c>
      <c r="AI16" s="170">
        <v>0</v>
      </c>
      <c r="AJ16" s="170">
        <v>0</v>
      </c>
      <c r="AK16" s="170">
        <v>0</v>
      </c>
      <c r="AL16" s="170">
        <v>0</v>
      </c>
      <c r="AM16" s="170">
        <v>2000</v>
      </c>
      <c r="AN16" s="170">
        <v>0</v>
      </c>
      <c r="AO16" s="170">
        <v>0</v>
      </c>
      <c r="AP16" s="170">
        <v>0</v>
      </c>
      <c r="AQ16" s="170">
        <v>0</v>
      </c>
      <c r="AR16" s="170">
        <v>1000</v>
      </c>
      <c r="AS16" s="170">
        <v>0</v>
      </c>
      <c r="AT16" s="170">
        <v>0</v>
      </c>
      <c r="AU16" s="170">
        <v>0</v>
      </c>
      <c r="AV16" s="170">
        <v>0</v>
      </c>
      <c r="AW16" s="1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58" t="s">
        <v>73</v>
      </c>
      <c r="B1" s="258"/>
      <c r="C1" s="259"/>
      <c r="D1" s="259"/>
      <c r="E1" s="259"/>
    </row>
    <row r="2" spans="1:5" ht="14.4" customHeight="1" thickBot="1" x14ac:dyDescent="0.35">
      <c r="A2" s="174" t="s">
        <v>174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6421.8751285304897</v>
      </c>
      <c r="D4" s="124">
        <f ca="1">IF(ISERROR(VLOOKUP("Náklady celkem",INDIRECT("HI!$A:$G"),5,0)),0,VLOOKUP("Náklady celkem",INDIRECT("HI!$A:$G"),5,0))</f>
        <v>6741.7743200000004</v>
      </c>
      <c r="E4" s="125">
        <f ca="1">IF(C4=0,0,D4/C4)</f>
        <v>1.0498139850225821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25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13.75000379026525</v>
      </c>
      <c r="D7" s="132">
        <f>IF(ISERROR(HI!E5),"",HI!E5)</f>
        <v>14.56995</v>
      </c>
      <c r="E7" s="129">
        <f t="shared" ref="E7:E12" si="0">IF(C7=0,0,D7/C7)</f>
        <v>1.0596324351790547</v>
      </c>
    </row>
    <row r="8" spans="1:5" ht="14.4" customHeight="1" x14ac:dyDescent="0.3">
      <c r="A8" s="250" t="str">
        <f>HYPERLINK("#'LŽ Statim'!A1","Podíl statimových žádanek (max. 30%)")</f>
        <v>Podíl statimových žádanek (max. 30%)</v>
      </c>
      <c r="B8" s="248" t="s">
        <v>145</v>
      </c>
      <c r="C8" s="249">
        <v>0.3</v>
      </c>
      <c r="D8" s="249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3" t="s">
        <v>83</v>
      </c>
      <c r="B9" s="131"/>
      <c r="C9" s="132"/>
      <c r="D9" s="132"/>
      <c r="E9" s="129"/>
    </row>
    <row r="10" spans="1:5" ht="14.4" customHeight="1" x14ac:dyDescent="0.3">
      <c r="A10" s="133" t="s">
        <v>84</v>
      </c>
      <c r="B10" s="131"/>
      <c r="C10" s="132"/>
      <c r="D10" s="132"/>
      <c r="E10" s="129"/>
    </row>
    <row r="11" spans="1:5" ht="14.4" customHeight="1" x14ac:dyDescent="0.3">
      <c r="A11" s="134" t="s">
        <v>88</v>
      </c>
      <c r="B11" s="131"/>
      <c r="C11" s="128"/>
      <c r="D11" s="128"/>
      <c r="E11" s="129"/>
    </row>
    <row r="12" spans="1:5" ht="14.4" customHeight="1" x14ac:dyDescent="0.3">
      <c r="A12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5.2500007580529999</v>
      </c>
      <c r="D12" s="132">
        <f>IF(ISERROR(HI!E6),"",HI!E6)</f>
        <v>2.698</v>
      </c>
      <c r="E12" s="129">
        <f t="shared" si="0"/>
        <v>0.51390468770152564</v>
      </c>
    </row>
    <row r="13" spans="1:5" ht="14.4" customHeight="1" thickBot="1" x14ac:dyDescent="0.35">
      <c r="A13" s="136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3055.2508421970147</v>
      </c>
      <c r="D13" s="128">
        <f ca="1">IF(ISERROR(VLOOKUP("Osobní náklady (Kč) *",INDIRECT("HI!$A:$G"),5,0)),0,VLOOKUP("Osobní náklady (Kč) *",INDIRECT("HI!$A:$G"),5,0))</f>
        <v>2947.16806</v>
      </c>
      <c r="E13" s="129">
        <f ca="1">IF(C13=0,0,D13/C13)</f>
        <v>0.96462392524232388</v>
      </c>
    </row>
    <row r="14" spans="1:5" ht="14.4" customHeight="1" thickBot="1" x14ac:dyDescent="0.35">
      <c r="A14" s="140"/>
      <c r="B14" s="141"/>
      <c r="C14" s="142"/>
      <c r="D14" s="142"/>
      <c r="E14" s="143"/>
    </row>
    <row r="15" spans="1:5" ht="14.4" customHeight="1" thickBot="1" x14ac:dyDescent="0.35">
      <c r="A15" s="144" t="str">
        <f>HYPERLINK("#HI!A1","VÝNOSY CELKEM (v tisících)")</f>
        <v>VÝNOSY CELKEM (v tisících)</v>
      </c>
      <c r="B15" s="145"/>
      <c r="C15" s="146">
        <f ca="1">IF(ISERROR(VLOOKUP("Výnosy celkem",INDIRECT("HI!$A:$G"),6,0)),0,VLOOKUP("Výnosy celkem",INDIRECT("HI!$A:$G"),6,0))</f>
        <v>0</v>
      </c>
      <c r="D15" s="146">
        <f ca="1">IF(ISERROR(VLOOKUP("Výnosy celkem",INDIRECT("HI!$A:$G"),5,0)),0,VLOOKUP("Výnosy celkem",INDIRECT("HI!$A:$G"),5,0))</f>
        <v>0</v>
      </c>
      <c r="E15" s="147">
        <f t="shared" ref="E15:E16" ca="1" si="1">IF(C15=0,0,D15/C15)</f>
        <v>0</v>
      </c>
    </row>
    <row r="16" spans="1:5" ht="14.4" customHeight="1" x14ac:dyDescent="0.3">
      <c r="A16" s="148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49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0" t="s">
        <v>85</v>
      </c>
      <c r="B18" s="137"/>
      <c r="C18" s="138"/>
      <c r="D18" s="138"/>
      <c r="E18" s="139"/>
    </row>
    <row r="19" spans="1:5" ht="14.4" customHeight="1" thickBot="1" x14ac:dyDescent="0.35">
      <c r="A19" s="151"/>
      <c r="B19" s="152"/>
      <c r="C19" s="153"/>
      <c r="D19" s="153"/>
      <c r="E19" s="154"/>
    </row>
    <row r="20" spans="1:5" ht="14.4" customHeight="1" thickBot="1" x14ac:dyDescent="0.35">
      <c r="A20" s="155" t="s">
        <v>86</v>
      </c>
      <c r="B20" s="156"/>
      <c r="C20" s="157"/>
      <c r="D20" s="157"/>
      <c r="E20" s="158"/>
    </row>
  </sheetData>
  <mergeCells count="1">
    <mergeCell ref="A1:E1"/>
  </mergeCells>
  <conditionalFormatting sqref="E5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5" priority="20" operator="lessThan">
      <formula>1</formula>
    </cfRule>
  </conditionalFormatting>
  <conditionalFormatting sqref="E8">
    <cfRule type="cellIs" dxfId="4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3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58" t="s">
        <v>76</v>
      </c>
      <c r="B1" s="258"/>
      <c r="C1" s="258"/>
      <c r="D1" s="258"/>
      <c r="E1" s="258"/>
      <c r="F1" s="258"/>
      <c r="G1" s="259"/>
      <c r="H1" s="259"/>
    </row>
    <row r="2" spans="1:8" ht="14.4" customHeight="1" thickBot="1" x14ac:dyDescent="0.35">
      <c r="A2" s="174" t="s">
        <v>174</v>
      </c>
      <c r="B2" s="77"/>
      <c r="C2" s="77"/>
      <c r="D2" s="77"/>
      <c r="E2" s="77"/>
      <c r="F2" s="77"/>
    </row>
    <row r="3" spans="1:8" ht="14.4" customHeight="1" x14ac:dyDescent="0.3">
      <c r="A3" s="260"/>
      <c r="B3" s="73">
        <v>2014</v>
      </c>
      <c r="C3" s="40">
        <v>2015</v>
      </c>
      <c r="D3" s="7"/>
      <c r="E3" s="264">
        <v>2016</v>
      </c>
      <c r="F3" s="265"/>
      <c r="G3" s="265"/>
      <c r="H3" s="266"/>
    </row>
    <row r="4" spans="1:8" ht="14.4" customHeight="1" thickBot="1" x14ac:dyDescent="0.35">
      <c r="A4" s="261"/>
      <c r="B4" s="262" t="s">
        <v>55</v>
      </c>
      <c r="C4" s="263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11.971730000000001</v>
      </c>
      <c r="C5" s="29">
        <v>9.138539999999999</v>
      </c>
      <c r="D5" s="8"/>
      <c r="E5" s="83">
        <v>14.56995</v>
      </c>
      <c r="F5" s="28">
        <v>13.75000379026525</v>
      </c>
      <c r="G5" s="82">
        <f>E5-F5</f>
        <v>0.8199462097347503</v>
      </c>
      <c r="H5" s="88">
        <f>IF(F5&lt;0.00000001,"",E5/F5)</f>
        <v>1.0596324351790547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2.778</v>
      </c>
      <c r="C6" s="31">
        <v>0</v>
      </c>
      <c r="D6" s="8"/>
      <c r="E6" s="84">
        <v>2.698</v>
      </c>
      <c r="F6" s="30">
        <v>5.2500007580529999</v>
      </c>
      <c r="G6" s="85">
        <f>E6-F6</f>
        <v>-2.552000758053</v>
      </c>
      <c r="H6" s="89">
        <f>IF(F6&lt;0.00000001,"",E6/F6)</f>
        <v>0.51390468770152564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2669.761130000004</v>
      </c>
      <c r="C7" s="31">
        <v>2815.0621800000026</v>
      </c>
      <c r="D7" s="8"/>
      <c r="E7" s="84">
        <v>2947.16806</v>
      </c>
      <c r="F7" s="30">
        <v>3055.2508421970147</v>
      </c>
      <c r="G7" s="85">
        <f>E7-F7</f>
        <v>-108.08278219701469</v>
      </c>
      <c r="H7" s="89">
        <f>IF(F7&lt;0.00000001,"",E7/F7)</f>
        <v>0.96462392524232388</v>
      </c>
    </row>
    <row r="8" spans="1:8" ht="14.4" customHeight="1" thickBot="1" x14ac:dyDescent="0.35">
      <c r="A8" s="1" t="s">
        <v>58</v>
      </c>
      <c r="B8" s="11">
        <v>3803.0180800000062</v>
      </c>
      <c r="C8" s="33">
        <v>3827.531439999997</v>
      </c>
      <c r="D8" s="8"/>
      <c r="E8" s="86">
        <v>3777.3383100000005</v>
      </c>
      <c r="F8" s="32">
        <v>3347.6242817851562</v>
      </c>
      <c r="G8" s="87">
        <f>E8-F8</f>
        <v>429.71402821484435</v>
      </c>
      <c r="H8" s="90">
        <f>IF(F8&lt;0.00000001,"",E8/F8)</f>
        <v>1.1283638760039387</v>
      </c>
    </row>
    <row r="9" spans="1:8" ht="14.4" customHeight="1" thickBot="1" x14ac:dyDescent="0.35">
      <c r="A9" s="2" t="s">
        <v>59</v>
      </c>
      <c r="B9" s="3">
        <v>6487.5289400000102</v>
      </c>
      <c r="C9" s="35">
        <v>6651.7321599999996</v>
      </c>
      <c r="D9" s="8"/>
      <c r="E9" s="3">
        <v>6741.7743200000004</v>
      </c>
      <c r="F9" s="34">
        <v>6421.8751285304897</v>
      </c>
      <c r="G9" s="34">
        <f>E9-F9</f>
        <v>319.8991914695107</v>
      </c>
      <c r="H9" s="91">
        <f>IF(F9&lt;0.00000001,"",E9/F9)</f>
        <v>1.0498139850225821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6" t="s">
        <v>121</v>
      </c>
      <c r="B18" s="227"/>
      <c r="C18" s="227"/>
      <c r="D18" s="227"/>
      <c r="E18" s="227"/>
      <c r="F18" s="227"/>
      <c r="G18" s="227"/>
      <c r="H18" s="227"/>
    </row>
    <row r="19" spans="1:8" x14ac:dyDescent="0.3">
      <c r="A19" s="225" t="s">
        <v>120</v>
      </c>
      <c r="B19" s="227"/>
      <c r="C19" s="227"/>
      <c r="D19" s="227"/>
      <c r="E19" s="227"/>
      <c r="F19" s="227"/>
      <c r="G19" s="227"/>
      <c r="H19" s="227"/>
    </row>
    <row r="20" spans="1:8" ht="14.4" customHeight="1" x14ac:dyDescent="0.3">
      <c r="A20" s="80" t="s">
        <v>146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173</v>
      </c>
    </row>
    <row r="23" spans="1:8" ht="14.4" customHeight="1" x14ac:dyDescent="0.3">
      <c r="A23" s="81" t="s">
        <v>92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4" operator="greaterThan">
      <formula>0</formula>
    </cfRule>
  </conditionalFormatting>
  <conditionalFormatting sqref="G11:G13 G15">
    <cfRule type="cellIs" dxfId="41" priority="3" operator="lessThan">
      <formula>0</formula>
    </cfRule>
  </conditionalFormatting>
  <conditionalFormatting sqref="H5:H9">
    <cfRule type="cellIs" dxfId="40" priority="2" operator="greaterThan">
      <formula>1</formula>
    </cfRule>
  </conditionalFormatting>
  <conditionalFormatting sqref="H11:H13 H15">
    <cfRule type="cellIs" dxfId="3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67" t="s">
        <v>176</v>
      </c>
      <c r="B1" s="267"/>
      <c r="C1" s="267"/>
      <c r="D1" s="267"/>
      <c r="E1" s="267"/>
      <c r="F1" s="267"/>
      <c r="G1" s="267"/>
      <c r="H1" s="258"/>
      <c r="I1" s="258"/>
      <c r="J1" s="258"/>
      <c r="K1" s="258"/>
      <c r="L1" s="258"/>
      <c r="M1" s="258"/>
      <c r="N1" s="258"/>
      <c r="O1" s="258"/>
      <c r="P1" s="258"/>
      <c r="Q1" s="258"/>
    </row>
    <row r="2" spans="1:17" s="159" customFormat="1" ht="14.4" customHeight="1" thickBot="1" x14ac:dyDescent="0.3">
      <c r="A2" s="174" t="s">
        <v>174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68" t="s">
        <v>13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104"/>
      <c r="Q3" s="106"/>
    </row>
    <row r="4" spans="1:17" ht="14.4" customHeight="1" x14ac:dyDescent="0.3">
      <c r="A4" s="59"/>
      <c r="B4" s="20">
        <v>2016</v>
      </c>
      <c r="C4" s="105" t="s">
        <v>14</v>
      </c>
      <c r="D4" s="95" t="s">
        <v>153</v>
      </c>
      <c r="E4" s="95" t="s">
        <v>154</v>
      </c>
      <c r="F4" s="95" t="s">
        <v>155</v>
      </c>
      <c r="G4" s="95" t="s">
        <v>156</v>
      </c>
      <c r="H4" s="95" t="s">
        <v>157</v>
      </c>
      <c r="I4" s="95" t="s">
        <v>158</v>
      </c>
      <c r="J4" s="95" t="s">
        <v>159</v>
      </c>
      <c r="K4" s="95" t="s">
        <v>160</v>
      </c>
      <c r="L4" s="95" t="s">
        <v>161</v>
      </c>
      <c r="M4" s="95" t="s">
        <v>162</v>
      </c>
      <c r="N4" s="95" t="s">
        <v>163</v>
      </c>
      <c r="O4" s="95" t="s">
        <v>164</v>
      </c>
      <c r="P4" s="270" t="s">
        <v>2</v>
      </c>
      <c r="Q4" s="271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175</v>
      </c>
    </row>
    <row r="7" spans="1:17" ht="14.4" customHeight="1" x14ac:dyDescent="0.3">
      <c r="A7" s="15" t="s">
        <v>19</v>
      </c>
      <c r="B7" s="46">
        <v>55.000015161061</v>
      </c>
      <c r="C7" s="47">
        <v>4.5833345967549999</v>
      </c>
      <c r="D7" s="47">
        <v>5.7298099999999996</v>
      </c>
      <c r="E7" s="47">
        <v>2.6545700000000001</v>
      </c>
      <c r="F7" s="47">
        <v>6.1855700000000002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14.56995</v>
      </c>
      <c r="Q7" s="68">
        <v>1.0596324351790001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175</v>
      </c>
    </row>
    <row r="9" spans="1:17" ht="14.4" customHeight="1" x14ac:dyDescent="0.3">
      <c r="A9" s="15" t="s">
        <v>21</v>
      </c>
      <c r="B9" s="46">
        <v>21.000003032212</v>
      </c>
      <c r="C9" s="47">
        <v>1.7500002526839999</v>
      </c>
      <c r="D9" s="47">
        <v>0</v>
      </c>
      <c r="E9" s="47">
        <v>1.704</v>
      </c>
      <c r="F9" s="47">
        <v>0.99399999999999999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2.698</v>
      </c>
      <c r="Q9" s="68">
        <v>0.51390468770099995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175</v>
      </c>
    </row>
    <row r="11" spans="1:17" ht="14.4" customHeight="1" x14ac:dyDescent="0.3">
      <c r="A11" s="15" t="s">
        <v>23</v>
      </c>
      <c r="B11" s="46">
        <v>2691.2193797701598</v>
      </c>
      <c r="C11" s="47">
        <v>224.26828164751299</v>
      </c>
      <c r="D11" s="47">
        <v>114.3432</v>
      </c>
      <c r="E11" s="47">
        <v>179.86623</v>
      </c>
      <c r="F11" s="47">
        <v>165.18136999999999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459.39080000000001</v>
      </c>
      <c r="Q11" s="68">
        <v>0.68279948257300005</v>
      </c>
    </row>
    <row r="12" spans="1:17" ht="14.4" customHeight="1" x14ac:dyDescent="0.3">
      <c r="A12" s="15" t="s">
        <v>24</v>
      </c>
      <c r="B12" s="46">
        <v>10.352520024812</v>
      </c>
      <c r="C12" s="47">
        <v>0.86271000206699999</v>
      </c>
      <c r="D12" s="47">
        <v>2.9905499999999998</v>
      </c>
      <c r="E12" s="47">
        <v>0</v>
      </c>
      <c r="F12" s="47">
        <v>0.158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3.1485500000000002</v>
      </c>
      <c r="Q12" s="68">
        <v>1.216534715201</v>
      </c>
    </row>
    <row r="13" spans="1:17" ht="14.4" customHeight="1" x14ac:dyDescent="0.3">
      <c r="A13" s="15" t="s">
        <v>25</v>
      </c>
      <c r="B13" s="46">
        <v>127.067176474764</v>
      </c>
      <c r="C13" s="47">
        <v>10.588931372896999</v>
      </c>
      <c r="D13" s="47">
        <v>6.9668299999999999</v>
      </c>
      <c r="E13" s="47">
        <v>9.5062800000000003</v>
      </c>
      <c r="F13" s="47">
        <v>16.748419999999999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33.221530000000001</v>
      </c>
      <c r="Q13" s="68">
        <v>1.045794230159</v>
      </c>
    </row>
    <row r="14" spans="1:17" ht="14.4" customHeight="1" x14ac:dyDescent="0.3">
      <c r="A14" s="15" t="s">
        <v>26</v>
      </c>
      <c r="B14" s="46">
        <v>6057.1212631177596</v>
      </c>
      <c r="C14" s="47">
        <v>504.76010525981297</v>
      </c>
      <c r="D14" s="47">
        <v>890.34699999999998</v>
      </c>
      <c r="E14" s="47">
        <v>662.66099999999994</v>
      </c>
      <c r="F14" s="47">
        <v>713.05799999999999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2266.0659999999998</v>
      </c>
      <c r="Q14" s="68">
        <v>1.4964640142159999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175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175</v>
      </c>
    </row>
    <row r="17" spans="1:17" ht="14.4" customHeight="1" x14ac:dyDescent="0.3">
      <c r="A17" s="15" t="s">
        <v>29</v>
      </c>
      <c r="B17" s="46">
        <v>437.54435218748699</v>
      </c>
      <c r="C17" s="47">
        <v>36.462029348957003</v>
      </c>
      <c r="D17" s="47">
        <v>6.6936</v>
      </c>
      <c r="E17" s="47">
        <v>16.386800000000001</v>
      </c>
      <c r="F17" s="47">
        <v>51.737450000000003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74.817850000000007</v>
      </c>
      <c r="Q17" s="68">
        <v>0.68397957487899996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0.97399999999999998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0.97399999999999998</v>
      </c>
      <c r="Q18" s="68" t="s">
        <v>175</v>
      </c>
    </row>
    <row r="19" spans="1:17" ht="14.4" customHeight="1" x14ac:dyDescent="0.3">
      <c r="A19" s="15" t="s">
        <v>31</v>
      </c>
      <c r="B19" s="46">
        <v>1480.2418777765299</v>
      </c>
      <c r="C19" s="47">
        <v>123.353489814711</v>
      </c>
      <c r="D19" s="47">
        <v>39.927669999999999</v>
      </c>
      <c r="E19" s="47">
        <v>104.45747</v>
      </c>
      <c r="F19" s="47">
        <v>132.59844000000001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276.98358000000002</v>
      </c>
      <c r="Q19" s="68">
        <v>0.74848194516900002</v>
      </c>
    </row>
    <row r="20" spans="1:17" ht="14.4" customHeight="1" x14ac:dyDescent="0.3">
      <c r="A20" s="15" t="s">
        <v>32</v>
      </c>
      <c r="B20" s="46">
        <v>12221.0033687881</v>
      </c>
      <c r="C20" s="47">
        <v>1018.41694739901</v>
      </c>
      <c r="D20" s="47">
        <v>991.28733999999997</v>
      </c>
      <c r="E20" s="47">
        <v>972.35649000000001</v>
      </c>
      <c r="F20" s="47">
        <v>983.52422999999999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2947.16806</v>
      </c>
      <c r="Q20" s="68">
        <v>0.96462392524200002</v>
      </c>
    </row>
    <row r="21" spans="1:17" ht="14.4" customHeight="1" x14ac:dyDescent="0.3">
      <c r="A21" s="16" t="s">
        <v>33</v>
      </c>
      <c r="B21" s="46">
        <v>2564.00639624735</v>
      </c>
      <c r="C21" s="47">
        <v>213.66719968727901</v>
      </c>
      <c r="D21" s="47">
        <v>225.76400000000001</v>
      </c>
      <c r="E21" s="47">
        <v>225.76300000000001</v>
      </c>
      <c r="F21" s="47">
        <v>211.209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662.73599999999999</v>
      </c>
      <c r="Q21" s="68">
        <v>1.0339069371580001</v>
      </c>
    </row>
    <row r="22" spans="1:17" ht="14.4" customHeight="1" x14ac:dyDescent="0.3">
      <c r="A22" s="15" t="s">
        <v>34</v>
      </c>
      <c r="B22" s="46">
        <v>22.300887563918</v>
      </c>
      <c r="C22" s="47">
        <v>1.8584072969929999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>
        <v>0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175</v>
      </c>
    </row>
    <row r="24" spans="1:17" ht="14.4" customHeight="1" x14ac:dyDescent="0.3">
      <c r="A24" s="16" t="s">
        <v>36</v>
      </c>
      <c r="B24" s="46">
        <v>0.643273977813</v>
      </c>
      <c r="C24" s="47">
        <v>5.3606164817E-2</v>
      </c>
      <c r="D24" s="47">
        <v>0</v>
      </c>
      <c r="E24" s="47">
        <v>0</v>
      </c>
      <c r="F24" s="47">
        <v>-4.5474735088646402E-13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-4.5474735088646402E-13</v>
      </c>
      <c r="Q24" s="68">
        <v>-2.8277055598110298E-12</v>
      </c>
    </row>
    <row r="25" spans="1:17" ht="14.4" customHeight="1" x14ac:dyDescent="0.3">
      <c r="A25" s="17" t="s">
        <v>37</v>
      </c>
      <c r="B25" s="49">
        <v>25687.500514121901</v>
      </c>
      <c r="C25" s="50">
        <v>2140.6250428434901</v>
      </c>
      <c r="D25" s="50">
        <v>2285.0239999999999</v>
      </c>
      <c r="E25" s="50">
        <v>2175.3558400000002</v>
      </c>
      <c r="F25" s="50">
        <v>2281.3944799999999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6741.7743200000004</v>
      </c>
      <c r="Q25" s="69">
        <v>1.0498139850220001</v>
      </c>
    </row>
    <row r="26" spans="1:17" ht="14.4" customHeight="1" x14ac:dyDescent="0.3">
      <c r="A26" s="15" t="s">
        <v>38</v>
      </c>
      <c r="B26" s="46">
        <v>0</v>
      </c>
      <c r="C26" s="47">
        <v>0</v>
      </c>
      <c r="D26" s="47">
        <v>166.33368999999999</v>
      </c>
      <c r="E26" s="47">
        <v>159.08972</v>
      </c>
      <c r="F26" s="47">
        <v>162.19603000000001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487.61944</v>
      </c>
      <c r="Q26" s="68" t="s">
        <v>175</v>
      </c>
    </row>
    <row r="27" spans="1:17" ht="14.4" customHeight="1" x14ac:dyDescent="0.3">
      <c r="A27" s="18" t="s">
        <v>39</v>
      </c>
      <c r="B27" s="49">
        <v>25687.500514121901</v>
      </c>
      <c r="C27" s="50">
        <v>2140.6250428434901</v>
      </c>
      <c r="D27" s="50">
        <v>2451.3576899999998</v>
      </c>
      <c r="E27" s="50">
        <v>2334.4455600000001</v>
      </c>
      <c r="F27" s="50">
        <v>2443.59051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7229.3937599999999</v>
      </c>
      <c r="Q27" s="69">
        <v>1.125744991191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12.5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175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10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175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165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67" t="s">
        <v>45</v>
      </c>
      <c r="B1" s="267"/>
      <c r="C1" s="267"/>
      <c r="D1" s="267"/>
      <c r="E1" s="267"/>
      <c r="F1" s="267"/>
      <c r="G1" s="267"/>
      <c r="H1" s="272"/>
      <c r="I1" s="272"/>
      <c r="J1" s="272"/>
      <c r="K1" s="272"/>
    </row>
    <row r="2" spans="1:11" s="55" customFormat="1" ht="14.4" customHeight="1" thickBot="1" x14ac:dyDescent="0.35">
      <c r="A2" s="174" t="s">
        <v>174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68" t="s">
        <v>46</v>
      </c>
      <c r="C3" s="269"/>
      <c r="D3" s="269"/>
      <c r="E3" s="269"/>
      <c r="F3" s="275" t="s">
        <v>47</v>
      </c>
      <c r="G3" s="269"/>
      <c r="H3" s="269"/>
      <c r="I3" s="269"/>
      <c r="J3" s="269"/>
      <c r="K3" s="276"/>
    </row>
    <row r="4" spans="1:11" ht="14.4" customHeight="1" x14ac:dyDescent="0.3">
      <c r="A4" s="59"/>
      <c r="B4" s="273"/>
      <c r="C4" s="274"/>
      <c r="D4" s="274"/>
      <c r="E4" s="274"/>
      <c r="F4" s="277" t="s">
        <v>170</v>
      </c>
      <c r="G4" s="279" t="s">
        <v>48</v>
      </c>
      <c r="H4" s="107" t="s">
        <v>80</v>
      </c>
      <c r="I4" s="277" t="s">
        <v>49</v>
      </c>
      <c r="J4" s="279" t="s">
        <v>147</v>
      </c>
      <c r="K4" s="280" t="s">
        <v>172</v>
      </c>
    </row>
    <row r="5" spans="1:11" ht="42" thickBot="1" x14ac:dyDescent="0.35">
      <c r="A5" s="60"/>
      <c r="B5" s="24" t="s">
        <v>166</v>
      </c>
      <c r="C5" s="25" t="s">
        <v>167</v>
      </c>
      <c r="D5" s="26" t="s">
        <v>168</v>
      </c>
      <c r="E5" s="26" t="s">
        <v>169</v>
      </c>
      <c r="F5" s="278"/>
      <c r="G5" s="278"/>
      <c r="H5" s="25" t="s">
        <v>171</v>
      </c>
      <c r="I5" s="278"/>
      <c r="J5" s="278"/>
      <c r="K5" s="281"/>
    </row>
    <row r="6" spans="1:11" ht="14.4" customHeight="1" thickBot="1" x14ac:dyDescent="0.35">
      <c r="A6" s="323" t="s">
        <v>177</v>
      </c>
      <c r="B6" s="305">
        <v>26092.019686893698</v>
      </c>
      <c r="C6" s="305">
        <v>26210.938969999999</v>
      </c>
      <c r="D6" s="306">
        <v>118.919283106272</v>
      </c>
      <c r="E6" s="307">
        <v>1.0045576879260001</v>
      </c>
      <c r="F6" s="305">
        <v>25687.500514121901</v>
      </c>
      <c r="G6" s="306">
        <v>6421.8751285304797</v>
      </c>
      <c r="H6" s="308">
        <v>2281.3944799999999</v>
      </c>
      <c r="I6" s="305">
        <v>6741.7743200000004</v>
      </c>
      <c r="J6" s="306">
        <v>319.89919146951598</v>
      </c>
      <c r="K6" s="309">
        <v>0.26245349625499997</v>
      </c>
    </row>
    <row r="7" spans="1:11" ht="14.4" customHeight="1" thickBot="1" x14ac:dyDescent="0.35">
      <c r="A7" s="324" t="s">
        <v>178</v>
      </c>
      <c r="B7" s="305">
        <v>9075.5223166840005</v>
      </c>
      <c r="C7" s="305">
        <v>9178.5932699999994</v>
      </c>
      <c r="D7" s="306">
        <v>103.07095331599901</v>
      </c>
      <c r="E7" s="307">
        <v>1.011357027146</v>
      </c>
      <c r="F7" s="305">
        <v>8961.7603575807607</v>
      </c>
      <c r="G7" s="306">
        <v>2240.4400893951902</v>
      </c>
      <c r="H7" s="308">
        <v>902.32536000000005</v>
      </c>
      <c r="I7" s="305">
        <v>2779.09483</v>
      </c>
      <c r="J7" s="306">
        <v>538.65474060480904</v>
      </c>
      <c r="K7" s="309">
        <v>0.31010590766899998</v>
      </c>
    </row>
    <row r="8" spans="1:11" ht="14.4" customHeight="1" thickBot="1" x14ac:dyDescent="0.35">
      <c r="A8" s="325" t="s">
        <v>179</v>
      </c>
      <c r="B8" s="305">
        <v>2996.4729752478002</v>
      </c>
      <c r="C8" s="305">
        <v>2949.8822500000001</v>
      </c>
      <c r="D8" s="306">
        <v>-46.590725247800002</v>
      </c>
      <c r="E8" s="307">
        <v>0.98445147824300006</v>
      </c>
      <c r="F8" s="305">
        <v>2904.6390944630102</v>
      </c>
      <c r="G8" s="306">
        <v>726.15977361575199</v>
      </c>
      <c r="H8" s="308">
        <v>189.26736</v>
      </c>
      <c r="I8" s="305">
        <v>513.02882999999997</v>
      </c>
      <c r="J8" s="306">
        <v>-213.13094361575199</v>
      </c>
      <c r="K8" s="309">
        <v>0.176623949935</v>
      </c>
    </row>
    <row r="9" spans="1:11" ht="14.4" customHeight="1" thickBot="1" x14ac:dyDescent="0.35">
      <c r="A9" s="326" t="s">
        <v>180</v>
      </c>
      <c r="B9" s="310">
        <v>54.521861176842997</v>
      </c>
      <c r="C9" s="310">
        <v>61.317900000000002</v>
      </c>
      <c r="D9" s="311">
        <v>6.7960388231559996</v>
      </c>
      <c r="E9" s="312">
        <v>1.1246479609540001</v>
      </c>
      <c r="F9" s="310">
        <v>55.000015161061</v>
      </c>
      <c r="G9" s="311">
        <v>13.750003790265</v>
      </c>
      <c r="H9" s="313">
        <v>6.1855700000000002</v>
      </c>
      <c r="I9" s="310">
        <v>14.56995</v>
      </c>
      <c r="J9" s="311">
        <v>0.81994620973400001</v>
      </c>
      <c r="K9" s="314">
        <v>0.26490810879400001</v>
      </c>
    </row>
    <row r="10" spans="1:11" ht="14.4" customHeight="1" thickBot="1" x14ac:dyDescent="0.35">
      <c r="A10" s="327" t="s">
        <v>181</v>
      </c>
      <c r="B10" s="305">
        <v>54.521861176842997</v>
      </c>
      <c r="C10" s="305">
        <v>61.317900000000002</v>
      </c>
      <c r="D10" s="306">
        <v>6.7960388231559996</v>
      </c>
      <c r="E10" s="307">
        <v>1.1246479609540001</v>
      </c>
      <c r="F10" s="305">
        <v>55.000015161061</v>
      </c>
      <c r="G10" s="306">
        <v>13.750003790265</v>
      </c>
      <c r="H10" s="308">
        <v>6.1855700000000002</v>
      </c>
      <c r="I10" s="305">
        <v>14.56995</v>
      </c>
      <c r="J10" s="306">
        <v>0.81994620973400001</v>
      </c>
      <c r="K10" s="309">
        <v>0.26490810879400001</v>
      </c>
    </row>
    <row r="11" spans="1:11" ht="14.4" customHeight="1" thickBot="1" x14ac:dyDescent="0.35">
      <c r="A11" s="326" t="s">
        <v>182</v>
      </c>
      <c r="B11" s="310">
        <v>10.999999653526</v>
      </c>
      <c r="C11" s="310">
        <v>10.933999999999999</v>
      </c>
      <c r="D11" s="311">
        <v>-6.5999653525999999E-2</v>
      </c>
      <c r="E11" s="312">
        <v>0.99400003130799996</v>
      </c>
      <c r="F11" s="310">
        <v>21.000003032212</v>
      </c>
      <c r="G11" s="311">
        <v>5.2500007580529999</v>
      </c>
      <c r="H11" s="313">
        <v>0.99399999999999999</v>
      </c>
      <c r="I11" s="310">
        <v>2.698</v>
      </c>
      <c r="J11" s="311">
        <v>-2.552000758053</v>
      </c>
      <c r="K11" s="314">
        <v>0.12847617192499999</v>
      </c>
    </row>
    <row r="12" spans="1:11" ht="14.4" customHeight="1" thickBot="1" x14ac:dyDescent="0.35">
      <c r="A12" s="327" t="s">
        <v>183</v>
      </c>
      <c r="B12" s="305">
        <v>10.999999653526</v>
      </c>
      <c r="C12" s="305">
        <v>10.933999999999999</v>
      </c>
      <c r="D12" s="306">
        <v>-6.5999653525999999E-2</v>
      </c>
      <c r="E12" s="307">
        <v>0.99400003130799996</v>
      </c>
      <c r="F12" s="305">
        <v>21.000003032212</v>
      </c>
      <c r="G12" s="306">
        <v>5.2500007580529999</v>
      </c>
      <c r="H12" s="308">
        <v>0.99399999999999999</v>
      </c>
      <c r="I12" s="305">
        <v>2.698</v>
      </c>
      <c r="J12" s="306">
        <v>-2.552000758053</v>
      </c>
      <c r="K12" s="309">
        <v>0.12847617192499999</v>
      </c>
    </row>
    <row r="13" spans="1:11" ht="14.4" customHeight="1" thickBot="1" x14ac:dyDescent="0.35">
      <c r="A13" s="326" t="s">
        <v>184</v>
      </c>
      <c r="B13" s="310">
        <v>2761.95111974052</v>
      </c>
      <c r="C13" s="310">
        <v>2701.8856799999999</v>
      </c>
      <c r="D13" s="311">
        <v>-60.065439740521001</v>
      </c>
      <c r="E13" s="312">
        <v>0.97825253339499996</v>
      </c>
      <c r="F13" s="310">
        <v>2691.2193797701598</v>
      </c>
      <c r="G13" s="311">
        <v>672.80484494253903</v>
      </c>
      <c r="H13" s="313">
        <v>165.18136999999999</v>
      </c>
      <c r="I13" s="310">
        <v>459.39080000000001</v>
      </c>
      <c r="J13" s="311">
        <v>-213.41404494253899</v>
      </c>
      <c r="K13" s="314">
        <v>0.17069987064299999</v>
      </c>
    </row>
    <row r="14" spans="1:11" ht="14.4" customHeight="1" thickBot="1" x14ac:dyDescent="0.35">
      <c r="A14" s="327" t="s">
        <v>185</v>
      </c>
      <c r="B14" s="305">
        <v>2.454925499927</v>
      </c>
      <c r="C14" s="305">
        <v>-7.1054273576010003E-15</v>
      </c>
      <c r="D14" s="306">
        <v>-2.454925499927</v>
      </c>
      <c r="E14" s="307">
        <v>-2.89435559564213E-15</v>
      </c>
      <c r="F14" s="305">
        <v>-6.5948530601798E-15</v>
      </c>
      <c r="G14" s="306">
        <v>-1.64871326504495E-15</v>
      </c>
      <c r="H14" s="308">
        <v>0</v>
      </c>
      <c r="I14" s="305">
        <v>0</v>
      </c>
      <c r="J14" s="306">
        <v>1.64871326504495E-15</v>
      </c>
      <c r="K14" s="309" t="e">
        <v>#NUM!</v>
      </c>
    </row>
    <row r="15" spans="1:11" ht="14.4" customHeight="1" thickBot="1" x14ac:dyDescent="0.35">
      <c r="A15" s="327" t="s">
        <v>186</v>
      </c>
      <c r="B15" s="305">
        <v>119.999996220291</v>
      </c>
      <c r="C15" s="305">
        <v>89.646140000000003</v>
      </c>
      <c r="D15" s="306">
        <v>-30.353856220290002</v>
      </c>
      <c r="E15" s="307">
        <v>0.74705119019599997</v>
      </c>
      <c r="F15" s="305">
        <v>92.000025360321999</v>
      </c>
      <c r="G15" s="306">
        <v>23.000006340079999</v>
      </c>
      <c r="H15" s="308">
        <v>3.3914300000000002</v>
      </c>
      <c r="I15" s="305">
        <v>4.1170400000000003</v>
      </c>
      <c r="J15" s="306">
        <v>-18.882966340079999</v>
      </c>
      <c r="K15" s="309">
        <v>4.4750422445999999E-2</v>
      </c>
    </row>
    <row r="16" spans="1:11" ht="14.4" customHeight="1" thickBot="1" x14ac:dyDescent="0.35">
      <c r="A16" s="327" t="s">
        <v>187</v>
      </c>
      <c r="B16" s="305">
        <v>99.999996850241999</v>
      </c>
      <c r="C16" s="305">
        <v>143.83099999999999</v>
      </c>
      <c r="D16" s="306">
        <v>43.831003149757002</v>
      </c>
      <c r="E16" s="307">
        <v>1.438310045303</v>
      </c>
      <c r="F16" s="305">
        <v>141.24964115173699</v>
      </c>
      <c r="G16" s="306">
        <v>35.312410287934</v>
      </c>
      <c r="H16" s="308">
        <v>18.099119999999999</v>
      </c>
      <c r="I16" s="305">
        <v>67.332710000000006</v>
      </c>
      <c r="J16" s="306">
        <v>32.020299712064997</v>
      </c>
      <c r="K16" s="309">
        <v>0.47669296325900001</v>
      </c>
    </row>
    <row r="17" spans="1:11" ht="14.4" customHeight="1" thickBot="1" x14ac:dyDescent="0.35">
      <c r="A17" s="327" t="s">
        <v>188</v>
      </c>
      <c r="B17" s="305">
        <v>56.999998204637997</v>
      </c>
      <c r="C17" s="305">
        <v>28.452030000000001</v>
      </c>
      <c r="D17" s="306">
        <v>-28.547968204638</v>
      </c>
      <c r="E17" s="307">
        <v>0.49915843677400001</v>
      </c>
      <c r="F17" s="305">
        <v>29.522960729922001</v>
      </c>
      <c r="G17" s="306">
        <v>7.3807401824800003</v>
      </c>
      <c r="H17" s="308">
        <v>1.7768999999999999</v>
      </c>
      <c r="I17" s="305">
        <v>6.3716200000000001</v>
      </c>
      <c r="J17" s="306">
        <v>-1.00912018248</v>
      </c>
      <c r="K17" s="309">
        <v>0.215819140169</v>
      </c>
    </row>
    <row r="18" spans="1:11" ht="14.4" customHeight="1" thickBot="1" x14ac:dyDescent="0.35">
      <c r="A18" s="327" t="s">
        <v>189</v>
      </c>
      <c r="B18" s="305">
        <v>4.9999998425119996</v>
      </c>
      <c r="C18" s="305">
        <v>8.5434999999999999</v>
      </c>
      <c r="D18" s="306">
        <v>3.5435001574870002</v>
      </c>
      <c r="E18" s="307">
        <v>1.708700053819</v>
      </c>
      <c r="F18" s="305">
        <v>13.439652905501999</v>
      </c>
      <c r="G18" s="306">
        <v>3.3599132263749998</v>
      </c>
      <c r="H18" s="308">
        <v>0.28799999999999998</v>
      </c>
      <c r="I18" s="305">
        <v>0.49969999999999998</v>
      </c>
      <c r="J18" s="306">
        <v>-2.860213226375</v>
      </c>
      <c r="K18" s="309">
        <v>3.7181019741E-2</v>
      </c>
    </row>
    <row r="19" spans="1:11" ht="14.4" customHeight="1" thickBot="1" x14ac:dyDescent="0.35">
      <c r="A19" s="327" t="s">
        <v>190</v>
      </c>
      <c r="B19" s="305">
        <v>17.735198276706001</v>
      </c>
      <c r="C19" s="305">
        <v>15.86332</v>
      </c>
      <c r="D19" s="306">
        <v>-1.871878276706</v>
      </c>
      <c r="E19" s="307">
        <v>0.89445405416299995</v>
      </c>
      <c r="F19" s="305">
        <v>0</v>
      </c>
      <c r="G19" s="306">
        <v>0</v>
      </c>
      <c r="H19" s="308">
        <v>0</v>
      </c>
      <c r="I19" s="305">
        <v>1.9843999999999999</v>
      </c>
      <c r="J19" s="306">
        <v>1.9843999999999999</v>
      </c>
      <c r="K19" s="315" t="s">
        <v>175</v>
      </c>
    </row>
    <row r="20" spans="1:11" ht="14.4" customHeight="1" thickBot="1" x14ac:dyDescent="0.35">
      <c r="A20" s="327" t="s">
        <v>191</v>
      </c>
      <c r="B20" s="305">
        <v>0</v>
      </c>
      <c r="C20" s="305">
        <v>2.16317</v>
      </c>
      <c r="D20" s="306">
        <v>2.16317</v>
      </c>
      <c r="E20" s="316" t="s">
        <v>192</v>
      </c>
      <c r="F20" s="305">
        <v>3.876862195213</v>
      </c>
      <c r="G20" s="306">
        <v>0.96921554880299998</v>
      </c>
      <c r="H20" s="308">
        <v>0</v>
      </c>
      <c r="I20" s="305">
        <v>0</v>
      </c>
      <c r="J20" s="306">
        <v>-0.96921554880299998</v>
      </c>
      <c r="K20" s="309">
        <v>0</v>
      </c>
    </row>
    <row r="21" spans="1:11" ht="14.4" customHeight="1" thickBot="1" x14ac:dyDescent="0.35">
      <c r="A21" s="327" t="s">
        <v>193</v>
      </c>
      <c r="B21" s="305">
        <v>2383.99992490978</v>
      </c>
      <c r="C21" s="305">
        <v>2310.4193700000001</v>
      </c>
      <c r="D21" s="306">
        <v>-73.580554909775998</v>
      </c>
      <c r="E21" s="307">
        <v>0.96913567230300002</v>
      </c>
      <c r="F21" s="305">
        <v>2305.00063538633</v>
      </c>
      <c r="G21" s="306">
        <v>576.25015884658205</v>
      </c>
      <c r="H21" s="308">
        <v>135.47734</v>
      </c>
      <c r="I21" s="305">
        <v>367.24106</v>
      </c>
      <c r="J21" s="306">
        <v>-209.00909884658199</v>
      </c>
      <c r="K21" s="309">
        <v>0.15932362636299999</v>
      </c>
    </row>
    <row r="22" spans="1:11" ht="14.4" customHeight="1" thickBot="1" x14ac:dyDescent="0.35">
      <c r="A22" s="327" t="s">
        <v>194</v>
      </c>
      <c r="B22" s="305">
        <v>5.761082141258</v>
      </c>
      <c r="C22" s="305">
        <v>5.1722599999999996</v>
      </c>
      <c r="D22" s="306">
        <v>-0.58882214125800003</v>
      </c>
      <c r="E22" s="307">
        <v>0.89779313559100005</v>
      </c>
      <c r="F22" s="305">
        <v>7.8139070857349999</v>
      </c>
      <c r="G22" s="306">
        <v>1.9534767714329999</v>
      </c>
      <c r="H22" s="308">
        <v>0</v>
      </c>
      <c r="I22" s="305">
        <v>1.01519</v>
      </c>
      <c r="J22" s="306">
        <v>-0.93828677143299999</v>
      </c>
      <c r="K22" s="309">
        <v>0.129920920336</v>
      </c>
    </row>
    <row r="23" spans="1:11" ht="14.4" customHeight="1" thickBot="1" x14ac:dyDescent="0.35">
      <c r="A23" s="327" t="s">
        <v>195</v>
      </c>
      <c r="B23" s="305">
        <v>69.999997795168994</v>
      </c>
      <c r="C23" s="305">
        <v>97.794889999999995</v>
      </c>
      <c r="D23" s="306">
        <v>27.794892204829999</v>
      </c>
      <c r="E23" s="307">
        <v>1.397069901147</v>
      </c>
      <c r="F23" s="305">
        <v>98.315694955393994</v>
      </c>
      <c r="G23" s="306">
        <v>24.578923738848001</v>
      </c>
      <c r="H23" s="308">
        <v>6.1485799999999999</v>
      </c>
      <c r="I23" s="305">
        <v>10.829079999999999</v>
      </c>
      <c r="J23" s="306">
        <v>-13.749843738848</v>
      </c>
      <c r="K23" s="309">
        <v>0.110145994542</v>
      </c>
    </row>
    <row r="24" spans="1:11" ht="14.4" customHeight="1" thickBot="1" x14ac:dyDescent="0.35">
      <c r="A24" s="326" t="s">
        <v>196</v>
      </c>
      <c r="B24" s="310">
        <v>1.999999937004</v>
      </c>
      <c r="C24" s="310">
        <v>13.10937</v>
      </c>
      <c r="D24" s="311">
        <v>11.109370062995</v>
      </c>
      <c r="E24" s="312">
        <v>6.5546852064559999</v>
      </c>
      <c r="F24" s="310">
        <v>10.352520024812</v>
      </c>
      <c r="G24" s="311">
        <v>2.5881300062029999</v>
      </c>
      <c r="H24" s="313">
        <v>0.158</v>
      </c>
      <c r="I24" s="310">
        <v>3.1485500000000002</v>
      </c>
      <c r="J24" s="311">
        <v>0.56041999379600005</v>
      </c>
      <c r="K24" s="314">
        <v>0.30413367879999997</v>
      </c>
    </row>
    <row r="25" spans="1:11" ht="14.4" customHeight="1" thickBot="1" x14ac:dyDescent="0.35">
      <c r="A25" s="327" t="s">
        <v>197</v>
      </c>
      <c r="B25" s="305">
        <v>0</v>
      </c>
      <c r="C25" s="305">
        <v>3.7303700000000002</v>
      </c>
      <c r="D25" s="306">
        <v>3.7303700000000002</v>
      </c>
      <c r="E25" s="316" t="s">
        <v>192</v>
      </c>
      <c r="F25" s="305">
        <v>0</v>
      </c>
      <c r="G25" s="306">
        <v>0</v>
      </c>
      <c r="H25" s="308">
        <v>0</v>
      </c>
      <c r="I25" s="305">
        <v>0</v>
      </c>
      <c r="J25" s="306">
        <v>0</v>
      </c>
      <c r="K25" s="315" t="s">
        <v>175</v>
      </c>
    </row>
    <row r="26" spans="1:11" ht="14.4" customHeight="1" thickBot="1" x14ac:dyDescent="0.35">
      <c r="A26" s="327" t="s">
        <v>198</v>
      </c>
      <c r="B26" s="305">
        <v>0</v>
      </c>
      <c r="C26" s="305">
        <v>0</v>
      </c>
      <c r="D26" s="306">
        <v>0</v>
      </c>
      <c r="E26" s="307">
        <v>1</v>
      </c>
      <c r="F26" s="305">
        <v>0</v>
      </c>
      <c r="G26" s="306">
        <v>0</v>
      </c>
      <c r="H26" s="308">
        <v>0</v>
      </c>
      <c r="I26" s="305">
        <v>2.9312999999999998</v>
      </c>
      <c r="J26" s="306">
        <v>2.9312999999999998</v>
      </c>
      <c r="K26" s="315" t="s">
        <v>192</v>
      </c>
    </row>
    <row r="27" spans="1:11" ht="14.4" customHeight="1" thickBot="1" x14ac:dyDescent="0.35">
      <c r="A27" s="327" t="s">
        <v>199</v>
      </c>
      <c r="B27" s="305">
        <v>0</v>
      </c>
      <c r="C27" s="305">
        <v>0.88600000000000001</v>
      </c>
      <c r="D27" s="306">
        <v>0.88600000000000001</v>
      </c>
      <c r="E27" s="316" t="s">
        <v>192</v>
      </c>
      <c r="F27" s="305">
        <v>0.90833631865200004</v>
      </c>
      <c r="G27" s="306">
        <v>0.22708407966300001</v>
      </c>
      <c r="H27" s="308">
        <v>0</v>
      </c>
      <c r="I27" s="305">
        <v>0</v>
      </c>
      <c r="J27" s="306">
        <v>-0.22708407966300001</v>
      </c>
      <c r="K27" s="309">
        <v>0</v>
      </c>
    </row>
    <row r="28" spans="1:11" ht="14.4" customHeight="1" thickBot="1" x14ac:dyDescent="0.35">
      <c r="A28" s="327" t="s">
        <v>200</v>
      </c>
      <c r="B28" s="305">
        <v>0</v>
      </c>
      <c r="C28" s="305">
        <v>0.496</v>
      </c>
      <c r="D28" s="306">
        <v>0.496</v>
      </c>
      <c r="E28" s="316" t="s">
        <v>192</v>
      </c>
      <c r="F28" s="305">
        <v>0.96269262766300001</v>
      </c>
      <c r="G28" s="306">
        <v>0.24067315691499999</v>
      </c>
      <c r="H28" s="308">
        <v>0</v>
      </c>
      <c r="I28" s="305">
        <v>0</v>
      </c>
      <c r="J28" s="306">
        <v>-0.24067315691499999</v>
      </c>
      <c r="K28" s="309">
        <v>0</v>
      </c>
    </row>
    <row r="29" spans="1:11" ht="14.4" customHeight="1" thickBot="1" x14ac:dyDescent="0.35">
      <c r="A29" s="327" t="s">
        <v>201</v>
      </c>
      <c r="B29" s="305">
        <v>1.999999937004</v>
      </c>
      <c r="C29" s="305">
        <v>7.9969999999999999</v>
      </c>
      <c r="D29" s="306">
        <v>5.9970000629950002</v>
      </c>
      <c r="E29" s="307">
        <v>3.998500125943</v>
      </c>
      <c r="F29" s="305">
        <v>8.4814910784959991</v>
      </c>
      <c r="G29" s="306">
        <v>2.1203727696239998</v>
      </c>
      <c r="H29" s="308">
        <v>0.158</v>
      </c>
      <c r="I29" s="305">
        <v>0.21725</v>
      </c>
      <c r="J29" s="306">
        <v>-1.9031227696240001</v>
      </c>
      <c r="K29" s="309">
        <v>2.5614599836999999E-2</v>
      </c>
    </row>
    <row r="30" spans="1:11" ht="14.4" customHeight="1" thickBot="1" x14ac:dyDescent="0.35">
      <c r="A30" s="326" t="s">
        <v>202</v>
      </c>
      <c r="B30" s="310">
        <v>166.99999473990499</v>
      </c>
      <c r="C30" s="310">
        <v>162.6353</v>
      </c>
      <c r="D30" s="311">
        <v>-4.3646947399040004</v>
      </c>
      <c r="E30" s="312">
        <v>0.97386410253</v>
      </c>
      <c r="F30" s="310">
        <v>127.067176474764</v>
      </c>
      <c r="G30" s="311">
        <v>31.766794118690999</v>
      </c>
      <c r="H30" s="313">
        <v>16.748419999999999</v>
      </c>
      <c r="I30" s="310">
        <v>33.221530000000001</v>
      </c>
      <c r="J30" s="311">
        <v>1.454735881308</v>
      </c>
      <c r="K30" s="314">
        <v>0.26144855753899998</v>
      </c>
    </row>
    <row r="31" spans="1:11" ht="14.4" customHeight="1" thickBot="1" x14ac:dyDescent="0.35">
      <c r="A31" s="327" t="s">
        <v>203</v>
      </c>
      <c r="B31" s="305">
        <v>13.999999559033</v>
      </c>
      <c r="C31" s="305">
        <v>11.3964</v>
      </c>
      <c r="D31" s="306">
        <v>-2.6035995590329999</v>
      </c>
      <c r="E31" s="307">
        <v>0.81402859706800001</v>
      </c>
      <c r="F31" s="305">
        <v>0</v>
      </c>
      <c r="G31" s="306">
        <v>0</v>
      </c>
      <c r="H31" s="308">
        <v>0.62439999999999996</v>
      </c>
      <c r="I31" s="305">
        <v>5.1807299999999996</v>
      </c>
      <c r="J31" s="306">
        <v>5.1807299999999996</v>
      </c>
      <c r="K31" s="315" t="s">
        <v>175</v>
      </c>
    </row>
    <row r="32" spans="1:11" ht="14.4" customHeight="1" thickBot="1" x14ac:dyDescent="0.35">
      <c r="A32" s="327" t="s">
        <v>204</v>
      </c>
      <c r="B32" s="305">
        <v>149.999995275364</v>
      </c>
      <c r="C32" s="305">
        <v>150.02889999999999</v>
      </c>
      <c r="D32" s="306">
        <v>2.8904724635999999E-2</v>
      </c>
      <c r="E32" s="307">
        <v>1.00019269817</v>
      </c>
      <c r="F32" s="305">
        <v>125.889725160536</v>
      </c>
      <c r="G32" s="306">
        <v>31.472431290134001</v>
      </c>
      <c r="H32" s="308">
        <v>16.124020000000002</v>
      </c>
      <c r="I32" s="305">
        <v>28.040800000000001</v>
      </c>
      <c r="J32" s="306">
        <v>-3.4316312901339998</v>
      </c>
      <c r="K32" s="309">
        <v>0.222740974009</v>
      </c>
    </row>
    <row r="33" spans="1:11" ht="14.4" customHeight="1" thickBot="1" x14ac:dyDescent="0.35">
      <c r="A33" s="327" t="s">
        <v>205</v>
      </c>
      <c r="B33" s="305">
        <v>2.9999999055069999</v>
      </c>
      <c r="C33" s="305">
        <v>1.21</v>
      </c>
      <c r="D33" s="306">
        <v>-1.7899999055069999</v>
      </c>
      <c r="E33" s="307">
        <v>0.403333346037</v>
      </c>
      <c r="F33" s="305">
        <v>1.177451314227</v>
      </c>
      <c r="G33" s="306">
        <v>0.29436282855599999</v>
      </c>
      <c r="H33" s="308">
        <v>0</v>
      </c>
      <c r="I33" s="305">
        <v>0</v>
      </c>
      <c r="J33" s="306">
        <v>-0.29436282855599999</v>
      </c>
      <c r="K33" s="309">
        <v>0</v>
      </c>
    </row>
    <row r="34" spans="1:11" ht="14.4" customHeight="1" thickBot="1" x14ac:dyDescent="0.35">
      <c r="A34" s="325" t="s">
        <v>26</v>
      </c>
      <c r="B34" s="305">
        <v>6079.0493414361999</v>
      </c>
      <c r="C34" s="305">
        <v>6228.7110199999997</v>
      </c>
      <c r="D34" s="306">
        <v>149.66167856380201</v>
      </c>
      <c r="E34" s="307">
        <v>1.024619257084</v>
      </c>
      <c r="F34" s="305">
        <v>6057.1212631177596</v>
      </c>
      <c r="G34" s="306">
        <v>1514.2803157794399</v>
      </c>
      <c r="H34" s="308">
        <v>713.05799999999999</v>
      </c>
      <c r="I34" s="305">
        <v>2266.0659999999998</v>
      </c>
      <c r="J34" s="306">
        <v>751.78568422056105</v>
      </c>
      <c r="K34" s="309">
        <v>0.37411600355399999</v>
      </c>
    </row>
    <row r="35" spans="1:11" ht="14.4" customHeight="1" thickBot="1" x14ac:dyDescent="0.35">
      <c r="A35" s="326" t="s">
        <v>206</v>
      </c>
      <c r="B35" s="310">
        <v>6079.0493414361999</v>
      </c>
      <c r="C35" s="310">
        <v>6228.7110199999997</v>
      </c>
      <c r="D35" s="311">
        <v>149.66167856380201</v>
      </c>
      <c r="E35" s="312">
        <v>1.024619257084</v>
      </c>
      <c r="F35" s="310">
        <v>6057.1212631177596</v>
      </c>
      <c r="G35" s="311">
        <v>1514.2803157794399</v>
      </c>
      <c r="H35" s="313">
        <v>713.05799999999999</v>
      </c>
      <c r="I35" s="310">
        <v>2266.0659999999998</v>
      </c>
      <c r="J35" s="311">
        <v>751.78568422056105</v>
      </c>
      <c r="K35" s="314">
        <v>0.37411600355399999</v>
      </c>
    </row>
    <row r="36" spans="1:11" ht="14.4" customHeight="1" thickBot="1" x14ac:dyDescent="0.35">
      <c r="A36" s="327" t="s">
        <v>207</v>
      </c>
      <c r="B36" s="305">
        <v>372.04952119285002</v>
      </c>
      <c r="C36" s="305">
        <v>372.80200000000002</v>
      </c>
      <c r="D36" s="306">
        <v>0.75247880714899995</v>
      </c>
      <c r="E36" s="307">
        <v>1.0020225232510001</v>
      </c>
      <c r="F36" s="305">
        <v>367.83261538864798</v>
      </c>
      <c r="G36" s="306">
        <v>91.958153847161995</v>
      </c>
      <c r="H36" s="308">
        <v>27.698</v>
      </c>
      <c r="I36" s="305">
        <v>83.191000000000003</v>
      </c>
      <c r="J36" s="306">
        <v>-8.7671538471609995</v>
      </c>
      <c r="K36" s="309">
        <v>0.22616537120300001</v>
      </c>
    </row>
    <row r="37" spans="1:11" ht="14.4" customHeight="1" thickBot="1" x14ac:dyDescent="0.35">
      <c r="A37" s="327" t="s">
        <v>208</v>
      </c>
      <c r="B37" s="305">
        <v>1599.9999496038799</v>
      </c>
      <c r="C37" s="305">
        <v>1514.741</v>
      </c>
      <c r="D37" s="306">
        <v>-85.258949603876999</v>
      </c>
      <c r="E37" s="307">
        <v>0.94671315481899998</v>
      </c>
      <c r="F37" s="305">
        <v>1404.8516892156999</v>
      </c>
      <c r="G37" s="306">
        <v>351.21292230392402</v>
      </c>
      <c r="H37" s="308">
        <v>143.363</v>
      </c>
      <c r="I37" s="305">
        <v>410.34899999999999</v>
      </c>
      <c r="J37" s="306">
        <v>59.136077696076001</v>
      </c>
      <c r="K37" s="309">
        <v>0.292094178446</v>
      </c>
    </row>
    <row r="38" spans="1:11" ht="14.4" customHeight="1" thickBot="1" x14ac:dyDescent="0.35">
      <c r="A38" s="327" t="s">
        <v>209</v>
      </c>
      <c r="B38" s="305">
        <v>4106.9998706394699</v>
      </c>
      <c r="C38" s="305">
        <v>4341.1680200000001</v>
      </c>
      <c r="D38" s="306">
        <v>234.16814936052799</v>
      </c>
      <c r="E38" s="307">
        <v>1.057016838747</v>
      </c>
      <c r="F38" s="305">
        <v>4284.43695851341</v>
      </c>
      <c r="G38" s="306">
        <v>1071.10923962835</v>
      </c>
      <c r="H38" s="308">
        <v>541.99699999999996</v>
      </c>
      <c r="I38" s="305">
        <v>1772.5260000000001</v>
      </c>
      <c r="J38" s="306">
        <v>701.416760371647</v>
      </c>
      <c r="K38" s="309">
        <v>0.41371270418099998</v>
      </c>
    </row>
    <row r="39" spans="1:11" ht="14.4" customHeight="1" thickBot="1" x14ac:dyDescent="0.35">
      <c r="A39" s="328" t="s">
        <v>210</v>
      </c>
      <c r="B39" s="310">
        <v>2172.5053974520702</v>
      </c>
      <c r="C39" s="310">
        <v>2097.7882300000001</v>
      </c>
      <c r="D39" s="311">
        <v>-74.717167452067997</v>
      </c>
      <c r="E39" s="312">
        <v>0.96560783345300005</v>
      </c>
      <c r="F39" s="310">
        <v>1917.7862299640201</v>
      </c>
      <c r="G39" s="311">
        <v>479.446557491004</v>
      </c>
      <c r="H39" s="313">
        <v>184.33589000000001</v>
      </c>
      <c r="I39" s="310">
        <v>352.77542999999997</v>
      </c>
      <c r="J39" s="311">
        <v>-126.671127491004</v>
      </c>
      <c r="K39" s="314">
        <v>0.18394929762600001</v>
      </c>
    </row>
    <row r="40" spans="1:11" ht="14.4" customHeight="1" thickBot="1" x14ac:dyDescent="0.35">
      <c r="A40" s="325" t="s">
        <v>29</v>
      </c>
      <c r="B40" s="305">
        <v>468.411263734692</v>
      </c>
      <c r="C40" s="305">
        <v>492.05506000000003</v>
      </c>
      <c r="D40" s="306">
        <v>23.643796265308001</v>
      </c>
      <c r="E40" s="307">
        <v>1.0504765749580001</v>
      </c>
      <c r="F40" s="305">
        <v>437.54435218748699</v>
      </c>
      <c r="G40" s="306">
        <v>109.386088046872</v>
      </c>
      <c r="H40" s="308">
        <v>51.737450000000003</v>
      </c>
      <c r="I40" s="305">
        <v>74.817850000000007</v>
      </c>
      <c r="J40" s="306">
        <v>-34.568238046871002</v>
      </c>
      <c r="K40" s="309">
        <v>0.17099489371900001</v>
      </c>
    </row>
    <row r="41" spans="1:11" ht="14.4" customHeight="1" thickBot="1" x14ac:dyDescent="0.35">
      <c r="A41" s="329" t="s">
        <v>211</v>
      </c>
      <c r="B41" s="305">
        <v>468.411263734692</v>
      </c>
      <c r="C41" s="305">
        <v>492.05506000000003</v>
      </c>
      <c r="D41" s="306">
        <v>23.643796265308001</v>
      </c>
      <c r="E41" s="307">
        <v>1.0504765749580001</v>
      </c>
      <c r="F41" s="305">
        <v>437.54435218748699</v>
      </c>
      <c r="G41" s="306">
        <v>109.386088046872</v>
      </c>
      <c r="H41" s="308">
        <v>51.737450000000003</v>
      </c>
      <c r="I41" s="305">
        <v>74.817850000000007</v>
      </c>
      <c r="J41" s="306">
        <v>-34.568238046871002</v>
      </c>
      <c r="K41" s="309">
        <v>0.17099489371900001</v>
      </c>
    </row>
    <row r="42" spans="1:11" ht="14.4" customHeight="1" thickBot="1" x14ac:dyDescent="0.35">
      <c r="A42" s="327" t="s">
        <v>212</v>
      </c>
      <c r="B42" s="305">
        <v>394.43093091515902</v>
      </c>
      <c r="C42" s="305">
        <v>425.42637999999999</v>
      </c>
      <c r="D42" s="306">
        <v>30.995449084840999</v>
      </c>
      <c r="E42" s="307">
        <v>1.07858270398</v>
      </c>
      <c r="F42" s="305">
        <v>349.73733778512798</v>
      </c>
      <c r="G42" s="306">
        <v>87.434334446281994</v>
      </c>
      <c r="H42" s="308">
        <v>51.737450000000003</v>
      </c>
      <c r="I42" s="305">
        <v>70.529899999999998</v>
      </c>
      <c r="J42" s="306">
        <v>-16.904434446282</v>
      </c>
      <c r="K42" s="309">
        <v>0.20166534247199999</v>
      </c>
    </row>
    <row r="43" spans="1:11" ht="14.4" customHeight="1" thickBot="1" x14ac:dyDescent="0.35">
      <c r="A43" s="327" t="s">
        <v>213</v>
      </c>
      <c r="B43" s="305">
        <v>0</v>
      </c>
      <c r="C43" s="305">
        <v>35.396129999999999</v>
      </c>
      <c r="D43" s="306">
        <v>35.396129999999999</v>
      </c>
      <c r="E43" s="316" t="s">
        <v>192</v>
      </c>
      <c r="F43" s="305">
        <v>51.538006017960001</v>
      </c>
      <c r="G43" s="306">
        <v>12.88450150449</v>
      </c>
      <c r="H43" s="308">
        <v>0</v>
      </c>
      <c r="I43" s="305">
        <v>2.42</v>
      </c>
      <c r="J43" s="306">
        <v>-10.46450150449</v>
      </c>
      <c r="K43" s="309">
        <v>4.6955638895999997E-2</v>
      </c>
    </row>
    <row r="44" spans="1:11" ht="14.4" customHeight="1" thickBot="1" x14ac:dyDescent="0.35">
      <c r="A44" s="327" t="s">
        <v>214</v>
      </c>
      <c r="B44" s="305">
        <v>59.999998110145</v>
      </c>
      <c r="C44" s="305">
        <v>10.65368</v>
      </c>
      <c r="D44" s="306">
        <v>-49.346318110144999</v>
      </c>
      <c r="E44" s="307">
        <v>0.17756133892600001</v>
      </c>
      <c r="F44" s="305">
        <v>15.561453940074999</v>
      </c>
      <c r="G44" s="306">
        <v>3.8903634850179998</v>
      </c>
      <c r="H44" s="308">
        <v>0</v>
      </c>
      <c r="I44" s="305">
        <v>0</v>
      </c>
      <c r="J44" s="306">
        <v>-3.8903634850179998</v>
      </c>
      <c r="K44" s="309">
        <v>0</v>
      </c>
    </row>
    <row r="45" spans="1:11" ht="14.4" customHeight="1" thickBot="1" x14ac:dyDescent="0.35">
      <c r="A45" s="327" t="s">
        <v>215</v>
      </c>
      <c r="B45" s="305">
        <v>13.980334709387</v>
      </c>
      <c r="C45" s="305">
        <v>20.578869999999998</v>
      </c>
      <c r="D45" s="306">
        <v>6.5985352906120003</v>
      </c>
      <c r="E45" s="307">
        <v>1.471986932199</v>
      </c>
      <c r="F45" s="305">
        <v>20.707554444322</v>
      </c>
      <c r="G45" s="306">
        <v>5.1768886110799999</v>
      </c>
      <c r="H45" s="308">
        <v>0</v>
      </c>
      <c r="I45" s="305">
        <v>1.86795</v>
      </c>
      <c r="J45" s="306">
        <v>-3.3089386110799999</v>
      </c>
      <c r="K45" s="309">
        <v>9.0206209768000006E-2</v>
      </c>
    </row>
    <row r="46" spans="1:11" ht="14.4" customHeight="1" thickBot="1" x14ac:dyDescent="0.35">
      <c r="A46" s="330" t="s">
        <v>30</v>
      </c>
      <c r="B46" s="310">
        <v>0</v>
      </c>
      <c r="C46" s="310">
        <v>5.5250000000000004</v>
      </c>
      <c r="D46" s="311">
        <v>5.5250000000000004</v>
      </c>
      <c r="E46" s="317" t="s">
        <v>175</v>
      </c>
      <c r="F46" s="310">
        <v>0</v>
      </c>
      <c r="G46" s="311">
        <v>0</v>
      </c>
      <c r="H46" s="313">
        <v>0</v>
      </c>
      <c r="I46" s="310">
        <v>0.97399999999999998</v>
      </c>
      <c r="J46" s="311">
        <v>0.97399999999999998</v>
      </c>
      <c r="K46" s="318" t="s">
        <v>175</v>
      </c>
    </row>
    <row r="47" spans="1:11" ht="14.4" customHeight="1" thickBot="1" x14ac:dyDescent="0.35">
      <c r="A47" s="326" t="s">
        <v>216</v>
      </c>
      <c r="B47" s="310">
        <v>0</v>
      </c>
      <c r="C47" s="310">
        <v>5.5250000000000004</v>
      </c>
      <c r="D47" s="311">
        <v>5.5250000000000004</v>
      </c>
      <c r="E47" s="317" t="s">
        <v>175</v>
      </c>
      <c r="F47" s="310">
        <v>0</v>
      </c>
      <c r="G47" s="311">
        <v>0</v>
      </c>
      <c r="H47" s="313">
        <v>0</v>
      </c>
      <c r="I47" s="310">
        <v>0.97399999999999998</v>
      </c>
      <c r="J47" s="311">
        <v>0.97399999999999998</v>
      </c>
      <c r="K47" s="318" t="s">
        <v>175</v>
      </c>
    </row>
    <row r="48" spans="1:11" ht="14.4" customHeight="1" thickBot="1" x14ac:dyDescent="0.35">
      <c r="A48" s="327" t="s">
        <v>217</v>
      </c>
      <c r="B48" s="305">
        <v>0</v>
      </c>
      <c r="C48" s="305">
        <v>5.5250000000000004</v>
      </c>
      <c r="D48" s="306">
        <v>5.5250000000000004</v>
      </c>
      <c r="E48" s="316" t="s">
        <v>175</v>
      </c>
      <c r="F48" s="305">
        <v>0</v>
      </c>
      <c r="G48" s="306">
        <v>0</v>
      </c>
      <c r="H48" s="308">
        <v>0</v>
      </c>
      <c r="I48" s="305">
        <v>0.97399999999999998</v>
      </c>
      <c r="J48" s="306">
        <v>0.97399999999999998</v>
      </c>
      <c r="K48" s="315" t="s">
        <v>175</v>
      </c>
    </row>
    <row r="49" spans="1:11" ht="14.4" customHeight="1" thickBot="1" x14ac:dyDescent="0.35">
      <c r="A49" s="325" t="s">
        <v>31</v>
      </c>
      <c r="B49" s="305">
        <v>1704.0941337173799</v>
      </c>
      <c r="C49" s="305">
        <v>1600.2081700000001</v>
      </c>
      <c r="D49" s="306">
        <v>-103.885963717377</v>
      </c>
      <c r="E49" s="307">
        <v>0.93903742659400002</v>
      </c>
      <c r="F49" s="305">
        <v>1480.2418777765299</v>
      </c>
      <c r="G49" s="306">
        <v>370.06046944413299</v>
      </c>
      <c r="H49" s="308">
        <v>132.59844000000001</v>
      </c>
      <c r="I49" s="305">
        <v>276.98358000000002</v>
      </c>
      <c r="J49" s="306">
        <v>-93.076889444131993</v>
      </c>
      <c r="K49" s="309">
        <v>0.18712048629200001</v>
      </c>
    </row>
    <row r="50" spans="1:11" ht="14.4" customHeight="1" thickBot="1" x14ac:dyDescent="0.35">
      <c r="A50" s="326" t="s">
        <v>218</v>
      </c>
      <c r="B50" s="310">
        <v>8.1819217636000001</v>
      </c>
      <c r="C50" s="310">
        <v>6.89079</v>
      </c>
      <c r="D50" s="311">
        <v>-1.2911317635999999</v>
      </c>
      <c r="E50" s="312">
        <v>0.84219700445599999</v>
      </c>
      <c r="F50" s="310">
        <v>6.9938408509540002</v>
      </c>
      <c r="G50" s="311">
        <v>1.748460212738</v>
      </c>
      <c r="H50" s="313">
        <v>0.55945999999999996</v>
      </c>
      <c r="I50" s="310">
        <v>1.2497</v>
      </c>
      <c r="J50" s="311">
        <v>-0.49876021273799998</v>
      </c>
      <c r="K50" s="314">
        <v>0.17868579320399999</v>
      </c>
    </row>
    <row r="51" spans="1:11" ht="14.4" customHeight="1" thickBot="1" x14ac:dyDescent="0.35">
      <c r="A51" s="327" t="s">
        <v>219</v>
      </c>
      <c r="B51" s="305">
        <v>0.72195120511499999</v>
      </c>
      <c r="C51" s="305">
        <v>1.1229</v>
      </c>
      <c r="D51" s="306">
        <v>0.40094879488399998</v>
      </c>
      <c r="E51" s="307">
        <v>1.5553682742579999</v>
      </c>
      <c r="F51" s="305">
        <v>0.67196501924700003</v>
      </c>
      <c r="G51" s="306">
        <v>0.167991254811</v>
      </c>
      <c r="H51" s="308">
        <v>6.6500000000000004E-2</v>
      </c>
      <c r="I51" s="305">
        <v>0.3458</v>
      </c>
      <c r="J51" s="306">
        <v>0.17780874518799999</v>
      </c>
      <c r="K51" s="309">
        <v>0.51461012120399996</v>
      </c>
    </row>
    <row r="52" spans="1:11" ht="14.4" customHeight="1" thickBot="1" x14ac:dyDescent="0.35">
      <c r="A52" s="327" t="s">
        <v>220</v>
      </c>
      <c r="B52" s="305">
        <v>7.4599705584839997</v>
      </c>
      <c r="C52" s="305">
        <v>5.7678900000000004</v>
      </c>
      <c r="D52" s="306">
        <v>-1.692080558484</v>
      </c>
      <c r="E52" s="307">
        <v>0.773178654631</v>
      </c>
      <c r="F52" s="305">
        <v>6.3218758317069996</v>
      </c>
      <c r="G52" s="306">
        <v>1.5804689579260001</v>
      </c>
      <c r="H52" s="308">
        <v>0.49296000000000001</v>
      </c>
      <c r="I52" s="305">
        <v>0.90390000000000004</v>
      </c>
      <c r="J52" s="306">
        <v>-0.67656895792600003</v>
      </c>
      <c r="K52" s="309">
        <v>0.142979714259</v>
      </c>
    </row>
    <row r="53" spans="1:11" ht="14.4" customHeight="1" thickBot="1" x14ac:dyDescent="0.35">
      <c r="A53" s="326" t="s">
        <v>221</v>
      </c>
      <c r="B53" s="310">
        <v>1.6780130237769999</v>
      </c>
      <c r="C53" s="310">
        <v>1.62</v>
      </c>
      <c r="D53" s="311">
        <v>-5.8013023777000003E-2</v>
      </c>
      <c r="E53" s="312">
        <v>0.96542754856099999</v>
      </c>
      <c r="F53" s="310">
        <v>2.000000551311</v>
      </c>
      <c r="G53" s="311">
        <v>0.50000013782700004</v>
      </c>
      <c r="H53" s="313">
        <v>0</v>
      </c>
      <c r="I53" s="310">
        <v>0.40500000000000003</v>
      </c>
      <c r="J53" s="311">
        <v>-9.5000137826999995E-2</v>
      </c>
      <c r="K53" s="314">
        <v>0.202499944179</v>
      </c>
    </row>
    <row r="54" spans="1:11" ht="14.4" customHeight="1" thickBot="1" x14ac:dyDescent="0.35">
      <c r="A54" s="327" t="s">
        <v>222</v>
      </c>
      <c r="B54" s="305">
        <v>1.6780130237769999</v>
      </c>
      <c r="C54" s="305">
        <v>1.62</v>
      </c>
      <c r="D54" s="306">
        <v>-5.8013023777000003E-2</v>
      </c>
      <c r="E54" s="307">
        <v>0.96542754856099999</v>
      </c>
      <c r="F54" s="305">
        <v>2.000000551311</v>
      </c>
      <c r="G54" s="306">
        <v>0.50000013782700004</v>
      </c>
      <c r="H54" s="308">
        <v>0</v>
      </c>
      <c r="I54" s="305">
        <v>0.40500000000000003</v>
      </c>
      <c r="J54" s="306">
        <v>-9.5000137826999995E-2</v>
      </c>
      <c r="K54" s="309">
        <v>0.202499944179</v>
      </c>
    </row>
    <row r="55" spans="1:11" ht="14.4" customHeight="1" thickBot="1" x14ac:dyDescent="0.35">
      <c r="A55" s="326" t="s">
        <v>223</v>
      </c>
      <c r="B55" s="310">
        <v>389.72491163334303</v>
      </c>
      <c r="C55" s="310">
        <v>426.51253000000003</v>
      </c>
      <c r="D55" s="311">
        <v>36.787618366655998</v>
      </c>
      <c r="E55" s="312">
        <v>1.0943938077049999</v>
      </c>
      <c r="F55" s="310">
        <v>436.59698452483502</v>
      </c>
      <c r="G55" s="311">
        <v>109.149246131209</v>
      </c>
      <c r="H55" s="313">
        <v>42.720880000000001</v>
      </c>
      <c r="I55" s="310">
        <v>121.36727999999999</v>
      </c>
      <c r="J55" s="311">
        <v>12.218033868791</v>
      </c>
      <c r="K55" s="314">
        <v>0.27798469595899999</v>
      </c>
    </row>
    <row r="56" spans="1:11" ht="14.4" customHeight="1" thickBot="1" x14ac:dyDescent="0.35">
      <c r="A56" s="327" t="s">
        <v>224</v>
      </c>
      <c r="B56" s="305">
        <v>375.22625086611498</v>
      </c>
      <c r="C56" s="305">
        <v>414.91253</v>
      </c>
      <c r="D56" s="306">
        <v>39.686279133885002</v>
      </c>
      <c r="E56" s="307">
        <v>1.1057662651319999</v>
      </c>
      <c r="F56" s="305">
        <v>426.47724742127201</v>
      </c>
      <c r="G56" s="306">
        <v>106.619311855318</v>
      </c>
      <c r="H56" s="308">
        <v>30.101320000000001</v>
      </c>
      <c r="I56" s="305">
        <v>90.303960000000004</v>
      </c>
      <c r="J56" s="306">
        <v>-16.315351855317001</v>
      </c>
      <c r="K56" s="309">
        <v>0.21174391024600001</v>
      </c>
    </row>
    <row r="57" spans="1:11" ht="14.4" customHeight="1" thickBot="1" x14ac:dyDescent="0.35">
      <c r="A57" s="327" t="s">
        <v>225</v>
      </c>
      <c r="B57" s="305">
        <v>0</v>
      </c>
      <c r="C57" s="305">
        <v>0</v>
      </c>
      <c r="D57" s="306">
        <v>0</v>
      </c>
      <c r="E57" s="307">
        <v>1</v>
      </c>
      <c r="F57" s="305">
        <v>0</v>
      </c>
      <c r="G57" s="306">
        <v>0</v>
      </c>
      <c r="H57" s="308">
        <v>11.819559999999999</v>
      </c>
      <c r="I57" s="305">
        <v>28.663319999999999</v>
      </c>
      <c r="J57" s="306">
        <v>28.663319999999999</v>
      </c>
      <c r="K57" s="315" t="s">
        <v>192</v>
      </c>
    </row>
    <row r="58" spans="1:11" ht="14.4" customHeight="1" thickBot="1" x14ac:dyDescent="0.35">
      <c r="A58" s="327" t="s">
        <v>226</v>
      </c>
      <c r="B58" s="305">
        <v>14.498660767227999</v>
      </c>
      <c r="C58" s="305">
        <v>11.6</v>
      </c>
      <c r="D58" s="306">
        <v>-2.8986607672279998</v>
      </c>
      <c r="E58" s="307">
        <v>0.80007389552899999</v>
      </c>
      <c r="F58" s="305">
        <v>10.119737103563001</v>
      </c>
      <c r="G58" s="306">
        <v>2.5299342758900001</v>
      </c>
      <c r="H58" s="308">
        <v>0.8</v>
      </c>
      <c r="I58" s="305">
        <v>2.4</v>
      </c>
      <c r="J58" s="306">
        <v>-0.12993427589000001</v>
      </c>
      <c r="K58" s="309">
        <v>0.237160311126</v>
      </c>
    </row>
    <row r="59" spans="1:11" ht="14.4" customHeight="1" thickBot="1" x14ac:dyDescent="0.35">
      <c r="A59" s="326" t="s">
        <v>227</v>
      </c>
      <c r="B59" s="310">
        <v>1259.5092887140499</v>
      </c>
      <c r="C59" s="310">
        <v>1101.1648499999999</v>
      </c>
      <c r="D59" s="311">
        <v>-158.34443871404599</v>
      </c>
      <c r="E59" s="312">
        <v>0.87428084879300005</v>
      </c>
      <c r="F59" s="310">
        <v>1007.82934267004</v>
      </c>
      <c r="G59" s="311">
        <v>251.95733566750999</v>
      </c>
      <c r="H59" s="313">
        <v>89.318100000000001</v>
      </c>
      <c r="I59" s="310">
        <v>153.9616</v>
      </c>
      <c r="J59" s="311">
        <v>-97.995735667508995</v>
      </c>
      <c r="K59" s="314">
        <v>0.15276554618999999</v>
      </c>
    </row>
    <row r="60" spans="1:11" ht="14.4" customHeight="1" thickBot="1" x14ac:dyDescent="0.35">
      <c r="A60" s="327" t="s">
        <v>228</v>
      </c>
      <c r="B60" s="305">
        <v>4.5265724092730002</v>
      </c>
      <c r="C60" s="305">
        <v>24.420999999999999</v>
      </c>
      <c r="D60" s="306">
        <v>19.894427590726</v>
      </c>
      <c r="E60" s="307">
        <v>5.395031337611</v>
      </c>
      <c r="F60" s="305">
        <v>5.0000013782780002</v>
      </c>
      <c r="G60" s="306">
        <v>1.250000344569</v>
      </c>
      <c r="H60" s="308">
        <v>0</v>
      </c>
      <c r="I60" s="305">
        <v>0</v>
      </c>
      <c r="J60" s="306">
        <v>-1.250000344569</v>
      </c>
      <c r="K60" s="309">
        <v>0</v>
      </c>
    </row>
    <row r="61" spans="1:11" ht="14.4" customHeight="1" thickBot="1" x14ac:dyDescent="0.35">
      <c r="A61" s="327" t="s">
        <v>229</v>
      </c>
      <c r="B61" s="305">
        <v>1140.6857382846799</v>
      </c>
      <c r="C61" s="305">
        <v>1035.2498499999999</v>
      </c>
      <c r="D61" s="306">
        <v>-105.435888284679</v>
      </c>
      <c r="E61" s="307">
        <v>0.90756797885100005</v>
      </c>
      <c r="F61" s="305">
        <v>933.15396430798899</v>
      </c>
      <c r="G61" s="306">
        <v>233.28849107699699</v>
      </c>
      <c r="H61" s="308">
        <v>72.005099999999999</v>
      </c>
      <c r="I61" s="305">
        <v>132.68360000000001</v>
      </c>
      <c r="J61" s="306">
        <v>-100.60489107699701</v>
      </c>
      <c r="K61" s="309">
        <v>0.14218832590800001</v>
      </c>
    </row>
    <row r="62" spans="1:11" ht="14.4" customHeight="1" thickBot="1" x14ac:dyDescent="0.35">
      <c r="A62" s="327" t="s">
        <v>230</v>
      </c>
      <c r="B62" s="305">
        <v>0.99999996850200001</v>
      </c>
      <c r="C62" s="305">
        <v>0</v>
      </c>
      <c r="D62" s="306">
        <v>-0.99999996850200001</v>
      </c>
      <c r="E62" s="307">
        <v>0</v>
      </c>
      <c r="F62" s="305">
        <v>4.0000011026219999</v>
      </c>
      <c r="G62" s="306">
        <v>1.0000002756549999</v>
      </c>
      <c r="H62" s="308">
        <v>0</v>
      </c>
      <c r="I62" s="305">
        <v>0</v>
      </c>
      <c r="J62" s="306">
        <v>-1.0000002756549999</v>
      </c>
      <c r="K62" s="309">
        <v>0</v>
      </c>
    </row>
    <row r="63" spans="1:11" ht="14.4" customHeight="1" thickBot="1" x14ac:dyDescent="0.35">
      <c r="A63" s="327" t="s">
        <v>231</v>
      </c>
      <c r="B63" s="305">
        <v>113.296978051591</v>
      </c>
      <c r="C63" s="305">
        <v>41.494</v>
      </c>
      <c r="D63" s="306">
        <v>-71.802978051590998</v>
      </c>
      <c r="E63" s="307">
        <v>0.36624101289799998</v>
      </c>
      <c r="F63" s="305">
        <v>65.675375881148</v>
      </c>
      <c r="G63" s="306">
        <v>16.418843970287</v>
      </c>
      <c r="H63" s="308">
        <v>17.312999999999999</v>
      </c>
      <c r="I63" s="305">
        <v>21.277999999999999</v>
      </c>
      <c r="J63" s="306">
        <v>4.8591560297119996</v>
      </c>
      <c r="K63" s="309">
        <v>0.323987487159</v>
      </c>
    </row>
    <row r="64" spans="1:11" ht="14.4" customHeight="1" thickBot="1" x14ac:dyDescent="0.35">
      <c r="A64" s="326" t="s">
        <v>232</v>
      </c>
      <c r="B64" s="310">
        <v>44.999998582609003</v>
      </c>
      <c r="C64" s="310">
        <v>64.02</v>
      </c>
      <c r="D64" s="311">
        <v>19.020001417389999</v>
      </c>
      <c r="E64" s="312">
        <v>1.422666711477</v>
      </c>
      <c r="F64" s="310">
        <v>26.821709179391</v>
      </c>
      <c r="G64" s="311">
        <v>6.7054272948470004</v>
      </c>
      <c r="H64" s="313">
        <v>0</v>
      </c>
      <c r="I64" s="310">
        <v>0</v>
      </c>
      <c r="J64" s="311">
        <v>-6.7054272948470004</v>
      </c>
      <c r="K64" s="314">
        <v>0</v>
      </c>
    </row>
    <row r="65" spans="1:11" ht="14.4" customHeight="1" thickBot="1" x14ac:dyDescent="0.35">
      <c r="A65" s="327" t="s">
        <v>233</v>
      </c>
      <c r="B65" s="305">
        <v>9.9999996850239992</v>
      </c>
      <c r="C65" s="305">
        <v>1.1000000000000001</v>
      </c>
      <c r="D65" s="306">
        <v>-8.8999996850239995</v>
      </c>
      <c r="E65" s="307">
        <v>0.110000003464</v>
      </c>
      <c r="F65" s="305">
        <v>1.8217022879989999</v>
      </c>
      <c r="G65" s="306">
        <v>0.45542557199900002</v>
      </c>
      <c r="H65" s="308">
        <v>0</v>
      </c>
      <c r="I65" s="305">
        <v>0</v>
      </c>
      <c r="J65" s="306">
        <v>-0.45542557199900002</v>
      </c>
      <c r="K65" s="309">
        <v>0</v>
      </c>
    </row>
    <row r="66" spans="1:11" ht="14.4" customHeight="1" thickBot="1" x14ac:dyDescent="0.35">
      <c r="A66" s="327" t="s">
        <v>234</v>
      </c>
      <c r="B66" s="305">
        <v>34.999998897584</v>
      </c>
      <c r="C66" s="305">
        <v>62.92</v>
      </c>
      <c r="D66" s="306">
        <v>27.920001102415</v>
      </c>
      <c r="E66" s="307">
        <v>1.7977143423369999</v>
      </c>
      <c r="F66" s="305">
        <v>25.000006891390999</v>
      </c>
      <c r="G66" s="306">
        <v>6.2500017228470002</v>
      </c>
      <c r="H66" s="308">
        <v>0</v>
      </c>
      <c r="I66" s="305">
        <v>0</v>
      </c>
      <c r="J66" s="306">
        <v>-6.2500017228470002</v>
      </c>
      <c r="K66" s="309">
        <v>0</v>
      </c>
    </row>
    <row r="67" spans="1:11" ht="14.4" customHeight="1" thickBot="1" x14ac:dyDescent="0.35">
      <c r="A67" s="324" t="s">
        <v>32</v>
      </c>
      <c r="B67" s="305">
        <v>12179.999616359501</v>
      </c>
      <c r="C67" s="305">
        <v>12207.314469999999</v>
      </c>
      <c r="D67" s="306">
        <v>27.314853640479999</v>
      </c>
      <c r="E67" s="307">
        <v>1.002242598891</v>
      </c>
      <c r="F67" s="305">
        <v>12221.0033687881</v>
      </c>
      <c r="G67" s="306">
        <v>3055.2508421970201</v>
      </c>
      <c r="H67" s="308">
        <v>983.52422999999999</v>
      </c>
      <c r="I67" s="305">
        <v>2947.16806</v>
      </c>
      <c r="J67" s="306">
        <v>-108.082782197017</v>
      </c>
      <c r="K67" s="309">
        <v>0.24115598130999999</v>
      </c>
    </row>
    <row r="68" spans="1:11" ht="14.4" customHeight="1" thickBot="1" x14ac:dyDescent="0.35">
      <c r="A68" s="330" t="s">
        <v>235</v>
      </c>
      <c r="B68" s="310">
        <v>9028.9997156083791</v>
      </c>
      <c r="C68" s="310">
        <v>9055.3259999999991</v>
      </c>
      <c r="D68" s="311">
        <v>26.326284391615999</v>
      </c>
      <c r="E68" s="312">
        <v>1.0029157476149999</v>
      </c>
      <c r="F68" s="310">
        <v>9026.0024880681704</v>
      </c>
      <c r="G68" s="311">
        <v>2256.5006220170399</v>
      </c>
      <c r="H68" s="313">
        <v>727.58900000000006</v>
      </c>
      <c r="I68" s="310">
        <v>2178.3739999999998</v>
      </c>
      <c r="J68" s="311">
        <v>-78.126622017041996</v>
      </c>
      <c r="K68" s="314">
        <v>0.241344272049</v>
      </c>
    </row>
    <row r="69" spans="1:11" ht="14.4" customHeight="1" thickBot="1" x14ac:dyDescent="0.35">
      <c r="A69" s="326" t="s">
        <v>236</v>
      </c>
      <c r="B69" s="310">
        <v>8999.9997165218101</v>
      </c>
      <c r="C69" s="310">
        <v>9004.2279999999992</v>
      </c>
      <c r="D69" s="311">
        <v>4.2282834781869996</v>
      </c>
      <c r="E69" s="312">
        <v>1.00046980929</v>
      </c>
      <c r="F69" s="310">
        <v>9000.0024809011193</v>
      </c>
      <c r="G69" s="311">
        <v>2250.0006202252798</v>
      </c>
      <c r="H69" s="313">
        <v>720.64499999999998</v>
      </c>
      <c r="I69" s="310">
        <v>2165.0479999999998</v>
      </c>
      <c r="J69" s="311">
        <v>-84.952620225280995</v>
      </c>
      <c r="K69" s="314">
        <v>0.24056082257600001</v>
      </c>
    </row>
    <row r="70" spans="1:11" ht="14.4" customHeight="1" thickBot="1" x14ac:dyDescent="0.35">
      <c r="A70" s="327" t="s">
        <v>237</v>
      </c>
      <c r="B70" s="305">
        <v>8999.9997165218101</v>
      </c>
      <c r="C70" s="305">
        <v>9004.2279999999992</v>
      </c>
      <c r="D70" s="306">
        <v>4.2282834781869996</v>
      </c>
      <c r="E70" s="307">
        <v>1.00046980929</v>
      </c>
      <c r="F70" s="305">
        <v>9000.0024809011193</v>
      </c>
      <c r="G70" s="306">
        <v>2250.0006202252798</v>
      </c>
      <c r="H70" s="308">
        <v>720.64499999999998</v>
      </c>
      <c r="I70" s="305">
        <v>2165.0479999999998</v>
      </c>
      <c r="J70" s="306">
        <v>-84.952620225280995</v>
      </c>
      <c r="K70" s="309">
        <v>0.24056082257600001</v>
      </c>
    </row>
    <row r="71" spans="1:11" ht="14.4" customHeight="1" thickBot="1" x14ac:dyDescent="0.35">
      <c r="A71" s="326" t="s">
        <v>238</v>
      </c>
      <c r="B71" s="310">
        <v>28.99999908657</v>
      </c>
      <c r="C71" s="310">
        <v>51.097999999999999</v>
      </c>
      <c r="D71" s="311">
        <v>22.098000913429001</v>
      </c>
      <c r="E71" s="312">
        <v>1.762000055498</v>
      </c>
      <c r="F71" s="310">
        <v>26.000007167046999</v>
      </c>
      <c r="G71" s="311">
        <v>6.500001791761</v>
      </c>
      <c r="H71" s="313">
        <v>6.944</v>
      </c>
      <c r="I71" s="310">
        <v>13.326000000000001</v>
      </c>
      <c r="J71" s="311">
        <v>6.8259982082380004</v>
      </c>
      <c r="K71" s="314">
        <v>0.51253832025400003</v>
      </c>
    </row>
    <row r="72" spans="1:11" ht="14.4" customHeight="1" thickBot="1" x14ac:dyDescent="0.35">
      <c r="A72" s="327" t="s">
        <v>239</v>
      </c>
      <c r="B72" s="305">
        <v>28.99999908657</v>
      </c>
      <c r="C72" s="305">
        <v>51.097999999999999</v>
      </c>
      <c r="D72" s="306">
        <v>22.098000913429001</v>
      </c>
      <c r="E72" s="307">
        <v>1.762000055498</v>
      </c>
      <c r="F72" s="305">
        <v>26.000007167046999</v>
      </c>
      <c r="G72" s="306">
        <v>6.500001791761</v>
      </c>
      <c r="H72" s="308">
        <v>6.944</v>
      </c>
      <c r="I72" s="305">
        <v>13.326000000000001</v>
      </c>
      <c r="J72" s="306">
        <v>6.8259982082380004</v>
      </c>
      <c r="K72" s="309">
        <v>0.51253832025400003</v>
      </c>
    </row>
    <row r="73" spans="1:11" ht="14.4" customHeight="1" thickBot="1" x14ac:dyDescent="0.35">
      <c r="A73" s="325" t="s">
        <v>240</v>
      </c>
      <c r="B73" s="305">
        <v>3059.9999036174199</v>
      </c>
      <c r="C73" s="305">
        <v>3061.4360000000001</v>
      </c>
      <c r="D73" s="306">
        <v>1.436096382583</v>
      </c>
      <c r="E73" s="307">
        <v>1.000469312558</v>
      </c>
      <c r="F73" s="305">
        <v>3060.0008435063801</v>
      </c>
      <c r="G73" s="306">
        <v>765.00021087659502</v>
      </c>
      <c r="H73" s="308">
        <v>245.02125000000001</v>
      </c>
      <c r="I73" s="305">
        <v>736.11800000000005</v>
      </c>
      <c r="J73" s="306">
        <v>-28.882210876595</v>
      </c>
      <c r="K73" s="309">
        <v>0.240561371596</v>
      </c>
    </row>
    <row r="74" spans="1:11" ht="14.4" customHeight="1" thickBot="1" x14ac:dyDescent="0.35">
      <c r="A74" s="326" t="s">
        <v>241</v>
      </c>
      <c r="B74" s="310">
        <v>809.99997448696297</v>
      </c>
      <c r="C74" s="310">
        <v>810.37900000000002</v>
      </c>
      <c r="D74" s="311">
        <v>0.37902551303699999</v>
      </c>
      <c r="E74" s="312">
        <v>1.000467932746</v>
      </c>
      <c r="F74" s="310">
        <v>810.00022328110094</v>
      </c>
      <c r="G74" s="311">
        <v>202.50005582027501</v>
      </c>
      <c r="H74" s="313">
        <v>64.86</v>
      </c>
      <c r="I74" s="310">
        <v>194.85599999999999</v>
      </c>
      <c r="J74" s="311">
        <v>-7.6440558202749997</v>
      </c>
      <c r="K74" s="314">
        <v>0.24056289665</v>
      </c>
    </row>
    <row r="75" spans="1:11" ht="14.4" customHeight="1" thickBot="1" x14ac:dyDescent="0.35">
      <c r="A75" s="327" t="s">
        <v>242</v>
      </c>
      <c r="B75" s="305">
        <v>809.99997448696297</v>
      </c>
      <c r="C75" s="305">
        <v>810.37900000000002</v>
      </c>
      <c r="D75" s="306">
        <v>0.37902551303699999</v>
      </c>
      <c r="E75" s="307">
        <v>1.000467932746</v>
      </c>
      <c r="F75" s="305">
        <v>810.00022328110094</v>
      </c>
      <c r="G75" s="306">
        <v>202.50005582027501</v>
      </c>
      <c r="H75" s="308">
        <v>64.86</v>
      </c>
      <c r="I75" s="305">
        <v>194.85599999999999</v>
      </c>
      <c r="J75" s="306">
        <v>-7.6440558202749997</v>
      </c>
      <c r="K75" s="309">
        <v>0.24056289665</v>
      </c>
    </row>
    <row r="76" spans="1:11" ht="14.4" customHeight="1" thickBot="1" x14ac:dyDescent="0.35">
      <c r="A76" s="326" t="s">
        <v>243</v>
      </c>
      <c r="B76" s="310">
        <v>2249.9999291304498</v>
      </c>
      <c r="C76" s="310">
        <v>2251.0569999999998</v>
      </c>
      <c r="D76" s="311">
        <v>1.057070869546</v>
      </c>
      <c r="E76" s="312">
        <v>1.00046980929</v>
      </c>
      <c r="F76" s="310">
        <v>2250.0006202252798</v>
      </c>
      <c r="G76" s="311">
        <v>562.50015505631995</v>
      </c>
      <c r="H76" s="313">
        <v>180.16125</v>
      </c>
      <c r="I76" s="310">
        <v>541.26199999999994</v>
      </c>
      <c r="J76" s="311">
        <v>-21.23815505632</v>
      </c>
      <c r="K76" s="314">
        <v>0.24056082257600001</v>
      </c>
    </row>
    <row r="77" spans="1:11" ht="14.4" customHeight="1" thickBot="1" x14ac:dyDescent="0.35">
      <c r="A77" s="327" t="s">
        <v>244</v>
      </c>
      <c r="B77" s="305">
        <v>2249.9999291304498</v>
      </c>
      <c r="C77" s="305">
        <v>2251.0569999999998</v>
      </c>
      <c r="D77" s="306">
        <v>1.057070869546</v>
      </c>
      <c r="E77" s="307">
        <v>1.00046980929</v>
      </c>
      <c r="F77" s="305">
        <v>2250.0006202252798</v>
      </c>
      <c r="G77" s="306">
        <v>562.50015505631995</v>
      </c>
      <c r="H77" s="308">
        <v>180.16125</v>
      </c>
      <c r="I77" s="305">
        <v>541.26199999999994</v>
      </c>
      <c r="J77" s="306">
        <v>-21.23815505632</v>
      </c>
      <c r="K77" s="309">
        <v>0.24056082257600001</v>
      </c>
    </row>
    <row r="78" spans="1:11" ht="14.4" customHeight="1" thickBot="1" x14ac:dyDescent="0.35">
      <c r="A78" s="325" t="s">
        <v>245</v>
      </c>
      <c r="B78" s="305">
        <v>90.999997133720001</v>
      </c>
      <c r="C78" s="305">
        <v>90.55247</v>
      </c>
      <c r="D78" s="306">
        <v>-0.44752713372000003</v>
      </c>
      <c r="E78" s="307">
        <v>0.99508211925400003</v>
      </c>
      <c r="F78" s="305">
        <v>135.000037213517</v>
      </c>
      <c r="G78" s="306">
        <v>33.750009303379002</v>
      </c>
      <c r="H78" s="308">
        <v>10.91398</v>
      </c>
      <c r="I78" s="305">
        <v>32.67606</v>
      </c>
      <c r="J78" s="306">
        <v>-1.073949303379</v>
      </c>
      <c r="K78" s="309">
        <v>0.24204482216699999</v>
      </c>
    </row>
    <row r="79" spans="1:11" ht="14.4" customHeight="1" thickBot="1" x14ac:dyDescent="0.35">
      <c r="A79" s="326" t="s">
        <v>246</v>
      </c>
      <c r="B79" s="310">
        <v>90.999997133720001</v>
      </c>
      <c r="C79" s="310">
        <v>90.55247</v>
      </c>
      <c r="D79" s="311">
        <v>-0.44752713372000003</v>
      </c>
      <c r="E79" s="312">
        <v>0.99508211925400003</v>
      </c>
      <c r="F79" s="310">
        <v>135.000037213517</v>
      </c>
      <c r="G79" s="311">
        <v>33.750009303379002</v>
      </c>
      <c r="H79" s="313">
        <v>10.91398</v>
      </c>
      <c r="I79" s="310">
        <v>32.67606</v>
      </c>
      <c r="J79" s="311">
        <v>-1.073949303379</v>
      </c>
      <c r="K79" s="314">
        <v>0.24204482216699999</v>
      </c>
    </row>
    <row r="80" spans="1:11" ht="14.4" customHeight="1" thickBot="1" x14ac:dyDescent="0.35">
      <c r="A80" s="327" t="s">
        <v>247</v>
      </c>
      <c r="B80" s="305">
        <v>90.999997133720001</v>
      </c>
      <c r="C80" s="305">
        <v>90.55247</v>
      </c>
      <c r="D80" s="306">
        <v>-0.44752713372000003</v>
      </c>
      <c r="E80" s="307">
        <v>0.99508211925400003</v>
      </c>
      <c r="F80" s="305">
        <v>135.000037213517</v>
      </c>
      <c r="G80" s="306">
        <v>33.750009303379002</v>
      </c>
      <c r="H80" s="308">
        <v>10.91398</v>
      </c>
      <c r="I80" s="305">
        <v>32.67606</v>
      </c>
      <c r="J80" s="306">
        <v>-1.073949303379</v>
      </c>
      <c r="K80" s="309">
        <v>0.24204482216699999</v>
      </c>
    </row>
    <row r="81" spans="1:11" ht="14.4" customHeight="1" thickBot="1" x14ac:dyDescent="0.35">
      <c r="A81" s="324" t="s">
        <v>248</v>
      </c>
      <c r="B81" s="305">
        <v>0</v>
      </c>
      <c r="C81" s="305">
        <v>5.4480000000000004</v>
      </c>
      <c r="D81" s="306">
        <v>5.4480000000000004</v>
      </c>
      <c r="E81" s="316" t="s">
        <v>175</v>
      </c>
      <c r="F81" s="305">
        <v>0.64327397780899997</v>
      </c>
      <c r="G81" s="306">
        <v>0.160818494452</v>
      </c>
      <c r="H81" s="308">
        <v>0</v>
      </c>
      <c r="I81" s="305">
        <v>0</v>
      </c>
      <c r="J81" s="306">
        <v>-0.160818494452</v>
      </c>
      <c r="K81" s="309">
        <v>0</v>
      </c>
    </row>
    <row r="82" spans="1:11" ht="14.4" customHeight="1" thickBot="1" x14ac:dyDescent="0.35">
      <c r="A82" s="325" t="s">
        <v>249</v>
      </c>
      <c r="B82" s="305">
        <v>0</v>
      </c>
      <c r="C82" s="305">
        <v>5.4480000000000004</v>
      </c>
      <c r="D82" s="306">
        <v>5.4480000000000004</v>
      </c>
      <c r="E82" s="316" t="s">
        <v>175</v>
      </c>
      <c r="F82" s="305">
        <v>0.64327397780899997</v>
      </c>
      <c r="G82" s="306">
        <v>0.160818494452</v>
      </c>
      <c r="H82" s="308">
        <v>0</v>
      </c>
      <c r="I82" s="305">
        <v>0</v>
      </c>
      <c r="J82" s="306">
        <v>-0.160818494452</v>
      </c>
      <c r="K82" s="309">
        <v>0</v>
      </c>
    </row>
    <row r="83" spans="1:11" ht="14.4" customHeight="1" thickBot="1" x14ac:dyDescent="0.35">
      <c r="A83" s="329" t="s">
        <v>250</v>
      </c>
      <c r="B83" s="305">
        <v>0</v>
      </c>
      <c r="C83" s="305">
        <v>4.1980000000000004</v>
      </c>
      <c r="D83" s="306">
        <v>4.1980000000000004</v>
      </c>
      <c r="E83" s="316" t="s">
        <v>192</v>
      </c>
      <c r="F83" s="305">
        <v>0</v>
      </c>
      <c r="G83" s="306">
        <v>0</v>
      </c>
      <c r="H83" s="308">
        <v>0</v>
      </c>
      <c r="I83" s="305">
        <v>0</v>
      </c>
      <c r="J83" s="306">
        <v>0</v>
      </c>
      <c r="K83" s="315" t="s">
        <v>175</v>
      </c>
    </row>
    <row r="84" spans="1:11" ht="14.4" customHeight="1" thickBot="1" x14ac:dyDescent="0.35">
      <c r="A84" s="327" t="s">
        <v>251</v>
      </c>
      <c r="B84" s="305">
        <v>0</v>
      </c>
      <c r="C84" s="305">
        <v>4.1980000000000004</v>
      </c>
      <c r="D84" s="306">
        <v>4.1980000000000004</v>
      </c>
      <c r="E84" s="316" t="s">
        <v>192</v>
      </c>
      <c r="F84" s="305">
        <v>0</v>
      </c>
      <c r="G84" s="306">
        <v>0</v>
      </c>
      <c r="H84" s="308">
        <v>0</v>
      </c>
      <c r="I84" s="305">
        <v>0</v>
      </c>
      <c r="J84" s="306">
        <v>0</v>
      </c>
      <c r="K84" s="315" t="s">
        <v>175</v>
      </c>
    </row>
    <row r="85" spans="1:11" ht="14.4" customHeight="1" thickBot="1" x14ac:dyDescent="0.35">
      <c r="A85" s="329" t="s">
        <v>252</v>
      </c>
      <c r="B85" s="305">
        <v>0</v>
      </c>
      <c r="C85" s="305">
        <v>1.25</v>
      </c>
      <c r="D85" s="306">
        <v>1.25</v>
      </c>
      <c r="E85" s="316" t="s">
        <v>175</v>
      </c>
      <c r="F85" s="305">
        <v>0.64327397780899997</v>
      </c>
      <c r="G85" s="306">
        <v>0.160818494452</v>
      </c>
      <c r="H85" s="308">
        <v>0</v>
      </c>
      <c r="I85" s="305">
        <v>0</v>
      </c>
      <c r="J85" s="306">
        <v>-0.160818494452</v>
      </c>
      <c r="K85" s="309">
        <v>0</v>
      </c>
    </row>
    <row r="86" spans="1:11" ht="14.4" customHeight="1" thickBot="1" x14ac:dyDescent="0.35">
      <c r="A86" s="327" t="s">
        <v>253</v>
      </c>
      <c r="B86" s="305">
        <v>0</v>
      </c>
      <c r="C86" s="305">
        <v>1.25</v>
      </c>
      <c r="D86" s="306">
        <v>1.25</v>
      </c>
      <c r="E86" s="316" t="s">
        <v>175</v>
      </c>
      <c r="F86" s="305">
        <v>0.64327397780899997</v>
      </c>
      <c r="G86" s="306">
        <v>0.160818494452</v>
      </c>
      <c r="H86" s="308">
        <v>0</v>
      </c>
      <c r="I86" s="305">
        <v>0</v>
      </c>
      <c r="J86" s="306">
        <v>-0.160818494452</v>
      </c>
      <c r="K86" s="309">
        <v>0</v>
      </c>
    </row>
    <row r="87" spans="1:11" ht="14.4" customHeight="1" thickBot="1" x14ac:dyDescent="0.35">
      <c r="A87" s="324" t="s">
        <v>254</v>
      </c>
      <c r="B87" s="305">
        <v>2663.9923563981502</v>
      </c>
      <c r="C87" s="305">
        <v>2721.7950000000001</v>
      </c>
      <c r="D87" s="306">
        <v>57.802643601850001</v>
      </c>
      <c r="E87" s="307">
        <v>1.0216977512950001</v>
      </c>
      <c r="F87" s="305">
        <v>2586.3072838112698</v>
      </c>
      <c r="G87" s="306">
        <v>646.576820952817</v>
      </c>
      <c r="H87" s="308">
        <v>211.209</v>
      </c>
      <c r="I87" s="305">
        <v>662.73599999999999</v>
      </c>
      <c r="J87" s="306">
        <v>16.159179047182999</v>
      </c>
      <c r="K87" s="309">
        <v>0.25624797337400002</v>
      </c>
    </row>
    <row r="88" spans="1:11" ht="14.4" customHeight="1" thickBot="1" x14ac:dyDescent="0.35">
      <c r="A88" s="325" t="s">
        <v>255</v>
      </c>
      <c r="B88" s="305">
        <v>2663.9923563981502</v>
      </c>
      <c r="C88" s="305">
        <v>2682.549</v>
      </c>
      <c r="D88" s="306">
        <v>18.556643601849999</v>
      </c>
      <c r="E88" s="307">
        <v>1.0069657270429999</v>
      </c>
      <c r="F88" s="305">
        <v>2564.00639624735</v>
      </c>
      <c r="G88" s="306">
        <v>641.00159906183706</v>
      </c>
      <c r="H88" s="308">
        <v>211.209</v>
      </c>
      <c r="I88" s="305">
        <v>662.73599999999999</v>
      </c>
      <c r="J88" s="306">
        <v>21.734400938162</v>
      </c>
      <c r="K88" s="309">
        <v>0.25847673428899998</v>
      </c>
    </row>
    <row r="89" spans="1:11" ht="14.4" customHeight="1" thickBot="1" x14ac:dyDescent="0.35">
      <c r="A89" s="326" t="s">
        <v>256</v>
      </c>
      <c r="B89" s="310">
        <v>2663.9923563981502</v>
      </c>
      <c r="C89" s="310">
        <v>2673.6610000000001</v>
      </c>
      <c r="D89" s="311">
        <v>9.6686436018500004</v>
      </c>
      <c r="E89" s="312">
        <v>1.003629381134</v>
      </c>
      <c r="F89" s="310">
        <v>2564.00639624735</v>
      </c>
      <c r="G89" s="311">
        <v>641.00159906183706</v>
      </c>
      <c r="H89" s="313">
        <v>211.209</v>
      </c>
      <c r="I89" s="310">
        <v>662.73599999999999</v>
      </c>
      <c r="J89" s="311">
        <v>21.734400938162</v>
      </c>
      <c r="K89" s="314">
        <v>0.25847673428899998</v>
      </c>
    </row>
    <row r="90" spans="1:11" ht="14.4" customHeight="1" thickBot="1" x14ac:dyDescent="0.35">
      <c r="A90" s="327" t="s">
        <v>257</v>
      </c>
      <c r="B90" s="305">
        <v>104.99999669275201</v>
      </c>
      <c r="C90" s="305">
        <v>105.488</v>
      </c>
      <c r="D90" s="306">
        <v>0.48800330724699997</v>
      </c>
      <c r="E90" s="307">
        <v>1.004647650691</v>
      </c>
      <c r="F90" s="305">
        <v>109.00027191535099</v>
      </c>
      <c r="G90" s="306">
        <v>27.250067978836999</v>
      </c>
      <c r="H90" s="308">
        <v>9.0030000000000001</v>
      </c>
      <c r="I90" s="305">
        <v>27.009</v>
      </c>
      <c r="J90" s="306">
        <v>-0.24106797883700001</v>
      </c>
      <c r="K90" s="309">
        <v>0.247788372683</v>
      </c>
    </row>
    <row r="91" spans="1:11" ht="14.4" customHeight="1" thickBot="1" x14ac:dyDescent="0.35">
      <c r="A91" s="327" t="s">
        <v>258</v>
      </c>
      <c r="B91" s="305">
        <v>458.99998554259702</v>
      </c>
      <c r="C91" s="305">
        <v>469.07900000000001</v>
      </c>
      <c r="D91" s="306">
        <v>10.079014457403</v>
      </c>
      <c r="E91" s="307">
        <v>1.0219586378529999</v>
      </c>
      <c r="F91" s="305">
        <v>355.00088559586902</v>
      </c>
      <c r="G91" s="306">
        <v>88.750221398967</v>
      </c>
      <c r="H91" s="308">
        <v>27.207000000000001</v>
      </c>
      <c r="I91" s="305">
        <v>110.73</v>
      </c>
      <c r="J91" s="306">
        <v>21.979778601031999</v>
      </c>
      <c r="K91" s="309">
        <v>0.31191471484299998</v>
      </c>
    </row>
    <row r="92" spans="1:11" ht="14.4" customHeight="1" thickBot="1" x14ac:dyDescent="0.35">
      <c r="A92" s="327" t="s">
        <v>259</v>
      </c>
      <c r="B92" s="305">
        <v>197.000403751379</v>
      </c>
      <c r="C92" s="305">
        <v>197.48699999999999</v>
      </c>
      <c r="D92" s="306">
        <v>0.48659624862099998</v>
      </c>
      <c r="E92" s="307">
        <v>1.002470026656</v>
      </c>
      <c r="F92" s="305">
        <v>198.00049393797801</v>
      </c>
      <c r="G92" s="306">
        <v>49.500123484493997</v>
      </c>
      <c r="H92" s="308">
        <v>16.457000000000001</v>
      </c>
      <c r="I92" s="305">
        <v>49.371000000000002</v>
      </c>
      <c r="J92" s="306">
        <v>-0.12912348449399999</v>
      </c>
      <c r="K92" s="309">
        <v>0.24934786281599999</v>
      </c>
    </row>
    <row r="93" spans="1:11" ht="14.4" customHeight="1" thickBot="1" x14ac:dyDescent="0.35">
      <c r="A93" s="327" t="s">
        <v>260</v>
      </c>
      <c r="B93" s="305">
        <v>654.99200972042797</v>
      </c>
      <c r="C93" s="305">
        <v>654.29899999999998</v>
      </c>
      <c r="D93" s="306">
        <v>-0.69300972042700004</v>
      </c>
      <c r="E93" s="307">
        <v>0.99894195698499999</v>
      </c>
      <c r="F93" s="305">
        <v>655.00163398674499</v>
      </c>
      <c r="G93" s="306">
        <v>163.75040849668599</v>
      </c>
      <c r="H93" s="308">
        <v>54.6</v>
      </c>
      <c r="I93" s="305">
        <v>163.80000000000001</v>
      </c>
      <c r="J93" s="306">
        <v>4.9591503313000003E-2</v>
      </c>
      <c r="K93" s="309">
        <v>0.25007571202899997</v>
      </c>
    </row>
    <row r="94" spans="1:11" ht="14.4" customHeight="1" thickBot="1" x14ac:dyDescent="0.35">
      <c r="A94" s="327" t="s">
        <v>261</v>
      </c>
      <c r="B94" s="305">
        <v>1134.9999642502301</v>
      </c>
      <c r="C94" s="305">
        <v>1134.1600000000001</v>
      </c>
      <c r="D94" s="306">
        <v>-0.83996425022499999</v>
      </c>
      <c r="E94" s="307">
        <v>0.99925994336799995</v>
      </c>
      <c r="F94" s="305">
        <v>1134.00282891751</v>
      </c>
      <c r="G94" s="306">
        <v>283.50070722937699</v>
      </c>
      <c r="H94" s="308">
        <v>94.513000000000005</v>
      </c>
      <c r="I94" s="305">
        <v>283.53899999999999</v>
      </c>
      <c r="J94" s="306">
        <v>3.8292770621999997E-2</v>
      </c>
      <c r="K94" s="309">
        <v>0.25003376779100001</v>
      </c>
    </row>
    <row r="95" spans="1:11" ht="14.4" customHeight="1" thickBot="1" x14ac:dyDescent="0.35">
      <c r="A95" s="327" t="s">
        <v>262</v>
      </c>
      <c r="B95" s="305">
        <v>112.99999644077</v>
      </c>
      <c r="C95" s="305">
        <v>113.148</v>
      </c>
      <c r="D95" s="306">
        <v>0.14800355923</v>
      </c>
      <c r="E95" s="307">
        <v>1.0013097660520001</v>
      </c>
      <c r="F95" s="305">
        <v>113.000281893896</v>
      </c>
      <c r="G95" s="306">
        <v>28.250070473474</v>
      </c>
      <c r="H95" s="308">
        <v>9.4290000000000003</v>
      </c>
      <c r="I95" s="305">
        <v>28.286999999999999</v>
      </c>
      <c r="J95" s="306">
        <v>3.6929526524999999E-2</v>
      </c>
      <c r="K95" s="309">
        <v>0.25032680915299999</v>
      </c>
    </row>
    <row r="96" spans="1:11" ht="14.4" customHeight="1" thickBot="1" x14ac:dyDescent="0.35">
      <c r="A96" s="326" t="s">
        <v>263</v>
      </c>
      <c r="B96" s="310">
        <v>0</v>
      </c>
      <c r="C96" s="310">
        <v>8.8879999999999999</v>
      </c>
      <c r="D96" s="311">
        <v>8.8879999999999999</v>
      </c>
      <c r="E96" s="317" t="s">
        <v>192</v>
      </c>
      <c r="F96" s="310">
        <v>0</v>
      </c>
      <c r="G96" s="311">
        <v>0</v>
      </c>
      <c r="H96" s="313">
        <v>0</v>
      </c>
      <c r="I96" s="310">
        <v>0</v>
      </c>
      <c r="J96" s="311">
        <v>0</v>
      </c>
      <c r="K96" s="318" t="s">
        <v>175</v>
      </c>
    </row>
    <row r="97" spans="1:11" ht="14.4" customHeight="1" thickBot="1" x14ac:dyDescent="0.35">
      <c r="A97" s="327" t="s">
        <v>264</v>
      </c>
      <c r="B97" s="305">
        <v>0</v>
      </c>
      <c r="C97" s="305">
        <v>8.8759999999999994</v>
      </c>
      <c r="D97" s="306">
        <v>8.8759999999999994</v>
      </c>
      <c r="E97" s="316" t="s">
        <v>192</v>
      </c>
      <c r="F97" s="305">
        <v>0</v>
      </c>
      <c r="G97" s="306">
        <v>0</v>
      </c>
      <c r="H97" s="308">
        <v>0</v>
      </c>
      <c r="I97" s="305">
        <v>0</v>
      </c>
      <c r="J97" s="306">
        <v>0</v>
      </c>
      <c r="K97" s="315" t="s">
        <v>175</v>
      </c>
    </row>
    <row r="98" spans="1:11" ht="14.4" customHeight="1" thickBot="1" x14ac:dyDescent="0.35">
      <c r="A98" s="327" t="s">
        <v>265</v>
      </c>
      <c r="B98" s="305">
        <v>0</v>
      </c>
      <c r="C98" s="305">
        <v>1.2E-2</v>
      </c>
      <c r="D98" s="306">
        <v>1.2E-2</v>
      </c>
      <c r="E98" s="316" t="s">
        <v>192</v>
      </c>
      <c r="F98" s="305">
        <v>0</v>
      </c>
      <c r="G98" s="306">
        <v>0</v>
      </c>
      <c r="H98" s="308">
        <v>0</v>
      </c>
      <c r="I98" s="305">
        <v>0</v>
      </c>
      <c r="J98" s="306">
        <v>0</v>
      </c>
      <c r="K98" s="309">
        <v>3</v>
      </c>
    </row>
    <row r="99" spans="1:11" ht="14.4" customHeight="1" thickBot="1" x14ac:dyDescent="0.35">
      <c r="A99" s="325" t="s">
        <v>266</v>
      </c>
      <c r="B99" s="305">
        <v>0</v>
      </c>
      <c r="C99" s="305">
        <v>39.246000000000002</v>
      </c>
      <c r="D99" s="306">
        <v>39.246000000000002</v>
      </c>
      <c r="E99" s="316" t="s">
        <v>175</v>
      </c>
      <c r="F99" s="305">
        <v>22.300887563918</v>
      </c>
      <c r="G99" s="306">
        <v>5.5752218909789999</v>
      </c>
      <c r="H99" s="308">
        <v>0</v>
      </c>
      <c r="I99" s="305">
        <v>0</v>
      </c>
      <c r="J99" s="306">
        <v>-5.5752218909789999</v>
      </c>
      <c r="K99" s="309">
        <v>0</v>
      </c>
    </row>
    <row r="100" spans="1:11" ht="14.4" customHeight="1" thickBot="1" x14ac:dyDescent="0.35">
      <c r="A100" s="326" t="s">
        <v>267</v>
      </c>
      <c r="B100" s="310">
        <v>0</v>
      </c>
      <c r="C100" s="310">
        <v>8.9</v>
      </c>
      <c r="D100" s="311">
        <v>8.9</v>
      </c>
      <c r="E100" s="317" t="s">
        <v>175</v>
      </c>
      <c r="F100" s="310">
        <v>22.300887563918</v>
      </c>
      <c r="G100" s="311">
        <v>5.5752218909789999</v>
      </c>
      <c r="H100" s="313">
        <v>0</v>
      </c>
      <c r="I100" s="310">
        <v>0</v>
      </c>
      <c r="J100" s="311">
        <v>-5.5752218909789999</v>
      </c>
      <c r="K100" s="314">
        <v>0</v>
      </c>
    </row>
    <row r="101" spans="1:11" ht="14.4" customHeight="1" thickBot="1" x14ac:dyDescent="0.35">
      <c r="A101" s="327" t="s">
        <v>268</v>
      </c>
      <c r="B101" s="305">
        <v>0</v>
      </c>
      <c r="C101" s="305">
        <v>8.9</v>
      </c>
      <c r="D101" s="306">
        <v>8.9</v>
      </c>
      <c r="E101" s="316" t="s">
        <v>175</v>
      </c>
      <c r="F101" s="305">
        <v>22.300887563918</v>
      </c>
      <c r="G101" s="306">
        <v>5.5752218909789999</v>
      </c>
      <c r="H101" s="308">
        <v>0</v>
      </c>
      <c r="I101" s="305">
        <v>0</v>
      </c>
      <c r="J101" s="306">
        <v>-5.5752218909789999</v>
      </c>
      <c r="K101" s="309">
        <v>0</v>
      </c>
    </row>
    <row r="102" spans="1:11" ht="14.4" customHeight="1" thickBot="1" x14ac:dyDescent="0.35">
      <c r="A102" s="326" t="s">
        <v>269</v>
      </c>
      <c r="B102" s="310">
        <v>0</v>
      </c>
      <c r="C102" s="310">
        <v>30.346</v>
      </c>
      <c r="D102" s="311">
        <v>30.346</v>
      </c>
      <c r="E102" s="317" t="s">
        <v>192</v>
      </c>
      <c r="F102" s="310">
        <v>0</v>
      </c>
      <c r="G102" s="311">
        <v>0</v>
      </c>
      <c r="H102" s="313">
        <v>0</v>
      </c>
      <c r="I102" s="310">
        <v>0</v>
      </c>
      <c r="J102" s="311">
        <v>0</v>
      </c>
      <c r="K102" s="318" t="s">
        <v>175</v>
      </c>
    </row>
    <row r="103" spans="1:11" ht="14.4" customHeight="1" thickBot="1" x14ac:dyDescent="0.35">
      <c r="A103" s="327" t="s">
        <v>270</v>
      </c>
      <c r="B103" s="305">
        <v>0</v>
      </c>
      <c r="C103" s="305">
        <v>30.346</v>
      </c>
      <c r="D103" s="306">
        <v>30.346</v>
      </c>
      <c r="E103" s="316" t="s">
        <v>192</v>
      </c>
      <c r="F103" s="305">
        <v>0</v>
      </c>
      <c r="G103" s="306">
        <v>0</v>
      </c>
      <c r="H103" s="308">
        <v>0</v>
      </c>
      <c r="I103" s="305">
        <v>0</v>
      </c>
      <c r="J103" s="306">
        <v>0</v>
      </c>
      <c r="K103" s="315" t="s">
        <v>175</v>
      </c>
    </row>
    <row r="104" spans="1:11" ht="14.4" customHeight="1" thickBot="1" x14ac:dyDescent="0.35">
      <c r="A104" s="323" t="s">
        <v>271</v>
      </c>
      <c r="B104" s="305">
        <v>65.487801607601995</v>
      </c>
      <c r="C104" s="305">
        <v>71.154449999999997</v>
      </c>
      <c r="D104" s="306">
        <v>5.6666483923969997</v>
      </c>
      <c r="E104" s="307">
        <v>1.0865298307969999</v>
      </c>
      <c r="F104" s="305">
        <v>66.393345115147</v>
      </c>
      <c r="G104" s="306">
        <v>16.598336278786999</v>
      </c>
      <c r="H104" s="308">
        <v>5.5720999999999998</v>
      </c>
      <c r="I104" s="305">
        <v>18.907060000000001</v>
      </c>
      <c r="J104" s="306">
        <v>2.3087237212130001</v>
      </c>
      <c r="K104" s="309">
        <v>0.28477342069700001</v>
      </c>
    </row>
    <row r="105" spans="1:11" ht="14.4" customHeight="1" thickBot="1" x14ac:dyDescent="0.35">
      <c r="A105" s="324" t="s">
        <v>272</v>
      </c>
      <c r="B105" s="305">
        <v>65.487801607601995</v>
      </c>
      <c r="C105" s="305">
        <v>71.154449999999997</v>
      </c>
      <c r="D105" s="306">
        <v>5.6666483923969997</v>
      </c>
      <c r="E105" s="307">
        <v>1.0865298307969999</v>
      </c>
      <c r="F105" s="305">
        <v>66.393345115147</v>
      </c>
      <c r="G105" s="306">
        <v>16.598336278786999</v>
      </c>
      <c r="H105" s="308">
        <v>5.5720999999999998</v>
      </c>
      <c r="I105" s="305">
        <v>18.907060000000001</v>
      </c>
      <c r="J105" s="306">
        <v>2.3087237212130001</v>
      </c>
      <c r="K105" s="309">
        <v>0.28477342069700001</v>
      </c>
    </row>
    <row r="106" spans="1:11" ht="14.4" customHeight="1" thickBot="1" x14ac:dyDescent="0.35">
      <c r="A106" s="330" t="s">
        <v>273</v>
      </c>
      <c r="B106" s="310">
        <v>65.487801607601995</v>
      </c>
      <c r="C106" s="310">
        <v>71.154449999999997</v>
      </c>
      <c r="D106" s="311">
        <v>5.6666483923969997</v>
      </c>
      <c r="E106" s="312">
        <v>1.0865298307969999</v>
      </c>
      <c r="F106" s="310">
        <v>66.393345115147</v>
      </c>
      <c r="G106" s="311">
        <v>16.598336278786999</v>
      </c>
      <c r="H106" s="313">
        <v>5.5720999999999998</v>
      </c>
      <c r="I106" s="310">
        <v>18.907060000000001</v>
      </c>
      <c r="J106" s="311">
        <v>2.3087237212130001</v>
      </c>
      <c r="K106" s="314">
        <v>0.28477342069700001</v>
      </c>
    </row>
    <row r="107" spans="1:11" ht="14.4" customHeight="1" thickBot="1" x14ac:dyDescent="0.35">
      <c r="A107" s="326" t="s">
        <v>274</v>
      </c>
      <c r="B107" s="310">
        <v>0</v>
      </c>
      <c r="C107" s="310">
        <v>8.8992400000000007</v>
      </c>
      <c r="D107" s="311">
        <v>8.8992400000000007</v>
      </c>
      <c r="E107" s="317" t="s">
        <v>175</v>
      </c>
      <c r="F107" s="310">
        <v>0</v>
      </c>
      <c r="G107" s="311">
        <v>0</v>
      </c>
      <c r="H107" s="313">
        <v>1.2099999999999999E-3</v>
      </c>
      <c r="I107" s="310">
        <v>2.6900000000000001E-3</v>
      </c>
      <c r="J107" s="311">
        <v>2.6900000000000001E-3</v>
      </c>
      <c r="K107" s="318" t="s">
        <v>175</v>
      </c>
    </row>
    <row r="108" spans="1:11" ht="14.4" customHeight="1" thickBot="1" x14ac:dyDescent="0.35">
      <c r="A108" s="327" t="s">
        <v>275</v>
      </c>
      <c r="B108" s="305">
        <v>0</v>
      </c>
      <c r="C108" s="305">
        <v>-7.6000000000000004E-4</v>
      </c>
      <c r="D108" s="306">
        <v>-7.6000000000000004E-4</v>
      </c>
      <c r="E108" s="316" t="s">
        <v>175</v>
      </c>
      <c r="F108" s="305">
        <v>0</v>
      </c>
      <c r="G108" s="306">
        <v>0</v>
      </c>
      <c r="H108" s="308">
        <v>1.2099999999999999E-3</v>
      </c>
      <c r="I108" s="305">
        <v>2.6900000000000001E-3</v>
      </c>
      <c r="J108" s="306">
        <v>2.6900000000000001E-3</v>
      </c>
      <c r="K108" s="315" t="s">
        <v>175</v>
      </c>
    </row>
    <row r="109" spans="1:11" ht="14.4" customHeight="1" thickBot="1" x14ac:dyDescent="0.35">
      <c r="A109" s="327" t="s">
        <v>276</v>
      </c>
      <c r="B109" s="305">
        <v>0</v>
      </c>
      <c r="C109" s="305">
        <v>8.9</v>
      </c>
      <c r="D109" s="306">
        <v>8.9</v>
      </c>
      <c r="E109" s="316" t="s">
        <v>192</v>
      </c>
      <c r="F109" s="305">
        <v>0</v>
      </c>
      <c r="G109" s="306">
        <v>0</v>
      </c>
      <c r="H109" s="308">
        <v>0</v>
      </c>
      <c r="I109" s="305">
        <v>0</v>
      </c>
      <c r="J109" s="306">
        <v>0</v>
      </c>
      <c r="K109" s="315" t="s">
        <v>175</v>
      </c>
    </row>
    <row r="110" spans="1:11" ht="14.4" customHeight="1" thickBot="1" x14ac:dyDescent="0.35">
      <c r="A110" s="326" t="s">
        <v>277</v>
      </c>
      <c r="B110" s="310">
        <v>65.487801607601995</v>
      </c>
      <c r="C110" s="310">
        <v>62.255209999999998</v>
      </c>
      <c r="D110" s="311">
        <v>-3.232591607602</v>
      </c>
      <c r="E110" s="312">
        <v>0.95063826348900005</v>
      </c>
      <c r="F110" s="310">
        <v>66.393345115147</v>
      </c>
      <c r="G110" s="311">
        <v>16.598336278786999</v>
      </c>
      <c r="H110" s="313">
        <v>5.5708900000000003</v>
      </c>
      <c r="I110" s="310">
        <v>18.90437</v>
      </c>
      <c r="J110" s="311">
        <v>2.3060337212130002</v>
      </c>
      <c r="K110" s="314">
        <v>0.28473290458799999</v>
      </c>
    </row>
    <row r="111" spans="1:11" ht="14.4" customHeight="1" thickBot="1" x14ac:dyDescent="0.35">
      <c r="A111" s="327" t="s">
        <v>278</v>
      </c>
      <c r="B111" s="305">
        <v>0</v>
      </c>
      <c r="C111" s="305">
        <v>0.66700000000000004</v>
      </c>
      <c r="D111" s="306">
        <v>0.66700000000000004</v>
      </c>
      <c r="E111" s="316" t="s">
        <v>175</v>
      </c>
      <c r="F111" s="305">
        <v>0.66260490109600001</v>
      </c>
      <c r="G111" s="306">
        <v>0.165651225274</v>
      </c>
      <c r="H111" s="308">
        <v>0</v>
      </c>
      <c r="I111" s="305">
        <v>0</v>
      </c>
      <c r="J111" s="306">
        <v>-0.165651225274</v>
      </c>
      <c r="K111" s="309">
        <v>0</v>
      </c>
    </row>
    <row r="112" spans="1:11" ht="14.4" customHeight="1" thickBot="1" x14ac:dyDescent="0.35">
      <c r="A112" s="327" t="s">
        <v>279</v>
      </c>
      <c r="B112" s="305">
        <v>65.487801607601995</v>
      </c>
      <c r="C112" s="305">
        <v>61.588209999999997</v>
      </c>
      <c r="D112" s="306">
        <v>-3.8995916076019999</v>
      </c>
      <c r="E112" s="307">
        <v>0.94045316055999995</v>
      </c>
      <c r="F112" s="305">
        <v>65.730740214050996</v>
      </c>
      <c r="G112" s="306">
        <v>16.432685053511999</v>
      </c>
      <c r="H112" s="308">
        <v>5.5708900000000003</v>
      </c>
      <c r="I112" s="305">
        <v>18.90437</v>
      </c>
      <c r="J112" s="306">
        <v>2.4716849464870001</v>
      </c>
      <c r="K112" s="309">
        <v>0.28760318137899998</v>
      </c>
    </row>
    <row r="113" spans="1:11" ht="14.4" customHeight="1" thickBot="1" x14ac:dyDescent="0.35">
      <c r="A113" s="323" t="s">
        <v>280</v>
      </c>
      <c r="B113" s="305">
        <v>2257.3612285884301</v>
      </c>
      <c r="C113" s="305">
        <v>2116.3433500000001</v>
      </c>
      <c r="D113" s="306">
        <v>-141.01787858843201</v>
      </c>
      <c r="E113" s="307">
        <v>0.93752976847299996</v>
      </c>
      <c r="F113" s="305">
        <v>0</v>
      </c>
      <c r="G113" s="306">
        <v>0</v>
      </c>
      <c r="H113" s="308">
        <v>162.19603000000001</v>
      </c>
      <c r="I113" s="305">
        <v>487.61944</v>
      </c>
      <c r="J113" s="306">
        <v>487.61944</v>
      </c>
      <c r="K113" s="315" t="s">
        <v>192</v>
      </c>
    </row>
    <row r="114" spans="1:11" ht="14.4" customHeight="1" thickBot="1" x14ac:dyDescent="0.35">
      <c r="A114" s="328" t="s">
        <v>281</v>
      </c>
      <c r="B114" s="310">
        <v>2257.3612285884301</v>
      </c>
      <c r="C114" s="310">
        <v>2116.3433500000001</v>
      </c>
      <c r="D114" s="311">
        <v>-141.01787858843201</v>
      </c>
      <c r="E114" s="312">
        <v>0.93752976847299996</v>
      </c>
      <c r="F114" s="310">
        <v>0</v>
      </c>
      <c r="G114" s="311">
        <v>0</v>
      </c>
      <c r="H114" s="313">
        <v>162.19603000000001</v>
      </c>
      <c r="I114" s="310">
        <v>487.61944</v>
      </c>
      <c r="J114" s="311">
        <v>487.61944</v>
      </c>
      <c r="K114" s="318" t="s">
        <v>192</v>
      </c>
    </row>
    <row r="115" spans="1:11" ht="14.4" customHeight="1" thickBot="1" x14ac:dyDescent="0.35">
      <c r="A115" s="330" t="s">
        <v>38</v>
      </c>
      <c r="B115" s="310">
        <v>2257.3612285884301</v>
      </c>
      <c r="C115" s="310">
        <v>2116.3433500000001</v>
      </c>
      <c r="D115" s="311">
        <v>-141.01787858843201</v>
      </c>
      <c r="E115" s="312">
        <v>0.93752976847299996</v>
      </c>
      <c r="F115" s="310">
        <v>0</v>
      </c>
      <c r="G115" s="311">
        <v>0</v>
      </c>
      <c r="H115" s="313">
        <v>162.19603000000001</v>
      </c>
      <c r="I115" s="310">
        <v>487.61944</v>
      </c>
      <c r="J115" s="311">
        <v>487.61944</v>
      </c>
      <c r="K115" s="318" t="s">
        <v>192</v>
      </c>
    </row>
    <row r="116" spans="1:11" ht="14.4" customHeight="1" thickBot="1" x14ac:dyDescent="0.35">
      <c r="A116" s="326" t="s">
        <v>282</v>
      </c>
      <c r="B116" s="310">
        <v>16.503324840651999</v>
      </c>
      <c r="C116" s="310">
        <v>18.566500000000001</v>
      </c>
      <c r="D116" s="311">
        <v>2.0631751593469998</v>
      </c>
      <c r="E116" s="312">
        <v>1.1250157273920001</v>
      </c>
      <c r="F116" s="310">
        <v>0</v>
      </c>
      <c r="G116" s="311">
        <v>0</v>
      </c>
      <c r="H116" s="313">
        <v>1.5669999999999999</v>
      </c>
      <c r="I116" s="310">
        <v>4.7009999999999996</v>
      </c>
      <c r="J116" s="311">
        <v>4.7009999999999996</v>
      </c>
      <c r="K116" s="318" t="s">
        <v>192</v>
      </c>
    </row>
    <row r="117" spans="1:11" ht="14.4" customHeight="1" thickBot="1" x14ac:dyDescent="0.35">
      <c r="A117" s="327" t="s">
        <v>283</v>
      </c>
      <c r="B117" s="305">
        <v>16.503324840651999</v>
      </c>
      <c r="C117" s="305">
        <v>18.566500000000001</v>
      </c>
      <c r="D117" s="306">
        <v>2.0631751593469998</v>
      </c>
      <c r="E117" s="307">
        <v>1.1250157273920001</v>
      </c>
      <c r="F117" s="305">
        <v>0</v>
      </c>
      <c r="G117" s="306">
        <v>0</v>
      </c>
      <c r="H117" s="308">
        <v>1.5669999999999999</v>
      </c>
      <c r="I117" s="305">
        <v>4.7009999999999996</v>
      </c>
      <c r="J117" s="306">
        <v>4.7009999999999996</v>
      </c>
      <c r="K117" s="315" t="s">
        <v>192</v>
      </c>
    </row>
    <row r="118" spans="1:11" ht="14.4" customHeight="1" thickBot="1" x14ac:dyDescent="0.35">
      <c r="A118" s="326" t="s">
        <v>284</v>
      </c>
      <c r="B118" s="310">
        <v>27.848129908158999</v>
      </c>
      <c r="C118" s="310">
        <v>15.749000000000001</v>
      </c>
      <c r="D118" s="311">
        <v>-12.099129908159</v>
      </c>
      <c r="E118" s="312">
        <v>0.56553169106599999</v>
      </c>
      <c r="F118" s="310">
        <v>0</v>
      </c>
      <c r="G118" s="311">
        <v>0</v>
      </c>
      <c r="H118" s="313">
        <v>0.88200000000000001</v>
      </c>
      <c r="I118" s="310">
        <v>6.3144999999999998</v>
      </c>
      <c r="J118" s="311">
        <v>6.3144999999999998</v>
      </c>
      <c r="K118" s="318" t="s">
        <v>192</v>
      </c>
    </row>
    <row r="119" spans="1:11" ht="14.4" customHeight="1" thickBot="1" x14ac:dyDescent="0.35">
      <c r="A119" s="327" t="s">
        <v>285</v>
      </c>
      <c r="B119" s="305">
        <v>0</v>
      </c>
      <c r="C119" s="305">
        <v>1.6279999999999999</v>
      </c>
      <c r="D119" s="306">
        <v>1.6279999999999999</v>
      </c>
      <c r="E119" s="316" t="s">
        <v>192</v>
      </c>
      <c r="F119" s="305">
        <v>0</v>
      </c>
      <c r="G119" s="306">
        <v>0</v>
      </c>
      <c r="H119" s="308">
        <v>0</v>
      </c>
      <c r="I119" s="305">
        <v>0</v>
      </c>
      <c r="J119" s="306">
        <v>0</v>
      </c>
      <c r="K119" s="309">
        <v>3</v>
      </c>
    </row>
    <row r="120" spans="1:11" ht="14.4" customHeight="1" thickBot="1" x14ac:dyDescent="0.35">
      <c r="A120" s="327" t="s">
        <v>286</v>
      </c>
      <c r="B120" s="305">
        <v>27.848129908158999</v>
      </c>
      <c r="C120" s="305">
        <v>14.121</v>
      </c>
      <c r="D120" s="306">
        <v>-13.727129908159</v>
      </c>
      <c r="E120" s="307">
        <v>0.50707175119299996</v>
      </c>
      <c r="F120" s="305">
        <v>0</v>
      </c>
      <c r="G120" s="306">
        <v>0</v>
      </c>
      <c r="H120" s="308">
        <v>0.88200000000000001</v>
      </c>
      <c r="I120" s="305">
        <v>6.3144999999999998</v>
      </c>
      <c r="J120" s="306">
        <v>6.3144999999999998</v>
      </c>
      <c r="K120" s="315" t="s">
        <v>192</v>
      </c>
    </row>
    <row r="121" spans="1:11" ht="14.4" customHeight="1" thickBot="1" x14ac:dyDescent="0.35">
      <c r="A121" s="326" t="s">
        <v>287</v>
      </c>
      <c r="B121" s="310">
        <v>225.55124086632699</v>
      </c>
      <c r="C121" s="310">
        <v>171.65249</v>
      </c>
      <c r="D121" s="311">
        <v>-53.898750866325997</v>
      </c>
      <c r="E121" s="312">
        <v>0.76103544959699998</v>
      </c>
      <c r="F121" s="310">
        <v>0</v>
      </c>
      <c r="G121" s="311">
        <v>0</v>
      </c>
      <c r="H121" s="313">
        <v>14.071199999999999</v>
      </c>
      <c r="I121" s="310">
        <v>41.619399999999999</v>
      </c>
      <c r="J121" s="311">
        <v>41.619399999999999</v>
      </c>
      <c r="K121" s="318" t="s">
        <v>192</v>
      </c>
    </row>
    <row r="122" spans="1:11" ht="14.4" customHeight="1" thickBot="1" x14ac:dyDescent="0.35">
      <c r="A122" s="327" t="s">
        <v>288</v>
      </c>
      <c r="B122" s="305">
        <v>225.55124086632699</v>
      </c>
      <c r="C122" s="305">
        <v>171.65249</v>
      </c>
      <c r="D122" s="306">
        <v>-53.898750866325997</v>
      </c>
      <c r="E122" s="307">
        <v>0.76103544959699998</v>
      </c>
      <c r="F122" s="305">
        <v>0</v>
      </c>
      <c r="G122" s="306">
        <v>0</v>
      </c>
      <c r="H122" s="308">
        <v>14.071199999999999</v>
      </c>
      <c r="I122" s="305">
        <v>41.619399999999999</v>
      </c>
      <c r="J122" s="306">
        <v>41.619399999999999</v>
      </c>
      <c r="K122" s="315" t="s">
        <v>192</v>
      </c>
    </row>
    <row r="123" spans="1:11" ht="14.4" customHeight="1" thickBot="1" x14ac:dyDescent="0.35">
      <c r="A123" s="326" t="s">
        <v>289</v>
      </c>
      <c r="B123" s="310">
        <v>688</v>
      </c>
      <c r="C123" s="310">
        <v>628.6386</v>
      </c>
      <c r="D123" s="311">
        <v>-59.361399999999001</v>
      </c>
      <c r="E123" s="312">
        <v>0.91371889534799999</v>
      </c>
      <c r="F123" s="310">
        <v>0</v>
      </c>
      <c r="G123" s="311">
        <v>0</v>
      </c>
      <c r="H123" s="313">
        <v>39.551769999999998</v>
      </c>
      <c r="I123" s="310">
        <v>136.08996999999999</v>
      </c>
      <c r="J123" s="311">
        <v>136.08996999999999</v>
      </c>
      <c r="K123" s="318" t="s">
        <v>192</v>
      </c>
    </row>
    <row r="124" spans="1:11" ht="14.4" customHeight="1" thickBot="1" x14ac:dyDescent="0.35">
      <c r="A124" s="327" t="s">
        <v>290</v>
      </c>
      <c r="B124" s="305">
        <v>688</v>
      </c>
      <c r="C124" s="305">
        <v>628.6386</v>
      </c>
      <c r="D124" s="306">
        <v>-59.361399999999001</v>
      </c>
      <c r="E124" s="307">
        <v>0.91371889534799999</v>
      </c>
      <c r="F124" s="305">
        <v>0</v>
      </c>
      <c r="G124" s="306">
        <v>0</v>
      </c>
      <c r="H124" s="308">
        <v>39.551769999999998</v>
      </c>
      <c r="I124" s="305">
        <v>136.08996999999999</v>
      </c>
      <c r="J124" s="306">
        <v>136.08996999999999</v>
      </c>
      <c r="K124" s="315" t="s">
        <v>192</v>
      </c>
    </row>
    <row r="125" spans="1:11" ht="14.4" customHeight="1" thickBot="1" x14ac:dyDescent="0.35">
      <c r="A125" s="326" t="s">
        <v>291</v>
      </c>
      <c r="B125" s="310">
        <v>1299.4585329733</v>
      </c>
      <c r="C125" s="310">
        <v>1281.73676</v>
      </c>
      <c r="D125" s="311">
        <v>-17.721772973294001</v>
      </c>
      <c r="E125" s="312">
        <v>0.98636218661499997</v>
      </c>
      <c r="F125" s="310">
        <v>0</v>
      </c>
      <c r="G125" s="311">
        <v>0</v>
      </c>
      <c r="H125" s="313">
        <v>106.12406</v>
      </c>
      <c r="I125" s="310">
        <v>298.89456999999999</v>
      </c>
      <c r="J125" s="311">
        <v>298.89456999999999</v>
      </c>
      <c r="K125" s="318" t="s">
        <v>192</v>
      </c>
    </row>
    <row r="126" spans="1:11" ht="14.4" customHeight="1" thickBot="1" x14ac:dyDescent="0.35">
      <c r="A126" s="327" t="s">
        <v>292</v>
      </c>
      <c r="B126" s="305">
        <v>1299.4585329733</v>
      </c>
      <c r="C126" s="305">
        <v>1281.73676</v>
      </c>
      <c r="D126" s="306">
        <v>-17.721772973294001</v>
      </c>
      <c r="E126" s="307">
        <v>0.98636218661499997</v>
      </c>
      <c r="F126" s="305">
        <v>0</v>
      </c>
      <c r="G126" s="306">
        <v>0</v>
      </c>
      <c r="H126" s="308">
        <v>106.12406</v>
      </c>
      <c r="I126" s="305">
        <v>298.89456999999999</v>
      </c>
      <c r="J126" s="306">
        <v>298.89456999999999</v>
      </c>
      <c r="K126" s="315" t="s">
        <v>192</v>
      </c>
    </row>
    <row r="127" spans="1:11" ht="14.4" customHeight="1" thickBot="1" x14ac:dyDescent="0.35">
      <c r="A127" s="331"/>
      <c r="B127" s="305">
        <v>-28283.893113874601</v>
      </c>
      <c r="C127" s="305">
        <v>-28256.12787</v>
      </c>
      <c r="D127" s="306">
        <v>27.765243874557001</v>
      </c>
      <c r="E127" s="307">
        <v>0.99901833726400002</v>
      </c>
      <c r="F127" s="305">
        <v>-25621.107169006798</v>
      </c>
      <c r="G127" s="306">
        <v>-6405.2767922516996</v>
      </c>
      <c r="H127" s="308">
        <v>-2438.0184100000001</v>
      </c>
      <c r="I127" s="305">
        <v>-7210.4867000000004</v>
      </c>
      <c r="J127" s="306">
        <v>-805.20990774830295</v>
      </c>
      <c r="K127" s="309">
        <v>0.28142760000299999</v>
      </c>
    </row>
    <row r="128" spans="1:11" ht="14.4" customHeight="1" thickBot="1" x14ac:dyDescent="0.35">
      <c r="A128" s="332" t="s">
        <v>50</v>
      </c>
      <c r="B128" s="319">
        <v>-28283.893113874601</v>
      </c>
      <c r="C128" s="319">
        <v>-28256.12787</v>
      </c>
      <c r="D128" s="320">
        <v>27.765243874557999</v>
      </c>
      <c r="E128" s="321">
        <v>-0.85555762560199999</v>
      </c>
      <c r="F128" s="319">
        <v>-25621.107169006798</v>
      </c>
      <c r="G128" s="320">
        <v>-6405.2767922516996</v>
      </c>
      <c r="H128" s="319">
        <v>-2438.0184100000001</v>
      </c>
      <c r="I128" s="319">
        <v>-7210.4867000000004</v>
      </c>
      <c r="J128" s="320">
        <v>-805.20990774830295</v>
      </c>
      <c r="K128" s="322">
        <v>0.28142760000299999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7" t="s">
        <v>77</v>
      </c>
      <c r="B1" s="288"/>
      <c r="C1" s="288"/>
      <c r="D1" s="288"/>
      <c r="E1" s="288"/>
      <c r="F1" s="288"/>
      <c r="G1" s="259"/>
      <c r="H1" s="289"/>
      <c r="I1" s="289"/>
    </row>
    <row r="2" spans="1:10" ht="14.4" customHeight="1" thickBot="1" x14ac:dyDescent="0.35">
      <c r="A2" s="174" t="s">
        <v>174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31">
        <v>2014</v>
      </c>
      <c r="D3" s="232">
        <v>2015</v>
      </c>
      <c r="E3" s="7"/>
      <c r="F3" s="282">
        <v>2016</v>
      </c>
      <c r="G3" s="283"/>
      <c r="H3" s="283"/>
      <c r="I3" s="284"/>
    </row>
    <row r="4" spans="1:10" ht="14.4" customHeight="1" thickBot="1" x14ac:dyDescent="0.35">
      <c r="A4" s="236" t="s">
        <v>0</v>
      </c>
      <c r="B4" s="237" t="s">
        <v>134</v>
      </c>
      <c r="C4" s="285" t="s">
        <v>55</v>
      </c>
      <c r="D4" s="286"/>
      <c r="E4" s="238"/>
      <c r="F4" s="233" t="s">
        <v>55</v>
      </c>
      <c r="G4" s="234" t="s">
        <v>56</v>
      </c>
      <c r="H4" s="234" t="s">
        <v>52</v>
      </c>
      <c r="I4" s="235" t="s">
        <v>57</v>
      </c>
    </row>
    <row r="5" spans="1:10" ht="14.4" customHeight="1" x14ac:dyDescent="0.3">
      <c r="A5" s="333" t="s">
        <v>293</v>
      </c>
      <c r="B5" s="334" t="s">
        <v>294</v>
      </c>
      <c r="C5" s="335" t="s">
        <v>295</v>
      </c>
      <c r="D5" s="335" t="s">
        <v>295</v>
      </c>
      <c r="E5" s="335"/>
      <c r="F5" s="335" t="s">
        <v>295</v>
      </c>
      <c r="G5" s="335" t="s">
        <v>295</v>
      </c>
      <c r="H5" s="335" t="s">
        <v>295</v>
      </c>
      <c r="I5" s="336" t="s">
        <v>295</v>
      </c>
      <c r="J5" s="337" t="s">
        <v>53</v>
      </c>
    </row>
    <row r="6" spans="1:10" ht="14.4" customHeight="1" x14ac:dyDescent="0.3">
      <c r="A6" s="333" t="s">
        <v>293</v>
      </c>
      <c r="B6" s="334" t="s">
        <v>181</v>
      </c>
      <c r="C6" s="335">
        <v>11.971730000000001</v>
      </c>
      <c r="D6" s="335">
        <v>9.138539999999999</v>
      </c>
      <c r="E6" s="335"/>
      <c r="F6" s="335">
        <v>14.56995</v>
      </c>
      <c r="G6" s="335">
        <v>13.75000379026525</v>
      </c>
      <c r="H6" s="335">
        <v>0.8199462097347503</v>
      </c>
      <c r="I6" s="336">
        <v>1.0596324351790547</v>
      </c>
      <c r="J6" s="337" t="s">
        <v>1</v>
      </c>
    </row>
    <row r="7" spans="1:10" ht="14.4" customHeight="1" x14ac:dyDescent="0.3">
      <c r="A7" s="333" t="s">
        <v>293</v>
      </c>
      <c r="B7" s="334" t="s">
        <v>296</v>
      </c>
      <c r="C7" s="335">
        <v>11.971730000000001</v>
      </c>
      <c r="D7" s="335">
        <v>9.138539999999999</v>
      </c>
      <c r="E7" s="335"/>
      <c r="F7" s="335">
        <v>14.56995</v>
      </c>
      <c r="G7" s="335">
        <v>13.75000379026525</v>
      </c>
      <c r="H7" s="335">
        <v>0.8199462097347503</v>
      </c>
      <c r="I7" s="336">
        <v>1.0596324351790547</v>
      </c>
      <c r="J7" s="337" t="s">
        <v>297</v>
      </c>
    </row>
    <row r="9" spans="1:10" ht="14.4" customHeight="1" x14ac:dyDescent="0.3">
      <c r="A9" s="333" t="s">
        <v>293</v>
      </c>
      <c r="B9" s="334" t="s">
        <v>294</v>
      </c>
      <c r="C9" s="335" t="s">
        <v>295</v>
      </c>
      <c r="D9" s="335" t="s">
        <v>295</v>
      </c>
      <c r="E9" s="335"/>
      <c r="F9" s="335" t="s">
        <v>295</v>
      </c>
      <c r="G9" s="335" t="s">
        <v>295</v>
      </c>
      <c r="H9" s="335" t="s">
        <v>295</v>
      </c>
      <c r="I9" s="336" t="s">
        <v>295</v>
      </c>
      <c r="J9" s="337" t="s">
        <v>53</v>
      </c>
    </row>
    <row r="10" spans="1:10" ht="14.4" customHeight="1" x14ac:dyDescent="0.3">
      <c r="A10" s="333" t="s">
        <v>298</v>
      </c>
      <c r="B10" s="334" t="s">
        <v>299</v>
      </c>
      <c r="C10" s="335" t="s">
        <v>295</v>
      </c>
      <c r="D10" s="335" t="s">
        <v>295</v>
      </c>
      <c r="E10" s="335"/>
      <c r="F10" s="335" t="s">
        <v>295</v>
      </c>
      <c r="G10" s="335" t="s">
        <v>295</v>
      </c>
      <c r="H10" s="335" t="s">
        <v>295</v>
      </c>
      <c r="I10" s="336" t="s">
        <v>295</v>
      </c>
      <c r="J10" s="337" t="s">
        <v>0</v>
      </c>
    </row>
    <row r="11" spans="1:10" ht="14.4" customHeight="1" x14ac:dyDescent="0.3">
      <c r="A11" s="333" t="s">
        <v>298</v>
      </c>
      <c r="B11" s="334" t="s">
        <v>181</v>
      </c>
      <c r="C11" s="335">
        <v>11.971730000000001</v>
      </c>
      <c r="D11" s="335">
        <v>9.138539999999999</v>
      </c>
      <c r="E11" s="335"/>
      <c r="F11" s="335">
        <v>14.56995</v>
      </c>
      <c r="G11" s="335">
        <v>11.943778849640751</v>
      </c>
      <c r="H11" s="335">
        <v>2.6261711503592498</v>
      </c>
      <c r="I11" s="336">
        <v>1.2198777441729207</v>
      </c>
      <c r="J11" s="337" t="s">
        <v>1</v>
      </c>
    </row>
    <row r="12" spans="1:10" ht="14.4" customHeight="1" x14ac:dyDescent="0.3">
      <c r="A12" s="333" t="s">
        <v>298</v>
      </c>
      <c r="B12" s="334" t="s">
        <v>300</v>
      </c>
      <c r="C12" s="335">
        <v>11.971730000000001</v>
      </c>
      <c r="D12" s="335">
        <v>9.138539999999999</v>
      </c>
      <c r="E12" s="335"/>
      <c r="F12" s="335">
        <v>14.56995</v>
      </c>
      <c r="G12" s="335">
        <v>11.943778849640751</v>
      </c>
      <c r="H12" s="335">
        <v>2.6261711503592498</v>
      </c>
      <c r="I12" s="336">
        <v>1.2198777441729207</v>
      </c>
      <c r="J12" s="337" t="s">
        <v>301</v>
      </c>
    </row>
    <row r="13" spans="1:10" ht="14.4" customHeight="1" x14ac:dyDescent="0.3">
      <c r="A13" s="333" t="s">
        <v>295</v>
      </c>
      <c r="B13" s="334" t="s">
        <v>295</v>
      </c>
      <c r="C13" s="335" t="s">
        <v>295</v>
      </c>
      <c r="D13" s="335" t="s">
        <v>295</v>
      </c>
      <c r="E13" s="335"/>
      <c r="F13" s="335" t="s">
        <v>295</v>
      </c>
      <c r="G13" s="335" t="s">
        <v>295</v>
      </c>
      <c r="H13" s="335" t="s">
        <v>295</v>
      </c>
      <c r="I13" s="336" t="s">
        <v>295</v>
      </c>
      <c r="J13" s="337" t="s">
        <v>302</v>
      </c>
    </row>
    <row r="14" spans="1:10" ht="14.4" customHeight="1" x14ac:dyDescent="0.3">
      <c r="A14" s="333" t="s">
        <v>303</v>
      </c>
      <c r="B14" s="334" t="s">
        <v>304</v>
      </c>
      <c r="C14" s="335" t="s">
        <v>295</v>
      </c>
      <c r="D14" s="335" t="s">
        <v>295</v>
      </c>
      <c r="E14" s="335"/>
      <c r="F14" s="335" t="s">
        <v>295</v>
      </c>
      <c r="G14" s="335" t="s">
        <v>295</v>
      </c>
      <c r="H14" s="335" t="s">
        <v>295</v>
      </c>
      <c r="I14" s="336" t="s">
        <v>295</v>
      </c>
      <c r="J14" s="337" t="s">
        <v>0</v>
      </c>
    </row>
    <row r="15" spans="1:10" ht="14.4" customHeight="1" x14ac:dyDescent="0.3">
      <c r="A15" s="333" t="s">
        <v>303</v>
      </c>
      <c r="B15" s="334" t="s">
        <v>181</v>
      </c>
      <c r="C15" s="335">
        <v>0</v>
      </c>
      <c r="D15" s="335">
        <v>0</v>
      </c>
      <c r="E15" s="335"/>
      <c r="F15" s="335">
        <v>0</v>
      </c>
      <c r="G15" s="335">
        <v>1.8062249406244999</v>
      </c>
      <c r="H15" s="335">
        <v>-1.8062249406244999</v>
      </c>
      <c r="I15" s="336">
        <v>0</v>
      </c>
      <c r="J15" s="337" t="s">
        <v>1</v>
      </c>
    </row>
    <row r="16" spans="1:10" ht="14.4" customHeight="1" x14ac:dyDescent="0.3">
      <c r="A16" s="333" t="s">
        <v>303</v>
      </c>
      <c r="B16" s="334" t="s">
        <v>305</v>
      </c>
      <c r="C16" s="335">
        <v>0</v>
      </c>
      <c r="D16" s="335">
        <v>0</v>
      </c>
      <c r="E16" s="335"/>
      <c r="F16" s="335">
        <v>0</v>
      </c>
      <c r="G16" s="335">
        <v>1.8062249406244999</v>
      </c>
      <c r="H16" s="335">
        <v>-1.8062249406244999</v>
      </c>
      <c r="I16" s="336">
        <v>0</v>
      </c>
      <c r="J16" s="337" t="s">
        <v>301</v>
      </c>
    </row>
    <row r="17" spans="1:10" ht="14.4" customHeight="1" x14ac:dyDescent="0.3">
      <c r="A17" s="333" t="s">
        <v>295</v>
      </c>
      <c r="B17" s="334" t="s">
        <v>295</v>
      </c>
      <c r="C17" s="335" t="s">
        <v>295</v>
      </c>
      <c r="D17" s="335" t="s">
        <v>295</v>
      </c>
      <c r="E17" s="335"/>
      <c r="F17" s="335" t="s">
        <v>295</v>
      </c>
      <c r="G17" s="335" t="s">
        <v>295</v>
      </c>
      <c r="H17" s="335" t="s">
        <v>295</v>
      </c>
      <c r="I17" s="336" t="s">
        <v>295</v>
      </c>
      <c r="J17" s="337" t="s">
        <v>302</v>
      </c>
    </row>
    <row r="18" spans="1:10" ht="14.4" customHeight="1" x14ac:dyDescent="0.3">
      <c r="A18" s="333" t="s">
        <v>293</v>
      </c>
      <c r="B18" s="334" t="s">
        <v>296</v>
      </c>
      <c r="C18" s="335">
        <v>11.971730000000001</v>
      </c>
      <c r="D18" s="335">
        <v>9.138539999999999</v>
      </c>
      <c r="E18" s="335"/>
      <c r="F18" s="335">
        <v>14.56995</v>
      </c>
      <c r="G18" s="335">
        <v>13.75000379026525</v>
      </c>
      <c r="H18" s="335">
        <v>0.8199462097347503</v>
      </c>
      <c r="I18" s="336">
        <v>1.0596324351790547</v>
      </c>
      <c r="J18" s="337" t="s">
        <v>297</v>
      </c>
    </row>
  </sheetData>
  <mergeCells count="3">
    <mergeCell ref="F3:I3"/>
    <mergeCell ref="C4:D4"/>
    <mergeCell ref="A1:I1"/>
  </mergeCells>
  <conditionalFormatting sqref="F8 F19:F65537">
    <cfRule type="cellIs" dxfId="38" priority="18" stopIfTrue="1" operator="greaterThan">
      <formula>1</formula>
    </cfRule>
  </conditionalFormatting>
  <conditionalFormatting sqref="H5:H7">
    <cfRule type="expression" dxfId="37" priority="14">
      <formula>$H5&gt;0</formula>
    </cfRule>
  </conditionalFormatting>
  <conditionalFormatting sqref="I5:I7">
    <cfRule type="expression" dxfId="36" priority="15">
      <formula>$I5&gt;1</formula>
    </cfRule>
  </conditionalFormatting>
  <conditionalFormatting sqref="B5:B7">
    <cfRule type="expression" dxfId="35" priority="11">
      <formula>OR($J5="NS",$J5="SumaNS",$J5="Účet")</formula>
    </cfRule>
  </conditionalFormatting>
  <conditionalFormatting sqref="B5:D7 F5:I7">
    <cfRule type="expression" dxfId="34" priority="17">
      <formula>AND($J5&lt;&gt;"",$J5&lt;&gt;"mezeraKL")</formula>
    </cfRule>
  </conditionalFormatting>
  <conditionalFormatting sqref="B5:D7 F5:I7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2" priority="13">
      <formula>OR($J5="SumaNS",$J5="NS")</formula>
    </cfRule>
  </conditionalFormatting>
  <conditionalFormatting sqref="A5:A7">
    <cfRule type="expression" dxfId="31" priority="9">
      <formula>AND($J5&lt;&gt;"mezeraKL",$J5&lt;&gt;"")</formula>
    </cfRule>
  </conditionalFormatting>
  <conditionalFormatting sqref="A5:A7">
    <cfRule type="expression" dxfId="30" priority="10">
      <formula>AND($J5&lt;&gt;"",$J5&lt;&gt;"mezeraKL")</formula>
    </cfRule>
  </conditionalFormatting>
  <conditionalFormatting sqref="H9:H18">
    <cfRule type="expression" dxfId="29" priority="5">
      <formula>$H9&gt;0</formula>
    </cfRule>
  </conditionalFormatting>
  <conditionalFormatting sqref="A9:A18">
    <cfRule type="expression" dxfId="28" priority="2">
      <formula>AND($J9&lt;&gt;"mezeraKL",$J9&lt;&gt;"")</formula>
    </cfRule>
  </conditionalFormatting>
  <conditionalFormatting sqref="I9:I18">
    <cfRule type="expression" dxfId="27" priority="6">
      <formula>$I9&gt;1</formula>
    </cfRule>
  </conditionalFormatting>
  <conditionalFormatting sqref="B9:B18">
    <cfRule type="expression" dxfId="26" priority="1">
      <formula>OR($J9="NS",$J9="SumaNS",$J9="Účet")</formula>
    </cfRule>
  </conditionalFormatting>
  <conditionalFormatting sqref="A9:D18 F9:I18">
    <cfRule type="expression" dxfId="25" priority="8">
      <formula>AND($J9&lt;&gt;"",$J9&lt;&gt;"mezeraKL")</formula>
    </cfRule>
  </conditionalFormatting>
  <conditionalFormatting sqref="B9:D18 F9:I18">
    <cfRule type="expression" dxfId="24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23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1.109375" style="162" customWidth="1"/>
    <col min="15" max="16384" width="8.88671875" style="96"/>
  </cols>
  <sheetData>
    <row r="1" spans="1:14" ht="18.600000000000001" customHeight="1" thickBot="1" x14ac:dyDescent="0.4">
      <c r="A1" s="294" t="s">
        <v>93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14.4" customHeight="1" thickBot="1" x14ac:dyDescent="0.35">
      <c r="A2" s="174" t="s">
        <v>174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290"/>
      <c r="D3" s="291"/>
      <c r="E3" s="291"/>
      <c r="F3" s="291"/>
      <c r="G3" s="291"/>
      <c r="H3" s="291"/>
      <c r="I3" s="291"/>
      <c r="J3" s="292" t="s">
        <v>75</v>
      </c>
      <c r="K3" s="293"/>
      <c r="L3" s="71">
        <f>IF(M3&lt;&gt;0,N3/M3,0)</f>
        <v>146.17523558327551</v>
      </c>
      <c r="M3" s="71">
        <f>SUBTOTAL(9,M5:M1048576)</f>
        <v>143</v>
      </c>
      <c r="N3" s="72">
        <f>SUBTOTAL(9,N5:N1048576)</f>
        <v>20903.058688408397</v>
      </c>
    </row>
    <row r="4" spans="1:14" s="163" customFormat="1" ht="14.4" customHeight="1" thickBot="1" x14ac:dyDescent="0.35">
      <c r="A4" s="338" t="s">
        <v>3</v>
      </c>
      <c r="B4" s="339" t="s">
        <v>4</v>
      </c>
      <c r="C4" s="339" t="s">
        <v>0</v>
      </c>
      <c r="D4" s="339" t="s">
        <v>5</v>
      </c>
      <c r="E4" s="339" t="s">
        <v>6</v>
      </c>
      <c r="F4" s="339" t="s">
        <v>1</v>
      </c>
      <c r="G4" s="339" t="s">
        <v>7</v>
      </c>
      <c r="H4" s="339" t="s">
        <v>8</v>
      </c>
      <c r="I4" s="339" t="s">
        <v>9</v>
      </c>
      <c r="J4" s="340" t="s">
        <v>10</v>
      </c>
      <c r="K4" s="340" t="s">
        <v>11</v>
      </c>
      <c r="L4" s="341" t="s">
        <v>81</v>
      </c>
      <c r="M4" s="341" t="s">
        <v>12</v>
      </c>
      <c r="N4" s="342" t="s">
        <v>89</v>
      </c>
    </row>
    <row r="5" spans="1:14" ht="14.4" customHeight="1" x14ac:dyDescent="0.3">
      <c r="A5" s="343" t="s">
        <v>293</v>
      </c>
      <c r="B5" s="344" t="s">
        <v>294</v>
      </c>
      <c r="C5" s="345" t="s">
        <v>298</v>
      </c>
      <c r="D5" s="346" t="s">
        <v>319</v>
      </c>
      <c r="E5" s="345" t="s">
        <v>306</v>
      </c>
      <c r="F5" s="346" t="s">
        <v>320</v>
      </c>
      <c r="G5" s="345" t="s">
        <v>307</v>
      </c>
      <c r="H5" s="345" t="s">
        <v>308</v>
      </c>
      <c r="I5" s="345" t="s">
        <v>309</v>
      </c>
      <c r="J5" s="345" t="s">
        <v>310</v>
      </c>
      <c r="K5" s="345"/>
      <c r="L5" s="347">
        <v>97.446564705882338</v>
      </c>
      <c r="M5" s="347">
        <v>68</v>
      </c>
      <c r="N5" s="348">
        <v>6626.366399999999</v>
      </c>
    </row>
    <row r="6" spans="1:14" ht="14.4" customHeight="1" x14ac:dyDescent="0.3">
      <c r="A6" s="349" t="s">
        <v>293</v>
      </c>
      <c r="B6" s="350" t="s">
        <v>294</v>
      </c>
      <c r="C6" s="351" t="s">
        <v>298</v>
      </c>
      <c r="D6" s="352" t="s">
        <v>319</v>
      </c>
      <c r="E6" s="351" t="s">
        <v>306</v>
      </c>
      <c r="F6" s="352" t="s">
        <v>320</v>
      </c>
      <c r="G6" s="351" t="s">
        <v>307</v>
      </c>
      <c r="H6" s="351" t="s">
        <v>311</v>
      </c>
      <c r="I6" s="351" t="s">
        <v>309</v>
      </c>
      <c r="J6" s="351" t="s">
        <v>312</v>
      </c>
      <c r="K6" s="351" t="s">
        <v>313</v>
      </c>
      <c r="L6" s="353">
        <v>75.020024909183206</v>
      </c>
      <c r="M6" s="353">
        <v>4</v>
      </c>
      <c r="N6" s="354">
        <v>300.08009963673283</v>
      </c>
    </row>
    <row r="7" spans="1:14" ht="14.4" customHeight="1" x14ac:dyDescent="0.3">
      <c r="A7" s="349" t="s">
        <v>293</v>
      </c>
      <c r="B7" s="350" t="s">
        <v>294</v>
      </c>
      <c r="C7" s="351" t="s">
        <v>298</v>
      </c>
      <c r="D7" s="352" t="s">
        <v>319</v>
      </c>
      <c r="E7" s="351" t="s">
        <v>306</v>
      </c>
      <c r="F7" s="352" t="s">
        <v>320</v>
      </c>
      <c r="G7" s="351" t="s">
        <v>307</v>
      </c>
      <c r="H7" s="351" t="s">
        <v>314</v>
      </c>
      <c r="I7" s="351" t="s">
        <v>309</v>
      </c>
      <c r="J7" s="351" t="s">
        <v>315</v>
      </c>
      <c r="K7" s="351" t="s">
        <v>316</v>
      </c>
      <c r="L7" s="353">
        <v>75.01998223176345</v>
      </c>
      <c r="M7" s="353">
        <v>3</v>
      </c>
      <c r="N7" s="354">
        <v>225.05994669529036</v>
      </c>
    </row>
    <row r="8" spans="1:14" ht="14.4" customHeight="1" thickBot="1" x14ac:dyDescent="0.35">
      <c r="A8" s="355" t="s">
        <v>293</v>
      </c>
      <c r="B8" s="356" t="s">
        <v>294</v>
      </c>
      <c r="C8" s="357" t="s">
        <v>298</v>
      </c>
      <c r="D8" s="358" t="s">
        <v>319</v>
      </c>
      <c r="E8" s="357" t="s">
        <v>306</v>
      </c>
      <c r="F8" s="358" t="s">
        <v>320</v>
      </c>
      <c r="G8" s="357" t="s">
        <v>307</v>
      </c>
      <c r="H8" s="357" t="s">
        <v>317</v>
      </c>
      <c r="I8" s="357" t="s">
        <v>309</v>
      </c>
      <c r="J8" s="357" t="s">
        <v>318</v>
      </c>
      <c r="K8" s="357"/>
      <c r="L8" s="359">
        <v>202.22870944229962</v>
      </c>
      <c r="M8" s="359">
        <v>68</v>
      </c>
      <c r="N8" s="360">
        <v>13751.552242076374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1" customWidth="1"/>
    <col min="2" max="2" width="5.44140625" style="162" bestFit="1" customWidth="1"/>
    <col min="3" max="3" width="6.109375" style="162" bestFit="1" customWidth="1"/>
    <col min="4" max="4" width="7.44140625" style="162" bestFit="1" customWidth="1"/>
    <col min="5" max="5" width="6.21875" style="162" bestFit="1" customWidth="1"/>
    <col min="6" max="6" width="6.33203125" style="165" bestFit="1" customWidth="1"/>
    <col min="7" max="7" width="6.109375" style="165" bestFit="1" customWidth="1"/>
    <col min="8" max="8" width="7.44140625" style="165" bestFit="1" customWidth="1"/>
    <col min="9" max="9" width="6.21875" style="165" bestFit="1" customWidth="1"/>
    <col min="10" max="10" width="5.44140625" style="162" bestFit="1" customWidth="1"/>
    <col min="11" max="11" width="6.109375" style="162" bestFit="1" customWidth="1"/>
    <col min="12" max="12" width="7.44140625" style="162" bestFit="1" customWidth="1"/>
    <col min="13" max="13" width="6.21875" style="162" bestFit="1" customWidth="1"/>
    <col min="14" max="14" width="5.33203125" style="165" bestFit="1" customWidth="1"/>
    <col min="15" max="15" width="6.109375" style="165" bestFit="1" customWidth="1"/>
    <col min="16" max="16" width="7.44140625" style="165" bestFit="1" customWidth="1"/>
    <col min="17" max="17" width="6.21875" style="165" bestFit="1" customWidth="1"/>
    <col min="18" max="16384" width="8.88671875" style="96"/>
  </cols>
  <sheetData>
    <row r="1" spans="1:17" ht="18.600000000000001" customHeight="1" thickBot="1" x14ac:dyDescent="0.4">
      <c r="A1" s="295" t="s">
        <v>135</v>
      </c>
      <c r="B1" s="295"/>
      <c r="C1" s="295"/>
      <c r="D1" s="295"/>
      <c r="E1" s="295"/>
      <c r="F1" s="259"/>
      <c r="G1" s="259"/>
      <c r="H1" s="259"/>
      <c r="I1" s="259"/>
      <c r="J1" s="289"/>
      <c r="K1" s="289"/>
      <c r="L1" s="289"/>
      <c r="M1" s="289"/>
      <c r="N1" s="289"/>
      <c r="O1" s="289"/>
      <c r="P1" s="289"/>
      <c r="Q1" s="289"/>
    </row>
    <row r="2" spans="1:17" ht="14.4" customHeight="1" thickBot="1" x14ac:dyDescent="0.35">
      <c r="A2" s="174" t="s">
        <v>174</v>
      </c>
      <c r="B2" s="169"/>
      <c r="C2" s="169"/>
      <c r="D2" s="169"/>
      <c r="E2" s="169"/>
    </row>
    <row r="3" spans="1:17" ht="14.4" customHeight="1" thickBot="1" x14ac:dyDescent="0.35">
      <c r="A3" s="240" t="s">
        <v>2</v>
      </c>
      <c r="B3" s="244">
        <f>SUM(B6:B1048576)</f>
        <v>27</v>
      </c>
      <c r="C3" s="245">
        <f>SUM(C6:C1048576)</f>
        <v>0</v>
      </c>
      <c r="D3" s="245">
        <f>SUM(D6:D1048576)</f>
        <v>0</v>
      </c>
      <c r="E3" s="246">
        <f>SUM(E6:E1048576)</f>
        <v>0</v>
      </c>
      <c r="F3" s="243">
        <f>IF(SUM($B3:$E3)=0,"",B3/SUM($B3:$E3))</f>
        <v>1</v>
      </c>
      <c r="G3" s="241">
        <f t="shared" ref="G3:I3" si="0">IF(SUM($B3:$E3)=0,"",C3/SUM($B3:$E3))</f>
        <v>0</v>
      </c>
      <c r="H3" s="241">
        <f t="shared" si="0"/>
        <v>0</v>
      </c>
      <c r="I3" s="242">
        <f t="shared" si="0"/>
        <v>0</v>
      </c>
      <c r="J3" s="245">
        <f>SUM(J6:J1048576)</f>
        <v>7</v>
      </c>
      <c r="K3" s="245">
        <f>SUM(K6:K1048576)</f>
        <v>0</v>
      </c>
      <c r="L3" s="245">
        <f>SUM(L6:L1048576)</f>
        <v>0</v>
      </c>
      <c r="M3" s="246">
        <f>SUM(M6:M1048576)</f>
        <v>0</v>
      </c>
      <c r="N3" s="243">
        <f>IF(SUM($J3:$M3)=0,"",J3/SUM($J3:$M3))</f>
        <v>1</v>
      </c>
      <c r="O3" s="241">
        <f t="shared" ref="O3:Q3" si="1">IF(SUM($J3:$M3)=0,"",K3/SUM($J3:$M3))</f>
        <v>0</v>
      </c>
      <c r="P3" s="241">
        <f t="shared" si="1"/>
        <v>0</v>
      </c>
      <c r="Q3" s="242">
        <f t="shared" si="1"/>
        <v>0</v>
      </c>
    </row>
    <row r="4" spans="1:17" ht="14.4" customHeight="1" thickBot="1" x14ac:dyDescent="0.35">
      <c r="A4" s="239"/>
      <c r="B4" s="299" t="s">
        <v>137</v>
      </c>
      <c r="C4" s="300"/>
      <c r="D4" s="300"/>
      <c r="E4" s="301"/>
      <c r="F4" s="296" t="s">
        <v>142</v>
      </c>
      <c r="G4" s="297"/>
      <c r="H4" s="297"/>
      <c r="I4" s="298"/>
      <c r="J4" s="299" t="s">
        <v>143</v>
      </c>
      <c r="K4" s="300"/>
      <c r="L4" s="300"/>
      <c r="M4" s="301"/>
      <c r="N4" s="296" t="s">
        <v>144</v>
      </c>
      <c r="O4" s="297"/>
      <c r="P4" s="297"/>
      <c r="Q4" s="298"/>
    </row>
    <row r="5" spans="1:17" ht="14.4" customHeight="1" thickBot="1" x14ac:dyDescent="0.35">
      <c r="A5" s="361" t="s">
        <v>136</v>
      </c>
      <c r="B5" s="362" t="s">
        <v>138</v>
      </c>
      <c r="C5" s="362" t="s">
        <v>139</v>
      </c>
      <c r="D5" s="362" t="s">
        <v>140</v>
      </c>
      <c r="E5" s="363" t="s">
        <v>141</v>
      </c>
      <c r="F5" s="364" t="s">
        <v>138</v>
      </c>
      <c r="G5" s="365" t="s">
        <v>139</v>
      </c>
      <c r="H5" s="365" t="s">
        <v>140</v>
      </c>
      <c r="I5" s="366" t="s">
        <v>141</v>
      </c>
      <c r="J5" s="362" t="s">
        <v>138</v>
      </c>
      <c r="K5" s="362" t="s">
        <v>139</v>
      </c>
      <c r="L5" s="362" t="s">
        <v>140</v>
      </c>
      <c r="M5" s="363" t="s">
        <v>141</v>
      </c>
      <c r="N5" s="364" t="s">
        <v>138</v>
      </c>
      <c r="O5" s="365" t="s">
        <v>139</v>
      </c>
      <c r="P5" s="365" t="s">
        <v>140</v>
      </c>
      <c r="Q5" s="366" t="s">
        <v>141</v>
      </c>
    </row>
    <row r="6" spans="1:17" ht="14.4" customHeight="1" x14ac:dyDescent="0.3">
      <c r="A6" s="371" t="s">
        <v>321</v>
      </c>
      <c r="B6" s="375"/>
      <c r="C6" s="347"/>
      <c r="D6" s="347"/>
      <c r="E6" s="348"/>
      <c r="F6" s="373"/>
      <c r="G6" s="367"/>
      <c r="H6" s="367"/>
      <c r="I6" s="377"/>
      <c r="J6" s="375"/>
      <c r="K6" s="347"/>
      <c r="L6" s="347"/>
      <c r="M6" s="348"/>
      <c r="N6" s="373"/>
      <c r="O6" s="367"/>
      <c r="P6" s="367"/>
      <c r="Q6" s="368"/>
    </row>
    <row r="7" spans="1:17" ht="14.4" customHeight="1" thickBot="1" x14ac:dyDescent="0.35">
      <c r="A7" s="372" t="s">
        <v>322</v>
      </c>
      <c r="B7" s="376">
        <v>27</v>
      </c>
      <c r="C7" s="359"/>
      <c r="D7" s="359"/>
      <c r="E7" s="360"/>
      <c r="F7" s="374">
        <v>1</v>
      </c>
      <c r="G7" s="369">
        <v>0</v>
      </c>
      <c r="H7" s="369">
        <v>0</v>
      </c>
      <c r="I7" s="378">
        <v>0</v>
      </c>
      <c r="J7" s="376">
        <v>7</v>
      </c>
      <c r="K7" s="359"/>
      <c r="L7" s="359"/>
      <c r="M7" s="360"/>
      <c r="N7" s="374">
        <v>1</v>
      </c>
      <c r="O7" s="369">
        <v>0</v>
      </c>
      <c r="P7" s="369">
        <v>0</v>
      </c>
      <c r="Q7" s="37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2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7" t="s">
        <v>78</v>
      </c>
      <c r="B1" s="288"/>
      <c r="C1" s="288"/>
      <c r="D1" s="288"/>
      <c r="E1" s="288"/>
      <c r="F1" s="288"/>
      <c r="G1" s="259"/>
      <c r="H1" s="289"/>
      <c r="I1" s="289"/>
    </row>
    <row r="2" spans="1:10" ht="14.4" customHeight="1" thickBot="1" x14ac:dyDescent="0.35">
      <c r="A2" s="174" t="s">
        <v>174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31">
        <v>2014</v>
      </c>
      <c r="D3" s="232">
        <v>2015</v>
      </c>
      <c r="E3" s="7"/>
      <c r="F3" s="282">
        <v>2016</v>
      </c>
      <c r="G3" s="283"/>
      <c r="H3" s="283"/>
      <c r="I3" s="284"/>
    </row>
    <row r="4" spans="1:10" ht="14.4" customHeight="1" thickBot="1" x14ac:dyDescent="0.35">
      <c r="A4" s="236" t="s">
        <v>0</v>
      </c>
      <c r="B4" s="237" t="s">
        <v>134</v>
      </c>
      <c r="C4" s="285" t="s">
        <v>55</v>
      </c>
      <c r="D4" s="286"/>
      <c r="E4" s="238"/>
      <c r="F4" s="233" t="s">
        <v>55</v>
      </c>
      <c r="G4" s="234" t="s">
        <v>56</v>
      </c>
      <c r="H4" s="234" t="s">
        <v>52</v>
      </c>
      <c r="I4" s="235" t="s">
        <v>57</v>
      </c>
    </row>
    <row r="5" spans="1:10" ht="14.4" customHeight="1" x14ac:dyDescent="0.3">
      <c r="A5" s="333" t="s">
        <v>293</v>
      </c>
      <c r="B5" s="334" t="s">
        <v>294</v>
      </c>
      <c r="C5" s="335" t="s">
        <v>295</v>
      </c>
      <c r="D5" s="335" t="s">
        <v>295</v>
      </c>
      <c r="E5" s="335"/>
      <c r="F5" s="335" t="s">
        <v>295</v>
      </c>
      <c r="G5" s="335" t="s">
        <v>295</v>
      </c>
      <c r="H5" s="335" t="s">
        <v>295</v>
      </c>
      <c r="I5" s="336" t="s">
        <v>295</v>
      </c>
      <c r="J5" s="337" t="s">
        <v>53</v>
      </c>
    </row>
    <row r="6" spans="1:10" ht="14.4" customHeight="1" x14ac:dyDescent="0.3">
      <c r="A6" s="333" t="s">
        <v>293</v>
      </c>
      <c r="B6" s="334" t="s">
        <v>183</v>
      </c>
      <c r="C6" s="335">
        <v>2.778</v>
      </c>
      <c r="D6" s="335">
        <v>0</v>
      </c>
      <c r="E6" s="335"/>
      <c r="F6" s="335">
        <v>2.698</v>
      </c>
      <c r="G6" s="335">
        <v>5.2500007580529999</v>
      </c>
      <c r="H6" s="335">
        <v>-2.552000758053</v>
      </c>
      <c r="I6" s="336">
        <v>0.51390468770152564</v>
      </c>
      <c r="J6" s="337" t="s">
        <v>1</v>
      </c>
    </row>
    <row r="7" spans="1:10" ht="14.4" customHeight="1" x14ac:dyDescent="0.3">
      <c r="A7" s="333" t="s">
        <v>293</v>
      </c>
      <c r="B7" s="334" t="s">
        <v>296</v>
      </c>
      <c r="C7" s="335">
        <v>2.778</v>
      </c>
      <c r="D7" s="335">
        <v>0</v>
      </c>
      <c r="E7" s="335"/>
      <c r="F7" s="335">
        <v>2.698</v>
      </c>
      <c r="G7" s="335">
        <v>5.2500007580529999</v>
      </c>
      <c r="H7" s="335">
        <v>-2.552000758053</v>
      </c>
      <c r="I7" s="336">
        <v>0.51390468770152564</v>
      </c>
      <c r="J7" s="337" t="s">
        <v>297</v>
      </c>
    </row>
    <row r="9" spans="1:10" ht="14.4" customHeight="1" x14ac:dyDescent="0.3">
      <c r="A9" s="333" t="s">
        <v>293</v>
      </c>
      <c r="B9" s="334" t="s">
        <v>294</v>
      </c>
      <c r="C9" s="335" t="s">
        <v>295</v>
      </c>
      <c r="D9" s="335" t="s">
        <v>295</v>
      </c>
      <c r="E9" s="335"/>
      <c r="F9" s="335" t="s">
        <v>295</v>
      </c>
      <c r="G9" s="335" t="s">
        <v>295</v>
      </c>
      <c r="H9" s="335" t="s">
        <v>295</v>
      </c>
      <c r="I9" s="336" t="s">
        <v>295</v>
      </c>
      <c r="J9" s="337" t="s">
        <v>53</v>
      </c>
    </row>
    <row r="10" spans="1:10" ht="14.4" customHeight="1" x14ac:dyDescent="0.3">
      <c r="A10" s="333" t="s">
        <v>298</v>
      </c>
      <c r="B10" s="334" t="s">
        <v>299</v>
      </c>
      <c r="C10" s="335" t="s">
        <v>295</v>
      </c>
      <c r="D10" s="335" t="s">
        <v>295</v>
      </c>
      <c r="E10" s="335"/>
      <c r="F10" s="335" t="s">
        <v>295</v>
      </c>
      <c r="G10" s="335" t="s">
        <v>295</v>
      </c>
      <c r="H10" s="335" t="s">
        <v>295</v>
      </c>
      <c r="I10" s="336" t="s">
        <v>295</v>
      </c>
      <c r="J10" s="337" t="s">
        <v>0</v>
      </c>
    </row>
    <row r="11" spans="1:10" ht="14.4" customHeight="1" x14ac:dyDescent="0.3">
      <c r="A11" s="333" t="s">
        <v>298</v>
      </c>
      <c r="B11" s="334" t="s">
        <v>183</v>
      </c>
      <c r="C11" s="335">
        <v>2.778</v>
      </c>
      <c r="D11" s="335">
        <v>0</v>
      </c>
      <c r="E11" s="335"/>
      <c r="F11" s="335">
        <v>2.698</v>
      </c>
      <c r="G11" s="335">
        <v>5.2500007580529999</v>
      </c>
      <c r="H11" s="335">
        <v>-2.552000758053</v>
      </c>
      <c r="I11" s="336">
        <v>0.51390468770152564</v>
      </c>
      <c r="J11" s="337" t="s">
        <v>1</v>
      </c>
    </row>
    <row r="12" spans="1:10" ht="14.4" customHeight="1" x14ac:dyDescent="0.3">
      <c r="A12" s="333" t="s">
        <v>298</v>
      </c>
      <c r="B12" s="334" t="s">
        <v>300</v>
      </c>
      <c r="C12" s="335">
        <v>2.778</v>
      </c>
      <c r="D12" s="335">
        <v>0</v>
      </c>
      <c r="E12" s="335"/>
      <c r="F12" s="335">
        <v>2.698</v>
      </c>
      <c r="G12" s="335">
        <v>5.2500007580529999</v>
      </c>
      <c r="H12" s="335">
        <v>-2.552000758053</v>
      </c>
      <c r="I12" s="336">
        <v>0.51390468770152564</v>
      </c>
      <c r="J12" s="337" t="s">
        <v>301</v>
      </c>
    </row>
    <row r="13" spans="1:10" ht="14.4" customHeight="1" x14ac:dyDescent="0.3">
      <c r="A13" s="333" t="s">
        <v>295</v>
      </c>
      <c r="B13" s="334" t="s">
        <v>295</v>
      </c>
      <c r="C13" s="335" t="s">
        <v>295</v>
      </c>
      <c r="D13" s="335" t="s">
        <v>295</v>
      </c>
      <c r="E13" s="335"/>
      <c r="F13" s="335" t="s">
        <v>295</v>
      </c>
      <c r="G13" s="335" t="s">
        <v>295</v>
      </c>
      <c r="H13" s="335" t="s">
        <v>295</v>
      </c>
      <c r="I13" s="336" t="s">
        <v>295</v>
      </c>
      <c r="J13" s="337" t="s">
        <v>302</v>
      </c>
    </row>
    <row r="14" spans="1:10" ht="14.4" customHeight="1" x14ac:dyDescent="0.3">
      <c r="A14" s="333" t="s">
        <v>323</v>
      </c>
      <c r="B14" s="334" t="s">
        <v>324</v>
      </c>
      <c r="C14" s="335" t="s">
        <v>295</v>
      </c>
      <c r="D14" s="335" t="s">
        <v>295</v>
      </c>
      <c r="E14" s="335"/>
      <c r="F14" s="335" t="s">
        <v>295</v>
      </c>
      <c r="G14" s="335" t="s">
        <v>295</v>
      </c>
      <c r="H14" s="335" t="s">
        <v>295</v>
      </c>
      <c r="I14" s="336" t="s">
        <v>295</v>
      </c>
      <c r="J14" s="337" t="s">
        <v>0</v>
      </c>
    </row>
    <row r="15" spans="1:10" ht="14.4" customHeight="1" x14ac:dyDescent="0.3">
      <c r="A15" s="333" t="s">
        <v>323</v>
      </c>
      <c r="B15" s="334" t="s">
        <v>183</v>
      </c>
      <c r="C15" s="335">
        <v>0</v>
      </c>
      <c r="D15" s="335">
        <v>0</v>
      </c>
      <c r="E15" s="335"/>
      <c r="F15" s="335" t="s">
        <v>295</v>
      </c>
      <c r="G15" s="335" t="s">
        <v>295</v>
      </c>
      <c r="H15" s="335" t="s">
        <v>295</v>
      </c>
      <c r="I15" s="336" t="s">
        <v>295</v>
      </c>
      <c r="J15" s="337" t="s">
        <v>1</v>
      </c>
    </row>
    <row r="16" spans="1:10" ht="14.4" customHeight="1" x14ac:dyDescent="0.3">
      <c r="A16" s="333" t="s">
        <v>323</v>
      </c>
      <c r="B16" s="334" t="s">
        <v>325</v>
      </c>
      <c r="C16" s="335">
        <v>0</v>
      </c>
      <c r="D16" s="335">
        <v>0</v>
      </c>
      <c r="E16" s="335"/>
      <c r="F16" s="335" t="s">
        <v>295</v>
      </c>
      <c r="G16" s="335" t="s">
        <v>295</v>
      </c>
      <c r="H16" s="335" t="s">
        <v>295</v>
      </c>
      <c r="I16" s="336" t="s">
        <v>295</v>
      </c>
      <c r="J16" s="337" t="s">
        <v>301</v>
      </c>
    </row>
    <row r="17" spans="1:10" ht="14.4" customHeight="1" x14ac:dyDescent="0.3">
      <c r="A17" s="333" t="s">
        <v>295</v>
      </c>
      <c r="B17" s="334" t="s">
        <v>295</v>
      </c>
      <c r="C17" s="335" t="s">
        <v>295</v>
      </c>
      <c r="D17" s="335" t="s">
        <v>295</v>
      </c>
      <c r="E17" s="335"/>
      <c r="F17" s="335" t="s">
        <v>295</v>
      </c>
      <c r="G17" s="335" t="s">
        <v>295</v>
      </c>
      <c r="H17" s="335" t="s">
        <v>295</v>
      </c>
      <c r="I17" s="336" t="s">
        <v>295</v>
      </c>
      <c r="J17" s="337" t="s">
        <v>302</v>
      </c>
    </row>
    <row r="18" spans="1:10" ht="14.4" customHeight="1" x14ac:dyDescent="0.3">
      <c r="A18" s="333" t="s">
        <v>293</v>
      </c>
      <c r="B18" s="334" t="s">
        <v>296</v>
      </c>
      <c r="C18" s="335">
        <v>2.778</v>
      </c>
      <c r="D18" s="335">
        <v>0</v>
      </c>
      <c r="E18" s="335"/>
      <c r="F18" s="335">
        <v>2.698</v>
      </c>
      <c r="G18" s="335">
        <v>5.2500007580529999</v>
      </c>
      <c r="H18" s="335">
        <v>-2.552000758053</v>
      </c>
      <c r="I18" s="336">
        <v>0.51390468770152564</v>
      </c>
      <c r="J18" s="337" t="s">
        <v>297</v>
      </c>
    </row>
  </sheetData>
  <mergeCells count="3">
    <mergeCell ref="A1:I1"/>
    <mergeCell ref="F3:I3"/>
    <mergeCell ref="C4:D4"/>
  </mergeCells>
  <conditionalFormatting sqref="F8 F19:F65537">
    <cfRule type="cellIs" dxfId="21" priority="18" stopIfTrue="1" operator="greaterThan">
      <formula>1</formula>
    </cfRule>
  </conditionalFormatting>
  <conditionalFormatting sqref="H5:H7">
    <cfRule type="expression" dxfId="20" priority="14">
      <formula>$H5&gt;0</formula>
    </cfRule>
  </conditionalFormatting>
  <conditionalFormatting sqref="I5:I7">
    <cfRule type="expression" dxfId="19" priority="15">
      <formula>$I5&gt;1</formula>
    </cfRule>
  </conditionalFormatting>
  <conditionalFormatting sqref="B5:B7">
    <cfRule type="expression" dxfId="18" priority="11">
      <formula>OR($J5="NS",$J5="SumaNS",$J5="Účet")</formula>
    </cfRule>
  </conditionalFormatting>
  <conditionalFormatting sqref="F5:I7 B5:D7">
    <cfRule type="expression" dxfId="17" priority="17">
      <formula>AND($J5&lt;&gt;"",$J5&lt;&gt;"mezeraKL")</formula>
    </cfRule>
  </conditionalFormatting>
  <conditionalFormatting sqref="B5:D7 F5:I7">
    <cfRule type="expression" dxfId="16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5" priority="13">
      <formula>OR($J5="SumaNS",$J5="NS")</formula>
    </cfRule>
  </conditionalFormatting>
  <conditionalFormatting sqref="A5:A7">
    <cfRule type="expression" dxfId="14" priority="9">
      <formula>AND($J5&lt;&gt;"mezeraKL",$J5&lt;&gt;"")</formula>
    </cfRule>
  </conditionalFormatting>
  <conditionalFormatting sqref="A5:A7">
    <cfRule type="expression" dxfId="13" priority="10">
      <formula>AND($J5&lt;&gt;"",$J5&lt;&gt;"mezeraKL")</formula>
    </cfRule>
  </conditionalFormatting>
  <conditionalFormatting sqref="H9:H18">
    <cfRule type="expression" dxfId="12" priority="5">
      <formula>$H9&gt;0</formula>
    </cfRule>
  </conditionalFormatting>
  <conditionalFormatting sqref="A9:A18">
    <cfRule type="expression" dxfId="11" priority="2">
      <formula>AND($J9&lt;&gt;"mezeraKL",$J9&lt;&gt;"")</formula>
    </cfRule>
  </conditionalFormatting>
  <conditionalFormatting sqref="I9:I18">
    <cfRule type="expression" dxfId="10" priority="6">
      <formula>$I9&gt;1</formula>
    </cfRule>
  </conditionalFormatting>
  <conditionalFormatting sqref="B9:B18">
    <cfRule type="expression" dxfId="9" priority="1">
      <formula>OR($J9="NS",$J9="SumaNS",$J9="Účet")</formula>
    </cfRule>
  </conditionalFormatting>
  <conditionalFormatting sqref="A9:D18 F9:I18">
    <cfRule type="expression" dxfId="8" priority="8">
      <formula>AND($J9&lt;&gt;"",$J9&lt;&gt;"mezeraKL")</formula>
    </cfRule>
  </conditionalFormatting>
  <conditionalFormatting sqref="B9:D18 F9:I18">
    <cfRule type="expression" dxfId="7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6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2016-04-27T14:36:12Z</dcterms:modified>
</cp:coreProperties>
</file>