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Léky Žádanky" sheetId="219" r:id="rId5"/>
    <sheet name="LŽ Detail" sheetId="220" r:id="rId6"/>
    <sheet name="LŽ Statim" sheetId="427" r:id="rId7"/>
    <sheet name="Materiál Žádanky" sheetId="420" r:id="rId8"/>
    <sheet name="MŽ Detail" sheetId="403" r:id="rId9"/>
    <sheet name="Osobní náklady" sheetId="419" r:id="rId10"/>
    <sheet name="ON Data" sheetId="418" state="hidden" r:id="rId11"/>
  </sheets>
  <definedNames>
    <definedName name="_xlnm._FilterDatabase" localSheetId="4" hidden="1">'Léky Žádanky'!$A$4:$I$4</definedName>
    <definedName name="_xlnm._FilterDatabase" localSheetId="5" hidden="1">'LŽ Detail'!$A$4:$N$4</definedName>
    <definedName name="_xlnm._FilterDatabase" localSheetId="6" hidden="1">'LŽ Statim'!$A$5:$I$5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H26" i="419" l="1"/>
  <c r="H27" i="419" s="1"/>
  <c r="H25" i="419"/>
  <c r="C26" i="419"/>
  <c r="H28" i="419" l="1"/>
  <c r="C25" i="419"/>
  <c r="H20" i="419"/>
  <c r="G20" i="419"/>
  <c r="H19" i="419"/>
  <c r="G19" i="419"/>
  <c r="H17" i="419"/>
  <c r="G17" i="419"/>
  <c r="H16" i="419"/>
  <c r="G16" i="419"/>
  <c r="H14" i="419"/>
  <c r="G14" i="419"/>
  <c r="H13" i="419"/>
  <c r="G13" i="419"/>
  <c r="H12" i="419"/>
  <c r="G12" i="419"/>
  <c r="H11" i="419"/>
  <c r="G11" i="419"/>
  <c r="AW3" i="418"/>
  <c r="AV3" i="418"/>
  <c r="AU3" i="418"/>
  <c r="AT3" i="418"/>
  <c r="AS3" i="418"/>
  <c r="AR3" i="418"/>
  <c r="AQ3" i="418"/>
  <c r="AP3" i="418"/>
  <c r="G18" i="419" l="1"/>
  <c r="H18" i="419"/>
  <c r="B25" i="419"/>
  <c r="C27" i="419" l="1"/>
  <c r="B26" i="419"/>
  <c r="B27" i="419" s="1"/>
  <c r="C28" i="419"/>
  <c r="A8" i="414"/>
  <c r="A7" i="414"/>
  <c r="F21" i="419" l="1"/>
  <c r="E21" i="419"/>
  <c r="D21" i="419"/>
  <c r="C21" i="419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C18" i="419" l="1"/>
  <c r="F18" i="419"/>
  <c r="C23" i="419"/>
  <c r="F23" i="419"/>
  <c r="E18" i="419"/>
  <c r="D23" i="419"/>
  <c r="F22" i="419"/>
  <c r="E23" i="419"/>
  <c r="D18" i="419"/>
  <c r="C22" i="419"/>
  <c r="D22" i="419"/>
  <c r="E22" i="419"/>
  <c r="M3" i="418"/>
  <c r="B21" i="419" l="1"/>
  <c r="B22" i="419" l="1"/>
  <c r="A11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2" i="383" l="1"/>
  <c r="A9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H6" i="419" l="1"/>
  <c r="G6" i="419"/>
  <c r="E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13" i="414"/>
  <c r="A4" i="414"/>
  <c r="A6" i="339" l="1"/>
  <c r="A5" i="339"/>
  <c r="D4" i="414"/>
  <c r="D16" i="414"/>
  <c r="D13" i="414"/>
  <c r="C16" i="414"/>
  <c r="C13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4" i="383"/>
  <c r="A13" i="383"/>
  <c r="A10" i="383"/>
  <c r="A6" i="383"/>
  <c r="A5" i="383"/>
  <c r="C13" i="339"/>
  <c r="C15" i="339" s="1"/>
  <c r="B13" i="339"/>
  <c r="B15" i="339" s="1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<sst xmlns="http://schemas.openxmlformats.org/spreadsheetml/2006/main" count="537" uniqueCount="215">
  <si>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</si>
  <si>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</si>
  <si>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</si>
  <si>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</si>
  <si>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</si>
  <si>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</si>
  <si>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</si>
  <si>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</si>
  <si>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</si>
  <si>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</si>
  <si>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</si>
  <si>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</si>
  <si>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</si>
  <si>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</si>
  <si>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</si>
  <si>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</si>
  <si>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</si>
  <si>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</si>
  <si>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</si>
  <si>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</si>
  <si>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</si>
  <si>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</si>
  <si>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</si>
  <si>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</si>
  <si>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</si>
  <si>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</si>
  <si>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</si>
  <si>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</si>
  <si>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</si>
  <si>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</si>
  <si>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</si>
  <si>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</si>
  <si>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</si>
  <si>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</si>
  <si>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</si>
  <si>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</si>
  <si>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</si>
  <si>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</si>
  <si>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</si>
  <si>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</si>
  <si>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</si>
  <si>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</si>
  <si>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</si>
  <si>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</si>
  <si>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</si>
  <si>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</si>
  <si>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</si>
  <si>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</si>
  <si>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</si>
  <si>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</si>
  <si>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</si>
  <si>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</si>
  <si>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</si>
  <si>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</si>
  <si>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</si>
  <si>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</si>
  <si>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</si>
  <si>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</si>
  <si>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</si>
  <si>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</si>
  <si>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</si>
  <si>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</si>
  <si>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</si>
  <si>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</si>
  <si>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</si>
  <si>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</si>
  <si>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</si>
  <si>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</si>
  <si>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</si>
  <si>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</si>
  <si>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</si>
  <si>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</si>
  <si>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</si>
  <si>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</si>
  <si>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</si>
  <si>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</si>
  <si>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</si>
  <si>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</si>
  <si>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</si>
  <si>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</si>
  <si>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</si>
  <si>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</si>
  <si>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</si>
  <si>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</si>
  <si>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</si>
  <si>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</si>
  <si>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</si>
  <si>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</si>
  <si>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</si>
  <si>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</si>
  <si>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</si>
  <si>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</si>
  <si>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</si>
  <si>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</si>
  <si>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</si>
  <si>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</si>
  <si>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</si>
  <si>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</si>
  <si>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</si>
  <si>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</si>
  <si>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</si>
  <si>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</si>
  <si>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</si>
  <si>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</si>
  <si>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</si>
  <si>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</si>
  <si>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</si>
  <si>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</si>
  <si>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</si>
  <si>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</si>
  <si>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</si>
  <si>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</si>
  <si>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</si>
  <si>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</si>
  <si>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</si>
  <si>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</si>
  <si>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</si>
  <si>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</si>
  <si>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</si>
  <si>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</si>
  <si>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</si>
  <si>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</si>
  <si>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</si>
  <si>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</si>
  <si>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</si>
  <si>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</si>
  <si>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</si>
  <si>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</si>
  <si>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</si>
  <si>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</si>
  <si>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</si>
  <si>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</si>
  <si>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</si>
  <si>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</si>
  <si>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</si>
  <si>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</si>
  <si>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</si>
  <si>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</si>
  <si>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</si>
  <si>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</si>
  <si>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</si>
  <si>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</si>
  <si>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</si>
  <si>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</si>
  <si>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</si>
  <si>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</si>
  <si>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</si>
  <si>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</si>
  <si>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</si>
  <si>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</si>
  <si>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</si>
  <si>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</si>
  <si>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</si>
  <si>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</si>
  <si>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</si>
  <si>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</si>
  <si>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</si>
  <si>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</si>
  <si>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</si>
  <si>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</si>
  <si>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centrální sterilizace</t>
    </r>
  </si>
  <si>
    <t>/0</t>
  </si>
  <si>
    <t>Plnění rozpočtu po měsících</t>
  </si>
  <si>
    <t>56</t>
  </si>
  <si>
    <t>Oddělení centrální sterilizace</t>
  </si>
  <si>
    <t/>
  </si>
  <si>
    <t>50113001     léky - paušál (LEK)</t>
  </si>
  <si>
    <t>Oddělení centrální sterilizace Celkem</t>
  </si>
  <si>
    <t>SumaKL</t>
  </si>
  <si>
    <t>5693</t>
  </si>
  <si>
    <t>oddělení centrální sterilizace</t>
  </si>
  <si>
    <t>oddělení centrální sterilizace Celkem</t>
  </si>
  <si>
    <t>SumaNS</t>
  </si>
  <si>
    <t>mezeraNS</t>
  </si>
  <si>
    <t>5695</t>
  </si>
  <si>
    <t>OCS - detašované pracoviště Ortopedie</t>
  </si>
  <si>
    <t>OCS - detašované pracoviště Ortopedie Celkem</t>
  </si>
  <si>
    <t>50113001</t>
  </si>
  <si>
    <t>O</t>
  </si>
  <si>
    <t>900503</t>
  </si>
  <si>
    <t>0</t>
  </si>
  <si>
    <t>KL AQUA PURIF. 1000G</t>
  </si>
  <si>
    <t>841498</t>
  </si>
  <si>
    <t>Carbosorb tbl.20-blistr</t>
  </si>
  <si>
    <t>930759</t>
  </si>
  <si>
    <t>MS BENZINUM  900 ml  FA , KU</t>
  </si>
  <si>
    <t>DPH 21%</t>
  </si>
  <si>
    <t>192414</t>
  </si>
  <si>
    <t>92414</t>
  </si>
  <si>
    <t>SEPTONEX</t>
  </si>
  <si>
    <t>SPR 1X45ML</t>
  </si>
  <si>
    <t>930224</t>
  </si>
  <si>
    <t>KL BENZINUM 900ml/ 600g</t>
  </si>
  <si>
    <t>UN 3295</t>
  </si>
  <si>
    <t>920294</t>
  </si>
  <si>
    <t>KL SOL.FORMALDEHYDI 3% 1 KG</t>
  </si>
  <si>
    <t>901176</t>
  </si>
  <si>
    <t>IR AC.BORICI AQ.OPHTAL.50 ML</t>
  </si>
  <si>
    <t>IR OČNI VODA 50 ml</t>
  </si>
  <si>
    <t>Oddělení centrální sterilizace, oddělení centrální</t>
  </si>
  <si>
    <t>Oddělení centrální sterilizace, OCS - detašované p</t>
  </si>
  <si>
    <t>Lékárna - léčiva</t>
  </si>
  <si>
    <t>56 - Oddělení centrální sterilizace</t>
  </si>
  <si>
    <t>5693 - oddělení centrální sterilizace</t>
  </si>
  <si>
    <t>5695 - OCS - detašované pracoviště Ortopedie</t>
  </si>
  <si>
    <t>50115067     ZPr - rukavice (Z532)</t>
  </si>
  <si>
    <t>5696</t>
  </si>
  <si>
    <t>OCS - detašované pracoviště  DK</t>
  </si>
  <si>
    <t>OCS - detašované pracoviště  DK Celkem</t>
  </si>
  <si>
    <t>ZM292</t>
  </si>
  <si>
    <t>Rukavice nitril sempercare bez p. M bal. á 200 ks 30803</t>
  </si>
  <si>
    <t>50115067</t>
  </si>
  <si>
    <t>532 SZM Rukavice (112 02 108)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</si>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</sst>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9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97">
    <xf numFmtId="0" fontId="0" fillId="0" borderId="0"/>
    <xf numFmtId="0" fontId="24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9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11" fillId="0" borderId="0"/>
    <xf numFmtId="0" fontId="9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9" fillId="0" borderId="0"/>
    <xf numFmtId="0" fontId="21" fillId="0" borderId="0"/>
    <xf numFmtId="0" fontId="22" fillId="0" borderId="0"/>
    <xf numFmtId="0" fontId="25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3" fillId="0" borderId="0"/>
  </cellStyleXfs>
  <cellXfs count="365">
    <xf numFmtId="0" fontId="0" fillId="0" borderId="0" xfId="0"/>
    <xf numFmtId="0" fontId="26" fillId="2" borderId="16" xfId="81" applyFont="1" applyFill="1" applyBorder="1"/>
    <xf numFmtId="0" fontId="27" fillId="2" borderId="17" xfId="81" applyFont="1" applyFill="1" applyBorder="1"/>
    <xf numFmtId="3" fontId="27" fillId="2" borderId="18" xfId="81" applyNumberFormat="1" applyFont="1" applyFill="1" applyBorder="1"/>
    <xf numFmtId="0" fontId="27" fillId="4" borderId="17" xfId="81" applyFont="1" applyFill="1" applyBorder="1"/>
    <xf numFmtId="3" fontId="27" fillId="4" borderId="18" xfId="81" applyNumberFormat="1" applyFont="1" applyFill="1" applyBorder="1"/>
    <xf numFmtId="171" fontId="27" fillId="3" borderId="18" xfId="81" applyNumberFormat="1" applyFont="1" applyFill="1" applyBorder="1"/>
    <xf numFmtId="0" fontId="28" fillId="5" borderId="0" xfId="74" applyFont="1" applyFill="1"/>
    <xf numFmtId="0" fontId="31" fillId="5" borderId="0" xfId="74" applyFont="1" applyFill="1"/>
    <xf numFmtId="3" fontId="26" fillId="5" borderId="23" xfId="81" applyNumberFormat="1" applyFont="1" applyFill="1" applyBorder="1"/>
    <xf numFmtId="3" fontId="26" fillId="5" borderId="8" xfId="81" applyNumberFormat="1" applyFont="1" applyFill="1" applyBorder="1"/>
    <xf numFmtId="3" fontId="26" fillId="5" borderId="12" xfId="81" applyNumberFormat="1" applyFont="1" applyFill="1" applyBorder="1"/>
    <xf numFmtId="0" fontId="26" fillId="5" borderId="0" xfId="81" applyFont="1" applyFill="1"/>
    <xf numFmtId="10" fontId="26" fillId="5" borderId="0" xfId="81" applyNumberFormat="1" applyFont="1" applyFill="1"/>
    <xf numFmtId="0" fontId="36" fillId="2" borderId="32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3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3" fillId="2" borderId="34" xfId="0" applyFont="1" applyFill="1" applyBorder="1" applyAlignment="1">
      <alignment vertical="top"/>
    </xf>
    <xf numFmtId="0" fontId="36" fillId="2" borderId="8" xfId="0" applyFont="1" applyFill="1" applyBorder="1" applyAlignment="1">
      <alignment horizontal="center" vertical="center"/>
    </xf>
    <xf numFmtId="0" fontId="36" fillId="2" borderId="20" xfId="0" applyFont="1" applyFill="1" applyBorder="1" applyAlignment="1">
      <alignment horizontal="center" vertical="center"/>
    </xf>
    <xf numFmtId="0" fontId="36" fillId="2" borderId="22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horizontal="center" vertical="center"/>
    </xf>
    <xf numFmtId="3" fontId="26" fillId="5" borderId="4" xfId="81" applyNumberFormat="1" applyFont="1" applyFill="1" applyBorder="1"/>
    <xf numFmtId="3" fontId="26" fillId="5" borderId="28" xfId="81" applyNumberFormat="1" applyFont="1" applyFill="1" applyBorder="1"/>
    <xf numFmtId="3" fontId="26" fillId="5" borderId="24" xfId="81" applyNumberFormat="1" applyFont="1" applyFill="1" applyBorder="1"/>
    <xf numFmtId="3" fontId="26" fillId="5" borderId="9" xfId="81" applyNumberFormat="1" applyFont="1" applyFill="1" applyBorder="1"/>
    <xf numFmtId="3" fontId="26" fillId="5" borderId="10" xfId="81" applyNumberFormat="1" applyFont="1" applyFill="1" applyBorder="1"/>
    <xf numFmtId="3" fontId="26" fillId="5" borderId="13" xfId="81" applyNumberFormat="1" applyFont="1" applyFill="1" applyBorder="1"/>
    <xf numFmtId="3" fontId="26" fillId="5" borderId="14" xfId="81" applyNumberFormat="1" applyFont="1" applyFill="1" applyBorder="1"/>
    <xf numFmtId="3" fontId="27" fillId="2" borderId="26" xfId="81" applyNumberFormat="1" applyFont="1" applyFill="1" applyBorder="1"/>
    <xf numFmtId="3" fontId="27" fillId="2" borderId="19" xfId="81" applyNumberFormat="1" applyFont="1" applyFill="1" applyBorder="1"/>
    <xf numFmtId="3" fontId="27" fillId="4" borderId="26" xfId="81" applyNumberFormat="1" applyFont="1" applyFill="1" applyBorder="1"/>
    <xf numFmtId="3" fontId="27" fillId="4" borderId="19" xfId="81" applyNumberFormat="1" applyFont="1" applyFill="1" applyBorder="1"/>
    <xf numFmtId="171" fontId="27" fillId="3" borderId="26" xfId="81" applyNumberFormat="1" applyFont="1" applyFill="1" applyBorder="1"/>
    <xf numFmtId="171" fontId="27" fillId="3" borderId="19" xfId="81" applyNumberFormat="1" applyFont="1" applyFill="1" applyBorder="1"/>
    <xf numFmtId="0" fontId="30" fillId="2" borderId="24" xfId="81" applyFont="1" applyFill="1" applyBorder="1" applyAlignment="1">
      <alignment horizontal="center"/>
    </xf>
    <xf numFmtId="0" fontId="31" fillId="0" borderId="35" xfId="0" applyFont="1" applyFill="1" applyBorder="1" applyAlignment="1"/>
    <xf numFmtId="0" fontId="39" fillId="0" borderId="0" xfId="0" applyFont="1" applyFill="1" applyBorder="1" applyAlignment="1"/>
    <xf numFmtId="3" fontId="32" fillId="0" borderId="7" xfId="0" applyNumberFormat="1" applyFont="1" applyFill="1" applyBorder="1" applyAlignment="1">
      <alignment horizontal="right" vertical="top"/>
    </xf>
    <xf numFmtId="3" fontId="32" fillId="0" borderId="5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2" fillId="0" borderId="11" xfId="0" applyNumberFormat="1" applyFont="1" applyFill="1" applyBorder="1" applyAlignment="1">
      <alignment horizontal="right" vertical="top"/>
    </xf>
    <xf numFmtId="3" fontId="32" fillId="0" borderId="9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2" fillId="0" borderId="31" xfId="0" applyNumberFormat="1" applyFont="1" applyFill="1" applyBorder="1" applyAlignment="1">
      <alignment horizontal="right" vertical="top"/>
    </xf>
    <xf numFmtId="3" fontId="32" fillId="0" borderId="22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0" fontId="28" fillId="0" borderId="0" xfId="49" applyFont="1" applyFill="1"/>
    <xf numFmtId="0" fontId="31" fillId="0" borderId="29" xfId="0" applyFont="1" applyFill="1" applyBorder="1" applyAlignment="1"/>
    <xf numFmtId="0" fontId="31" fillId="0" borderId="30" xfId="0" applyFont="1" applyFill="1" applyBorder="1" applyAlignment="1"/>
    <xf numFmtId="0" fontId="31" fillId="0" borderId="47" xfId="0" applyFont="1" applyFill="1" applyBorder="1" applyAlignment="1"/>
    <xf numFmtId="0" fontId="31" fillId="0" borderId="24" xfId="0" applyFont="1" applyBorder="1" applyAlignment="1"/>
    <xf numFmtId="0" fontId="31" fillId="5" borderId="6" xfId="0" applyFont="1" applyFill="1" applyBorder="1"/>
    <xf numFmtId="0" fontId="31" fillId="5" borderId="10" xfId="0" applyFont="1" applyFill="1" applyBorder="1"/>
    <xf numFmtId="0" fontId="31" fillId="5" borderId="35" xfId="0" applyFont="1" applyFill="1" applyBorder="1"/>
    <xf numFmtId="0" fontId="31" fillId="5" borderId="41" xfId="0" applyFont="1" applyFill="1" applyBorder="1"/>
    <xf numFmtId="9" fontId="33" fillId="0" borderId="6" xfId="0" applyNumberFormat="1" applyFont="1" applyFill="1" applyBorder="1" applyAlignment="1">
      <alignment horizontal="right" vertical="top"/>
    </xf>
    <xf numFmtId="9" fontId="33" fillId="0" borderId="10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3" fillId="0" borderId="21" xfId="0" applyNumberFormat="1" applyFont="1" applyFill="1" applyBorder="1" applyAlignment="1">
      <alignment horizontal="right" vertical="top"/>
    </xf>
    <xf numFmtId="3" fontId="30" fillId="0" borderId="28" xfId="53" applyNumberFormat="1" applyFont="1" applyFill="1" applyBorder="1"/>
    <xf numFmtId="3" fontId="30" fillId="0" borderId="24" xfId="53" applyNumberFormat="1" applyFont="1" applyFill="1" applyBorder="1"/>
    <xf numFmtId="0" fontId="30" fillId="2" borderId="37" xfId="74" applyFont="1" applyFill="1" applyBorder="1" applyAlignment="1">
      <alignment horizontal="center"/>
    </xf>
    <xf numFmtId="0" fontId="26" fillId="5" borderId="35" xfId="81" applyFont="1" applyFill="1" applyBorder="1"/>
    <xf numFmtId="0" fontId="30" fillId="2" borderId="22" xfId="81" applyFont="1" applyFill="1" applyBorder="1" applyAlignment="1">
      <alignment horizontal="center"/>
    </xf>
    <xf numFmtId="0" fontId="30" fillId="2" borderId="21" xfId="81" applyFont="1" applyFill="1" applyBorder="1" applyAlignment="1">
      <alignment horizontal="center"/>
    </xf>
    <xf numFmtId="0" fontId="31" fillId="0" borderId="0" xfId="0" applyFont="1" applyFill="1" applyBorder="1" applyAlignment="1"/>
    <xf numFmtId="0" fontId="43" fillId="2" borderId="16" xfId="1" applyFont="1" applyFill="1" applyBorder="1"/>
    <xf numFmtId="0" fontId="44" fillId="0" borderId="0" xfId="0" applyFont="1" applyFill="1"/>
    <xf numFmtId="0" fontId="45" fillId="0" borderId="0" xfId="0" applyFont="1" applyFill="1"/>
    <xf numFmtId="0" fontId="45" fillId="0" borderId="0" xfId="0" applyFont="1" applyFill="1" applyBorder="1"/>
    <xf numFmtId="3" fontId="31" fillId="0" borderId="28" xfId="0" applyNumberFormat="1" applyFont="1" applyFill="1" applyBorder="1"/>
    <xf numFmtId="3" fontId="31" fillId="0" borderId="23" xfId="0" applyNumberFormat="1" applyFont="1" applyFill="1" applyBorder="1"/>
    <xf numFmtId="3" fontId="31" fillId="0" borderId="8" xfId="0" applyNumberFormat="1" applyFont="1" applyFill="1" applyBorder="1"/>
    <xf numFmtId="3" fontId="31" fillId="0" borderId="9" xfId="0" applyNumberFormat="1" applyFont="1" applyFill="1" applyBorder="1"/>
    <xf numFmtId="3" fontId="31" fillId="0" borderId="12" xfId="0" applyNumberFormat="1" applyFont="1" applyFill="1" applyBorder="1"/>
    <xf numFmtId="3" fontId="31" fillId="0" borderId="13" xfId="0" applyNumberFormat="1" applyFont="1" applyFill="1" applyBorder="1"/>
    <xf numFmtId="9" fontId="31" fillId="0" borderId="24" xfId="0" applyNumberFormat="1" applyFont="1" applyFill="1" applyBorder="1"/>
    <xf numFmtId="9" fontId="31" fillId="0" borderId="10" xfId="0" applyNumberFormat="1" applyFont="1" applyFill="1" applyBorder="1"/>
    <xf numFmtId="9" fontId="31" fillId="0" borderId="14" xfId="0" applyNumberFormat="1" applyFont="1" applyFill="1" applyBorder="1"/>
    <xf numFmtId="9" fontId="27" fillId="2" borderId="19" xfId="81" applyNumberFormat="1" applyFont="1" applyFill="1" applyBorder="1"/>
    <xf numFmtId="9" fontId="27" fillId="4" borderId="19" xfId="81" applyNumberFormat="1" applyFont="1" applyFill="1" applyBorder="1"/>
    <xf numFmtId="9" fontId="27" fillId="3" borderId="19" xfId="81" applyNumberFormat="1" applyFont="1" applyFill="1" applyBorder="1"/>
    <xf numFmtId="0" fontId="30" fillId="2" borderId="20" xfId="81" applyFont="1" applyFill="1" applyBorder="1" applyAlignment="1">
      <alignment horizontal="center"/>
    </xf>
    <xf numFmtId="49" fontId="36" fillId="2" borderId="9" xfId="0" applyNumberFormat="1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41" xfId="0" applyFont="1" applyFill="1" applyBorder="1" applyAlignment="1"/>
    <xf numFmtId="0" fontId="31" fillId="0" borderId="0" xfId="0" applyFont="1" applyFill="1" applyAlignment="1"/>
    <xf numFmtId="0" fontId="43" fillId="4" borderId="32" xfId="1" applyFont="1" applyFill="1" applyBorder="1"/>
    <xf numFmtId="0" fontId="43" fillId="4" borderId="16" xfId="1" applyFont="1" applyFill="1" applyBorder="1"/>
    <xf numFmtId="0" fontId="43" fillId="3" borderId="17" xfId="1" applyFont="1" applyFill="1" applyBorder="1"/>
    <xf numFmtId="0" fontId="46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31" fillId="2" borderId="28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164" fontId="30" fillId="2" borderId="23" xfId="53" applyNumberFormat="1" applyFont="1" applyFill="1" applyBorder="1" applyAlignment="1">
      <alignment horizontal="right"/>
    </xf>
    <xf numFmtId="0" fontId="43" fillId="3" borderId="8" xfId="1" applyFont="1" applyFill="1" applyBorder="1"/>
    <xf numFmtId="0" fontId="43" fillId="3" borderId="4" xfId="1" applyFont="1" applyFill="1" applyBorder="1"/>
    <xf numFmtId="0" fontId="43" fillId="6" borderId="4" xfId="1" applyFont="1" applyFill="1" applyBorder="1"/>
    <xf numFmtId="0" fontId="43" fillId="2" borderId="4" xfId="1" applyFont="1" applyFill="1" applyBorder="1"/>
    <xf numFmtId="0" fontId="31" fillId="0" borderId="0" xfId="0" applyFont="1"/>
    <xf numFmtId="0" fontId="31" fillId="0" borderId="0" xfId="0" applyFont="1" applyBorder="1" applyAlignment="1"/>
    <xf numFmtId="3" fontId="31" fillId="0" borderId="0" xfId="0" applyNumberFormat="1" applyFont="1"/>
    <xf numFmtId="9" fontId="31" fillId="0" borderId="0" xfId="0" applyNumberFormat="1" applyFont="1"/>
    <xf numFmtId="0" fontId="31" fillId="0" borderId="0" xfId="0" applyFont="1" applyBorder="1"/>
    <xf numFmtId="3" fontId="38" fillId="2" borderId="42" xfId="0" applyNumberFormat="1" applyFont="1" applyFill="1" applyBorder="1"/>
    <xf numFmtId="3" fontId="38" fillId="2" borderId="43" xfId="0" applyNumberFormat="1" applyFont="1" applyFill="1" applyBorder="1"/>
    <xf numFmtId="9" fontId="38" fillId="2" borderId="46" xfId="0" applyNumberFormat="1" applyFont="1" applyFill="1" applyBorder="1"/>
    <xf numFmtId="0" fontId="47" fillId="2" borderId="17" xfId="1" applyFont="1" applyFill="1" applyBorder="1" applyAlignment="1"/>
    <xf numFmtId="0" fontId="31" fillId="2" borderId="27" xfId="0" applyFont="1" applyFill="1" applyBorder="1" applyAlignment="1"/>
    <xf numFmtId="3" fontId="31" fillId="2" borderId="26" xfId="0" applyNumberFormat="1" applyFont="1" applyFill="1" applyBorder="1" applyAlignment="1"/>
    <xf numFmtId="9" fontId="31" fillId="2" borderId="19" xfId="0" applyNumberFormat="1" applyFont="1" applyFill="1" applyBorder="1" applyAlignment="1"/>
    <xf numFmtId="0" fontId="38" fillId="2" borderId="44" xfId="0" applyFont="1" applyFill="1" applyBorder="1" applyAlignment="1"/>
    <xf numFmtId="0" fontId="31" fillId="0" borderId="7" xfId="0" applyFont="1" applyBorder="1" applyAlignment="1"/>
    <xf numFmtId="3" fontId="31" fillId="0" borderId="5" xfId="0" applyNumberFormat="1" applyFont="1" applyBorder="1" applyAlignment="1"/>
    <xf numFmtId="9" fontId="31" fillId="0" borderId="10" xfId="0" applyNumberFormat="1" applyFont="1" applyBorder="1" applyAlignment="1"/>
    <xf numFmtId="0" fontId="28" fillId="2" borderId="33" xfId="1" applyFont="1" applyFill="1" applyBorder="1" applyAlignment="1">
      <alignment horizontal="left" indent="2"/>
    </xf>
    <xf numFmtId="0" fontId="31" fillId="0" borderId="11" xfId="0" applyFont="1" applyBorder="1" applyAlignment="1"/>
    <xf numFmtId="3" fontId="31" fillId="0" borderId="9" xfId="0" applyNumberFormat="1" applyFont="1" applyBorder="1" applyAlignment="1"/>
    <xf numFmtId="0" fontId="31" fillId="2" borderId="33" xfId="0" applyFont="1" applyFill="1" applyBorder="1" applyAlignment="1">
      <alignment horizontal="left" indent="2"/>
    </xf>
    <xf numFmtId="0" fontId="30" fillId="2" borderId="33" xfId="1" applyFont="1" applyFill="1" applyBorder="1" applyAlignment="1"/>
    <xf numFmtId="0" fontId="43" fillId="2" borderId="33" xfId="1" applyFont="1" applyFill="1" applyBorder="1" applyAlignment="1">
      <alignment horizontal="left" indent="2"/>
    </xf>
    <xf numFmtId="0" fontId="47" fillId="2" borderId="33" xfId="1" applyFont="1" applyFill="1" applyBorder="1" applyAlignment="1"/>
    <xf numFmtId="0" fontId="31" fillId="0" borderId="31" xfId="0" applyFont="1" applyBorder="1" applyAlignment="1"/>
    <xf numFmtId="3" fontId="31" fillId="0" borderId="22" xfId="0" applyNumberFormat="1" applyFont="1" applyBorder="1" applyAlignment="1"/>
    <xf numFmtId="9" fontId="31" fillId="0" borderId="21" xfId="0" applyNumberFormat="1" applyFont="1" applyBorder="1" applyAlignment="1"/>
    <xf numFmtId="0" fontId="38" fillId="0" borderId="35" xfId="0" applyFont="1" applyFill="1" applyBorder="1" applyAlignment="1">
      <alignment horizontal="left" indent="2"/>
    </xf>
    <xf numFmtId="0" fontId="31" fillId="0" borderId="35" xfId="0" applyFont="1" applyBorder="1" applyAlignment="1"/>
    <xf numFmtId="3" fontId="31" fillId="0" borderId="35" xfId="0" applyNumberFormat="1" applyFont="1" applyBorder="1" applyAlignment="1"/>
    <xf numFmtId="9" fontId="31" fillId="0" borderId="35" xfId="0" applyNumberFormat="1" applyFont="1" applyBorder="1" applyAlignment="1"/>
    <xf numFmtId="0" fontId="47" fillId="4" borderId="17" xfId="1" applyFont="1" applyFill="1" applyBorder="1" applyAlignment="1">
      <alignment horizontal="left"/>
    </xf>
    <xf numFmtId="0" fontId="31" fillId="4" borderId="27" xfId="0" applyFont="1" applyFill="1" applyBorder="1" applyAlignment="1"/>
    <xf numFmtId="3" fontId="31" fillId="4" borderId="26" xfId="0" applyNumberFormat="1" applyFont="1" applyFill="1" applyBorder="1" applyAlignment="1"/>
    <xf numFmtId="9" fontId="31" fillId="4" borderId="19" xfId="0" applyNumberFormat="1" applyFont="1" applyFill="1" applyBorder="1" applyAlignment="1"/>
    <xf numFmtId="0" fontId="47" fillId="4" borderId="44" xfId="1" applyFont="1" applyFill="1" applyBorder="1" applyAlignment="1">
      <alignment horizontal="left"/>
    </xf>
    <xf numFmtId="0" fontId="47" fillId="4" borderId="33" xfId="1" applyFont="1" applyFill="1" applyBorder="1" applyAlignment="1">
      <alignment horizontal="left"/>
    </xf>
    <xf numFmtId="0" fontId="31" fillId="4" borderId="34" xfId="0" applyFont="1" applyFill="1" applyBorder="1" applyAlignment="1">
      <alignment horizontal="left" indent="2"/>
    </xf>
    <xf numFmtId="0" fontId="38" fillId="0" borderId="0" xfId="0" applyFont="1" applyFill="1" applyBorder="1" applyAlignment="1"/>
    <xf numFmtId="0" fontId="31" fillId="0" borderId="0" xfId="0" applyFont="1" applyAlignment="1"/>
    <xf numFmtId="3" fontId="31" fillId="0" borderId="0" xfId="0" applyNumberFormat="1" applyFont="1" applyAlignment="1"/>
    <xf numFmtId="9" fontId="31" fillId="0" borderId="41" xfId="0" applyNumberFormat="1" applyFont="1" applyBorder="1" applyAlignment="1"/>
    <xf numFmtId="0" fontId="38" fillId="3" borderId="17" xfId="0" applyFont="1" applyFill="1" applyBorder="1" applyAlignment="1"/>
    <xf numFmtId="0" fontId="31" fillId="3" borderId="27" xfId="0" applyFont="1" applyFill="1" applyBorder="1" applyAlignment="1"/>
    <xf numFmtId="3" fontId="31" fillId="3" borderId="26" xfId="0" applyNumberFormat="1" applyFont="1" applyFill="1" applyBorder="1" applyAlignment="1"/>
    <xf numFmtId="9" fontId="31" fillId="3" borderId="19" xfId="0" applyNumberFormat="1" applyFont="1" applyFill="1" applyBorder="1" applyAlignment="1"/>
    <xf numFmtId="0" fontId="7" fillId="0" borderId="0" xfId="81" applyFont="1" applyFill="1"/>
    <xf numFmtId="0" fontId="48" fillId="0" borderId="35" xfId="81" applyFont="1" applyFill="1" applyBorder="1" applyAlignment="1"/>
    <xf numFmtId="0" fontId="6" fillId="0" borderId="0" xfId="78" applyFont="1" applyFill="1" applyBorder="1" applyAlignment="1"/>
    <xf numFmtId="3" fontId="31" fillId="0" borderId="0" xfId="0" applyNumberFormat="1" applyFont="1" applyFill="1"/>
    <xf numFmtId="0" fontId="31" fillId="0" borderId="0" xfId="0" applyFont="1" applyFill="1" applyAlignment="1">
      <alignment horizontal="left"/>
    </xf>
    <xf numFmtId="164" fontId="31" fillId="0" borderId="0" xfId="0" applyNumberFormat="1" applyFont="1" applyFill="1"/>
    <xf numFmtId="9" fontId="31" fillId="0" borderId="0" xfId="0" applyNumberFormat="1" applyFont="1" applyFill="1"/>
    <xf numFmtId="164" fontId="26" fillId="0" borderId="0" xfId="78" applyNumberFormat="1" applyFont="1" applyFill="1" applyBorder="1" applyAlignment="1"/>
    <xf numFmtId="3" fontId="26" fillId="0" borderId="0" xfId="78" applyNumberFormat="1" applyFont="1" applyFill="1" applyBorder="1" applyAlignment="1"/>
    <xf numFmtId="164" fontId="31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0" xfId="0" applyNumberFormat="1" applyFont="1" applyFill="1" applyBorder="1"/>
    <xf numFmtId="3" fontId="50" fillId="8" borderId="51" xfId="0" applyNumberFormat="1" applyFont="1" applyFill="1" applyBorder="1"/>
    <xf numFmtId="3" fontId="50" fillId="8" borderId="50" xfId="0" applyNumberFormat="1" applyFont="1" applyFill="1" applyBorder="1"/>
    <xf numFmtId="0" fontId="51" fillId="0" borderId="0" xfId="1" applyFont="1" applyFill="1"/>
    <xf numFmtId="3" fontId="49" fillId="0" borderId="0" xfId="26" applyNumberFormat="1" applyFont="1" applyFill="1" applyBorder="1" applyAlignment="1"/>
    <xf numFmtId="0" fontId="38" fillId="2" borderId="55" xfId="0" applyFont="1" applyFill="1" applyBorder="1" applyAlignment="1">
      <alignment horizontal="center" vertical="center"/>
    </xf>
    <xf numFmtId="0" fontId="38" fillId="2" borderId="56" xfId="0" applyFont="1" applyFill="1" applyBorder="1" applyAlignment="1">
      <alignment horizontal="center" vertical="center"/>
    </xf>
    <xf numFmtId="0" fontId="52" fillId="2" borderId="58" xfId="0" applyFont="1" applyFill="1" applyBorder="1" applyAlignment="1">
      <alignment horizontal="center" vertical="center" wrapText="1"/>
    </xf>
    <xf numFmtId="0" fontId="52" fillId="2" borderId="59" xfId="0" applyFont="1" applyFill="1" applyBorder="1" applyAlignment="1">
      <alignment horizontal="center" vertical="center" wrapText="1"/>
    </xf>
    <xf numFmtId="0" fontId="38" fillId="2" borderId="60" xfId="0" applyFont="1" applyFill="1" applyBorder="1" applyAlignment="1"/>
    <xf numFmtId="0" fontId="38" fillId="2" borderId="62" xfId="0" applyFont="1" applyFill="1" applyBorder="1" applyAlignment="1">
      <alignment horizontal="left" indent="1"/>
    </xf>
    <xf numFmtId="0" fontId="38" fillId="2" borderId="68" xfId="0" applyFont="1" applyFill="1" applyBorder="1" applyAlignment="1">
      <alignment horizontal="left" indent="1"/>
    </xf>
    <xf numFmtId="0" fontId="38" fillId="4" borderId="60" xfId="0" applyFont="1" applyFill="1" applyBorder="1" applyAlignment="1"/>
    <xf numFmtId="0" fontId="38" fillId="4" borderId="62" xfId="0" applyFont="1" applyFill="1" applyBorder="1" applyAlignment="1">
      <alignment horizontal="left" indent="1"/>
    </xf>
    <xf numFmtId="0" fontId="38" fillId="4" borderId="73" xfId="0" applyFont="1" applyFill="1" applyBorder="1" applyAlignment="1">
      <alignment horizontal="left" indent="1"/>
    </xf>
    <xf numFmtId="0" fontId="31" fillId="2" borderId="62" xfId="0" quotePrefix="1" applyFont="1" applyFill="1" applyBorder="1" applyAlignment="1">
      <alignment horizontal="left" indent="2"/>
    </xf>
    <xf numFmtId="0" fontId="31" fillId="2" borderId="68" xfId="0" quotePrefix="1" applyFont="1" applyFill="1" applyBorder="1" applyAlignment="1">
      <alignment horizontal="left" indent="2"/>
    </xf>
    <xf numFmtId="0" fontId="38" fillId="2" borderId="60" xfId="0" applyFont="1" applyFill="1" applyBorder="1" applyAlignment="1">
      <alignment horizontal="left" indent="1"/>
    </xf>
    <xf numFmtId="0" fontId="38" fillId="2" borderId="73" xfId="0" applyFont="1" applyFill="1" applyBorder="1" applyAlignment="1">
      <alignment horizontal="left" indent="1"/>
    </xf>
    <xf numFmtId="0" fontId="38" fillId="4" borderId="68" xfId="0" applyFont="1" applyFill="1" applyBorder="1" applyAlignment="1">
      <alignment horizontal="left" indent="1"/>
    </xf>
    <xf numFmtId="0" fontId="31" fillId="0" borderId="78" xfId="0" applyFont="1" applyBorder="1"/>
    <xf numFmtId="3" fontId="31" fillId="0" borderId="78" xfId="0" applyNumberFormat="1" applyFont="1" applyBorder="1"/>
    <xf numFmtId="0" fontId="38" fillId="4" borderId="52" xfId="0" applyFont="1" applyFill="1" applyBorder="1" applyAlignment="1">
      <alignment horizontal="center" vertical="center"/>
    </xf>
    <xf numFmtId="0" fontId="38" fillId="4" borderId="47" xfId="0" applyFont="1" applyFill="1" applyBorder="1" applyAlignment="1">
      <alignment horizontal="center" vertical="center"/>
    </xf>
    <xf numFmtId="0" fontId="0" fillId="0" borderId="0" xfId="0" applyNumberFormat="1"/>
    <xf numFmtId="3" fontId="38" fillId="2" borderId="77" xfId="0" applyNumberFormat="1" applyFont="1" applyFill="1" applyBorder="1" applyAlignment="1">
      <alignment horizontal="center" vertical="center"/>
    </xf>
    <xf numFmtId="3" fontId="52" fillId="2" borderId="75" xfId="0" applyNumberFormat="1" applyFont="1" applyFill="1" applyBorder="1" applyAlignment="1">
      <alignment horizontal="center" vertical="center" wrapText="1"/>
    </xf>
    <xf numFmtId="173" fontId="38" fillId="4" borderId="61" xfId="0" applyNumberFormat="1" applyFont="1" applyFill="1" applyBorder="1" applyAlignment="1"/>
    <xf numFmtId="173" fontId="38" fillId="4" borderId="55" xfId="0" applyNumberFormat="1" applyFont="1" applyFill="1" applyBorder="1" applyAlignment="1"/>
    <xf numFmtId="173" fontId="38" fillId="4" borderId="56" xfId="0" applyNumberFormat="1" applyFont="1" applyFill="1" applyBorder="1" applyAlignment="1"/>
    <xf numFmtId="173" fontId="38" fillId="0" borderId="63" xfId="0" applyNumberFormat="1" applyFont="1" applyBorder="1"/>
    <xf numFmtId="173" fontId="31" fillId="0" borderId="65" xfId="0" applyNumberFormat="1" applyFont="1" applyBorder="1"/>
    <xf numFmtId="173" fontId="31" fillId="0" borderId="66" xfId="0" applyNumberFormat="1" applyFont="1" applyBorder="1"/>
    <xf numFmtId="173" fontId="38" fillId="0" borderId="74" xfId="0" applyNumberFormat="1" applyFont="1" applyBorder="1"/>
    <xf numFmtId="173" fontId="31" fillId="0" borderId="58" xfId="0" applyNumberFormat="1" applyFont="1" applyBorder="1"/>
    <xf numFmtId="173" fontId="31" fillId="0" borderId="59" xfId="0" applyNumberFormat="1" applyFont="1" applyBorder="1"/>
    <xf numFmtId="173" fontId="38" fillId="2" borderId="76" xfId="0" applyNumberFormat="1" applyFont="1" applyFill="1" applyBorder="1" applyAlignment="1"/>
    <xf numFmtId="173" fontId="38" fillId="2" borderId="55" xfId="0" applyNumberFormat="1" applyFont="1" applyFill="1" applyBorder="1" applyAlignment="1"/>
    <xf numFmtId="173" fontId="38" fillId="2" borderId="56" xfId="0" applyNumberFormat="1" applyFont="1" applyFill="1" applyBorder="1" applyAlignment="1"/>
    <xf numFmtId="173" fontId="38" fillId="0" borderId="69" xfId="0" applyNumberFormat="1" applyFont="1" applyBorder="1"/>
    <xf numFmtId="173" fontId="31" fillId="0" borderId="71" xfId="0" applyNumberFormat="1" applyFont="1" applyBorder="1"/>
    <xf numFmtId="173" fontId="31" fillId="0" borderId="72" xfId="0" applyNumberFormat="1" applyFont="1" applyBorder="1"/>
    <xf numFmtId="173" fontId="38" fillId="0" borderId="61" xfId="0" applyNumberFormat="1" applyFont="1" applyBorder="1"/>
    <xf numFmtId="173" fontId="31" fillId="0" borderId="55" xfId="0" applyNumberFormat="1" applyFont="1" applyBorder="1"/>
    <xf numFmtId="173" fontId="31" fillId="0" borderId="56" xfId="0" applyNumberFormat="1" applyFont="1" applyBorder="1"/>
    <xf numFmtId="174" fontId="38" fillId="2" borderId="61" xfId="0" applyNumberFormat="1" applyFont="1" applyFill="1" applyBorder="1" applyAlignment="1"/>
    <xf numFmtId="174" fontId="31" fillId="2" borderId="55" xfId="0" applyNumberFormat="1" applyFont="1" applyFill="1" applyBorder="1" applyAlignment="1"/>
    <xf numFmtId="174" fontId="31" fillId="2" borderId="56" xfId="0" applyNumberFormat="1" applyFont="1" applyFill="1" applyBorder="1" applyAlignment="1"/>
    <xf numFmtId="174" fontId="38" fillId="0" borderId="63" xfId="0" applyNumberFormat="1" applyFont="1" applyBorder="1"/>
    <xf numFmtId="174" fontId="31" fillId="0" borderId="65" xfId="0" applyNumberFormat="1" applyFont="1" applyBorder="1"/>
    <xf numFmtId="174" fontId="31" fillId="0" borderId="66" xfId="0" applyNumberFormat="1" applyFont="1" applyBorder="1"/>
    <xf numFmtId="174" fontId="38" fillId="0" borderId="69" xfId="0" applyNumberFormat="1" applyFont="1" applyBorder="1"/>
    <xf numFmtId="174" fontId="31" fillId="0" borderId="71" xfId="0" applyNumberFormat="1" applyFont="1" applyBorder="1"/>
    <xf numFmtId="174" fontId="31" fillId="0" borderId="72" xfId="0" applyNumberFormat="1" applyFont="1" applyBorder="1"/>
    <xf numFmtId="0" fontId="54" fillId="0" borderId="0" xfId="0" applyFont="1" applyAlignment="1">
      <alignment horizontal="left" vertical="center" indent="1"/>
    </xf>
    <xf numFmtId="0" fontId="54" fillId="0" borderId="0" xfId="0" applyFont="1" applyAlignment="1">
      <alignment vertical="center"/>
    </xf>
    <xf numFmtId="0" fontId="0" fillId="0" borderId="0" xfId="0" applyAlignment="1"/>
    <xf numFmtId="0" fontId="55" fillId="0" borderId="0" xfId="0" applyFont="1"/>
    <xf numFmtId="173" fontId="38" fillId="4" borderId="61" xfId="0" applyNumberFormat="1" applyFont="1" applyFill="1" applyBorder="1" applyAlignment="1">
      <alignment horizontal="center"/>
    </xf>
    <xf numFmtId="175" fontId="38" fillId="0" borderId="69" xfId="0" applyNumberFormat="1" applyFont="1" applyBorder="1"/>
    <xf numFmtId="0" fontId="30" fillId="2" borderId="85" xfId="74" applyFont="1" applyFill="1" applyBorder="1" applyAlignment="1">
      <alignment horizontal="center"/>
    </xf>
    <xf numFmtId="0" fontId="30" fillId="2" borderId="56" xfId="81" applyFont="1" applyFill="1" applyBorder="1" applyAlignment="1">
      <alignment horizontal="center"/>
    </xf>
    <xf numFmtId="0" fontId="30" fillId="2" borderId="57" xfId="81" applyFont="1" applyFill="1" applyBorder="1" applyAlignment="1">
      <alignment horizontal="center"/>
    </xf>
    <xf numFmtId="0" fontId="30" fillId="2" borderId="58" xfId="81" applyFont="1" applyFill="1" applyBorder="1" applyAlignment="1">
      <alignment horizontal="center"/>
    </xf>
    <xf numFmtId="0" fontId="30" fillId="2" borderId="59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8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1" fillId="0" borderId="26" xfId="0" applyNumberFormat="1" applyFont="1" applyFill="1" applyBorder="1"/>
    <xf numFmtId="9" fontId="31" fillId="0" borderId="19" xfId="0" applyNumberFormat="1" applyFont="1" applyFill="1" applyBorder="1"/>
    <xf numFmtId="9" fontId="31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1" fillId="5" borderId="66" xfId="0" applyFont="1" applyFill="1" applyBorder="1"/>
    <xf numFmtId="0" fontId="31" fillId="0" borderId="67" xfId="0" applyFont="1" applyBorder="1" applyAlignment="1"/>
    <xf numFmtId="9" fontId="31" fillId="0" borderId="65" xfId="0" applyNumberFormat="1" applyFont="1" applyBorder="1" applyAlignment="1"/>
    <xf numFmtId="0" fontId="24" fillId="2" borderId="33" xfId="1" applyFill="1" applyBorder="1" applyAlignment="1">
      <alignment horizontal="left" indent="4"/>
    </xf>
    <xf numFmtId="0" fontId="38" fillId="0" borderId="0" xfId="0" applyFont="1" applyFill="1" applyAlignment="1">
      <alignment horizontal="left" indent="1"/>
    </xf>
    <xf numFmtId="9" fontId="38" fillId="0" borderId="63" xfId="0" applyNumberFormat="1" applyFont="1" applyBorder="1"/>
    <xf numFmtId="9" fontId="31" fillId="0" borderId="65" xfId="0" applyNumberFormat="1" applyFont="1" applyBorder="1"/>
    <xf numFmtId="0" fontId="38" fillId="3" borderId="25" xfId="0" applyFont="1" applyFill="1" applyBorder="1" applyAlignment="1"/>
    <xf numFmtId="0" fontId="31" fillId="0" borderId="36" xfId="0" applyFont="1" applyBorder="1" applyAlignment="1"/>
    <xf numFmtId="0" fontId="38" fillId="2" borderId="25" xfId="0" applyFont="1" applyFill="1" applyBorder="1" applyAlignment="1"/>
    <xf numFmtId="0" fontId="38" fillId="4" borderId="25" xfId="0" applyFont="1" applyFill="1" applyBorder="1" applyAlignment="1"/>
    <xf numFmtId="0" fontId="40" fillId="0" borderId="1" xfId="0" applyFont="1" applyFill="1" applyBorder="1" applyAlignment="1"/>
    <xf numFmtId="0" fontId="40" fillId="0" borderId="1" xfId="0" applyFont="1" applyBorder="1" applyAlignment="1"/>
    <xf numFmtId="0" fontId="29" fillId="5" borderId="15" xfId="81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0" fillId="2" borderId="39" xfId="81" applyFont="1" applyFill="1" applyBorder="1" applyAlignment="1">
      <alignment horizontal="center"/>
    </xf>
    <xf numFmtId="0" fontId="30" fillId="2" borderId="40" xfId="81" applyFont="1" applyFill="1" applyBorder="1" applyAlignment="1">
      <alignment horizontal="center"/>
    </xf>
    <xf numFmtId="0" fontId="30" fillId="2" borderId="37" xfId="81" applyFont="1" applyFill="1" applyBorder="1" applyAlignment="1">
      <alignment horizontal="center"/>
    </xf>
    <xf numFmtId="0" fontId="30" fillId="2" borderId="49" xfId="81" applyFont="1" applyFill="1" applyBorder="1" applyAlignment="1">
      <alignment horizontal="center"/>
    </xf>
    <xf numFmtId="0" fontId="30" fillId="2" borderId="38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7" fillId="2" borderId="23" xfId="0" applyFon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0" fillId="2" borderId="85" xfId="81" applyFont="1" applyFill="1" applyBorder="1" applyAlignment="1">
      <alignment horizontal="center"/>
    </xf>
    <xf numFmtId="0" fontId="30" fillId="2" borderId="82" xfId="81" applyFont="1" applyFill="1" applyBorder="1" applyAlignment="1">
      <alignment horizontal="center"/>
    </xf>
    <xf numFmtId="0" fontId="30" fillId="2" borderId="61" xfId="81" applyFont="1" applyFill="1" applyBorder="1" applyAlignment="1">
      <alignment horizontal="center"/>
    </xf>
    <xf numFmtId="0" fontId="30" fillId="2" borderId="84" xfId="81" applyFont="1" applyFill="1" applyBorder="1" applyAlignment="1">
      <alignment horizontal="center"/>
    </xf>
    <xf numFmtId="0" fontId="30" fillId="2" borderId="74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0" fillId="0" borderId="1" xfId="14" applyFont="1" applyFill="1" applyBorder="1" applyAlignment="1"/>
    <xf numFmtId="0" fontId="0" fillId="0" borderId="1" xfId="0" applyBorder="1" applyAlignment="1"/>
    <xf numFmtId="164" fontId="30" fillId="0" borderId="0" xfId="53" applyNumberFormat="1" applyFont="1" applyFill="1" applyBorder="1" applyAlignment="1">
      <alignment horizontal="center"/>
    </xf>
    <xf numFmtId="164" fontId="28" fillId="0" borderId="0" xfId="79" applyNumberFormat="1" applyFont="1" applyFill="1" applyBorder="1" applyAlignment="1">
      <alignment horizontal="center"/>
    </xf>
    <xf numFmtId="164" fontId="30" fillId="2" borderId="23" xfId="53" applyNumberFormat="1" applyFont="1" applyFill="1" applyBorder="1" applyAlignment="1">
      <alignment horizontal="right"/>
    </xf>
    <xf numFmtId="164" fontId="28" fillId="2" borderId="28" xfId="79" applyNumberFormat="1" applyFont="1" applyFill="1" applyBorder="1" applyAlignment="1">
      <alignment horizontal="right"/>
    </xf>
    <xf numFmtId="164" fontId="41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7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6" xfId="80" applyNumberFormat="1" applyFont="1" applyFill="1" applyBorder="1" applyAlignment="1">
      <alignment horizontal="left"/>
    </xf>
    <xf numFmtId="3" fontId="3" fillId="2" borderId="76" xfId="80" applyNumberFormat="1" applyFont="1" applyFill="1" applyBorder="1" applyAlignment="1">
      <alignment horizontal="left"/>
    </xf>
    <xf numFmtId="166" fontId="38" fillId="2" borderId="53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8" fillId="0" borderId="0" xfId="0" applyNumberFormat="1" applyFont="1" applyFill="1" applyBorder="1" applyAlignment="1">
      <alignment horizontal="left"/>
    </xf>
    <xf numFmtId="3" fontId="28" fillId="0" borderId="0" xfId="0" applyNumberFormat="1" applyFont="1" applyFill="1" applyBorder="1" applyAlignment="1">
      <alignment horizontal="left"/>
    </xf>
    <xf numFmtId="3" fontId="28" fillId="0" borderId="0" xfId="0" applyNumberFormat="1" applyFont="1" applyFill="1" applyBorder="1" applyAlignment="1">
      <alignment horizontal="right"/>
    </xf>
    <xf numFmtId="9" fontId="28" fillId="0" borderId="0" xfId="0" applyNumberFormat="1" applyFont="1" applyFill="1" applyBorder="1" applyAlignment="1">
      <alignment horizontal="right"/>
    </xf>
    <xf numFmtId="3" fontId="28" fillId="0" borderId="0" xfId="0" applyNumberFormat="1" applyFont="1" applyFill="1" applyBorder="1"/>
    <xf numFmtId="164" fontId="30" fillId="2" borderId="88" xfId="53" applyNumberFormat="1" applyFont="1" applyFill="1" applyBorder="1" applyAlignment="1">
      <alignment horizontal="left"/>
    </xf>
    <xf numFmtId="164" fontId="30" fillId="2" borderId="89" xfId="53" applyNumberFormat="1" applyFont="1" applyFill="1" applyBorder="1" applyAlignment="1">
      <alignment horizontal="left"/>
    </xf>
    <xf numFmtId="164" fontId="30" fillId="2" borderId="45" xfId="53" applyNumberFormat="1" applyFont="1" applyFill="1" applyBorder="1" applyAlignment="1">
      <alignment horizontal="left"/>
    </xf>
    <xf numFmtId="3" fontId="30" fillId="2" borderId="45" xfId="53" applyNumberFormat="1" applyFont="1" applyFill="1" applyBorder="1" applyAlignment="1">
      <alignment horizontal="left"/>
    </xf>
    <xf numFmtId="3" fontId="30" fillId="2" borderId="48" xfId="53" applyNumberFormat="1" applyFont="1" applyFill="1" applyBorder="1" applyAlignment="1">
      <alignment horizontal="left"/>
    </xf>
    <xf numFmtId="0" fontId="31" fillId="0" borderId="54" xfId="0" applyFont="1" applyFill="1" applyBorder="1"/>
    <xf numFmtId="0" fontId="31" fillId="0" borderId="55" xfId="0" applyFont="1" applyFill="1" applyBorder="1"/>
    <xf numFmtId="164" fontId="31" fillId="0" borderId="55" xfId="0" applyNumberFormat="1" applyFont="1" applyFill="1" applyBorder="1"/>
    <xf numFmtId="164" fontId="31" fillId="0" borderId="55" xfId="0" applyNumberFormat="1" applyFont="1" applyFill="1" applyBorder="1" applyAlignment="1">
      <alignment horizontal="right"/>
    </xf>
    <xf numFmtId="3" fontId="31" fillId="0" borderId="55" xfId="0" applyNumberFormat="1" applyFont="1" applyFill="1" applyBorder="1"/>
    <xf numFmtId="3" fontId="31" fillId="0" borderId="56" xfId="0" applyNumberFormat="1" applyFont="1" applyFill="1" applyBorder="1"/>
    <xf numFmtId="0" fontId="31" fillId="0" borderId="64" xfId="0" applyFont="1" applyFill="1" applyBorder="1"/>
    <xf numFmtId="0" fontId="31" fillId="0" borderId="65" xfId="0" applyFont="1" applyFill="1" applyBorder="1"/>
    <xf numFmtId="164" fontId="31" fillId="0" borderId="65" xfId="0" applyNumberFormat="1" applyFont="1" applyFill="1" applyBorder="1"/>
    <xf numFmtId="164" fontId="31" fillId="0" borderId="65" xfId="0" applyNumberFormat="1" applyFont="1" applyFill="1" applyBorder="1" applyAlignment="1">
      <alignment horizontal="right"/>
    </xf>
    <xf numFmtId="3" fontId="31" fillId="0" borderId="65" xfId="0" applyNumberFormat="1" applyFont="1" applyFill="1" applyBorder="1"/>
    <xf numFmtId="3" fontId="31" fillId="0" borderId="66" xfId="0" applyNumberFormat="1" applyFont="1" applyFill="1" applyBorder="1"/>
    <xf numFmtId="0" fontId="31" fillId="0" borderId="57" xfId="0" applyFont="1" applyFill="1" applyBorder="1"/>
    <xf numFmtId="0" fontId="31" fillId="0" borderId="58" xfId="0" applyFont="1" applyFill="1" applyBorder="1"/>
    <xf numFmtId="164" fontId="31" fillId="0" borderId="58" xfId="0" applyNumberFormat="1" applyFont="1" applyFill="1" applyBorder="1"/>
    <xf numFmtId="164" fontId="31" fillId="0" borderId="58" xfId="0" applyNumberFormat="1" applyFont="1" applyFill="1" applyBorder="1" applyAlignment="1">
      <alignment horizontal="right"/>
    </xf>
    <xf numFmtId="3" fontId="31" fillId="0" borderId="58" xfId="0" applyNumberFormat="1" applyFont="1" applyFill="1" applyBorder="1"/>
    <xf numFmtId="3" fontId="31" fillId="0" borderId="59" xfId="0" applyNumberFormat="1" applyFont="1" applyFill="1" applyBorder="1"/>
    <xf numFmtId="0" fontId="3" fillId="2" borderId="88" xfId="79" applyFont="1" applyFill="1" applyBorder="1" applyAlignment="1">
      <alignment horizontal="left"/>
    </xf>
    <xf numFmtId="3" fontId="3" fillId="2" borderId="71" xfId="80" applyNumberFormat="1" applyFont="1" applyFill="1" applyBorder="1"/>
    <xf numFmtId="3" fontId="3" fillId="2" borderId="72" xfId="80" applyNumberFormat="1" applyFont="1" applyFill="1" applyBorder="1"/>
    <xf numFmtId="9" fontId="3" fillId="2" borderId="70" xfId="80" applyNumberFormat="1" applyFont="1" applyFill="1" applyBorder="1"/>
    <xf numFmtId="9" fontId="3" fillId="2" borderId="71" xfId="80" applyNumberFormat="1" applyFont="1" applyFill="1" applyBorder="1"/>
    <xf numFmtId="9" fontId="3" fillId="2" borderId="72" xfId="80" applyNumberFormat="1" applyFont="1" applyFill="1" applyBorder="1"/>
    <xf numFmtId="9" fontId="31" fillId="0" borderId="55" xfId="0" applyNumberFormat="1" applyFont="1" applyFill="1" applyBorder="1"/>
    <xf numFmtId="9" fontId="31" fillId="0" borderId="56" xfId="0" applyNumberFormat="1" applyFont="1" applyFill="1" applyBorder="1"/>
    <xf numFmtId="9" fontId="31" fillId="0" borderId="65" xfId="0" applyNumberFormat="1" applyFont="1" applyFill="1" applyBorder="1"/>
    <xf numFmtId="9" fontId="31" fillId="0" borderId="66" xfId="0" applyNumberFormat="1" applyFont="1" applyFill="1" applyBorder="1"/>
    <xf numFmtId="9" fontId="31" fillId="0" borderId="58" xfId="0" applyNumberFormat="1" applyFont="1" applyFill="1" applyBorder="1"/>
    <xf numFmtId="9" fontId="31" fillId="0" borderId="59" xfId="0" applyNumberFormat="1" applyFont="1" applyFill="1" applyBorder="1"/>
    <xf numFmtId="0" fontId="38" fillId="0" borderId="85" xfId="0" applyFont="1" applyFill="1" applyBorder="1"/>
    <xf numFmtId="0" fontId="38" fillId="0" borderId="83" xfId="0" applyFont="1" applyFill="1" applyBorder="1" applyAlignment="1">
      <alignment horizontal="left" indent="1"/>
    </xf>
    <xf numFmtId="0" fontId="38" fillId="0" borderId="84" xfId="0" applyFont="1" applyFill="1" applyBorder="1" applyAlignment="1">
      <alignment horizontal="left" indent="1"/>
    </xf>
    <xf numFmtId="9" fontId="31" fillId="0" borderId="77" xfId="0" applyNumberFormat="1" applyFont="1" applyFill="1" applyBorder="1"/>
    <xf numFmtId="9" fontId="31" fillId="0" borderId="67" xfId="0" applyNumberFormat="1" applyFont="1" applyFill="1" applyBorder="1"/>
    <xf numFmtId="9" fontId="31" fillId="0" borderId="75" xfId="0" applyNumberFormat="1" applyFont="1" applyFill="1" applyBorder="1"/>
    <xf numFmtId="3" fontId="31" fillId="0" borderId="54" xfId="0" applyNumberFormat="1" applyFont="1" applyFill="1" applyBorder="1"/>
    <xf numFmtId="3" fontId="31" fillId="0" borderId="64" xfId="0" applyNumberFormat="1" applyFont="1" applyFill="1" applyBorder="1"/>
    <xf numFmtId="3" fontId="31" fillId="0" borderId="57" xfId="0" applyNumberFormat="1" applyFont="1" applyFill="1" applyBorder="1"/>
    <xf numFmtId="9" fontId="31" fillId="0" borderId="81" xfId="0" applyNumberFormat="1" applyFont="1" applyFill="1" applyBorder="1"/>
    <xf numFmtId="9" fontId="31" fillId="0" borderId="79" xfId="0" applyNumberFormat="1" applyFont="1" applyFill="1" applyBorder="1"/>
    <xf numFmtId="9" fontId="31" fillId="0" borderId="80" xfId="0" applyNumberFormat="1" applyFont="1" applyFill="1" applyBorder="1"/>
    <xf numFmtId="0" fontId="31" fillId="0" borderId="18" xfId="0" applyFont="1" applyFill="1" applyBorder="1"/>
    <xf numFmtId="0" fontId="31" fillId="0" borderId="26" xfId="0" applyFont="1" applyFill="1" applyBorder="1"/>
    <xf numFmtId="164" fontId="31" fillId="0" borderId="26" xfId="0" applyNumberFormat="1" applyFont="1" applyFill="1" applyBorder="1"/>
    <xf numFmtId="164" fontId="31" fillId="0" borderId="26" xfId="0" applyNumberFormat="1" applyFont="1" applyFill="1" applyBorder="1" applyAlignment="1">
      <alignment horizontal="right"/>
    </xf>
    <xf numFmtId="3" fontId="31" fillId="0" borderId="26" xfId="0" applyNumberFormat="1" applyFont="1" applyFill="1" applyBorder="1"/>
    <xf numFmtId="3" fontId="31" fillId="0" borderId="19" xfId="0" applyNumberFormat="1" applyFont="1" applyFill="1" applyBorder="1"/>
    <xf numFmtId="0" fontId="0" fillId="0" borderId="90" xfId="0" applyBorder="1" applyAlignment="1">
      <alignment horizontal="center"/>
    </xf>
    <xf numFmtId="0" fontId="0" fillId="0" borderId="91" xfId="0" applyBorder="1" applyAlignment="1">
      <alignment horizontal="center"/>
    </xf>
    <xf numFmtId="173" fontId="38" fillId="4" borderId="91" xfId="0" applyNumberFormat="1" applyFont="1" applyFill="1" applyBorder="1" applyAlignment="1">
      <alignment horizontal="center"/>
    </xf>
    <xf numFmtId="0" fontId="0" fillId="0" borderId="92" xfId="0" applyBorder="1"/>
    <xf numFmtId="0" fontId="0" fillId="0" borderId="93" xfId="0" applyBorder="1" applyAlignment="1">
      <alignment horizontal="right"/>
    </xf>
    <xf numFmtId="0" fontId="0" fillId="0" borderId="94" xfId="0" applyBorder="1" applyAlignment="1">
      <alignment horizontal="right"/>
    </xf>
    <xf numFmtId="173" fontId="31" fillId="0" borderId="94" xfId="0" applyNumberFormat="1" applyFont="1" applyBorder="1" applyAlignment="1">
      <alignment horizontal="right"/>
    </xf>
    <xf numFmtId="0" fontId="0" fillId="0" borderId="93" xfId="0" applyBorder="1" applyAlignment="1">
      <alignment horizontal="right" wrapText="1"/>
    </xf>
    <xf numFmtId="0" fontId="0" fillId="0" borderId="94" xfId="0" applyBorder="1" applyAlignment="1">
      <alignment horizontal="right" wrapText="1"/>
    </xf>
    <xf numFmtId="175" fontId="31" fillId="0" borderId="94" xfId="0" applyNumberFormat="1" applyFont="1" applyBorder="1" applyAlignment="1">
      <alignment horizontal="right"/>
    </xf>
    <xf numFmtId="0" fontId="0" fillId="0" borderId="95" xfId="0" applyBorder="1" applyAlignment="1">
      <alignment horizontal="right"/>
    </xf>
    <xf numFmtId="0" fontId="0" fillId="0" borderId="96" xfId="0" applyBorder="1" applyAlignment="1">
      <alignment horizontal="right"/>
    </xf>
    <xf numFmtId="173" fontId="31" fillId="0" borderId="96" xfId="0" applyNumberFormat="1" applyFont="1" applyBorder="1" applyAlignment="1">
      <alignment horizontal="right"/>
    </xf>
    <xf numFmtId="0" fontId="0" fillId="0" borderId="98" xfId="0" applyBorder="1"/>
    <xf numFmtId="0" fontId="0" fillId="0" borderId="97" xfId="0" applyBorder="1"/>
    <xf numFmtId="173" fontId="38" fillId="4" borderId="60" xfId="0" applyNumberFormat="1" applyFont="1" applyFill="1" applyBorder="1" applyAlignment="1">
      <alignment horizontal="center"/>
    </xf>
    <xf numFmtId="173" fontId="31" fillId="0" borderId="62" xfId="0" applyNumberFormat="1" applyFont="1" applyBorder="1" applyAlignment="1">
      <alignment horizontal="right"/>
    </xf>
    <xf numFmtId="173" fontId="31" fillId="0" borderId="62" xfId="0" applyNumberFormat="1" applyFont="1" applyBorder="1" applyAlignment="1">
      <alignment horizontal="right" wrapText="1"/>
    </xf>
    <xf numFmtId="175" fontId="31" fillId="0" borderId="62" xfId="0" applyNumberFormat="1" applyFont="1" applyBorder="1" applyAlignment="1">
      <alignment horizontal="right"/>
    </xf>
    <xf numFmtId="173" fontId="31" fillId="0" borderId="73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0" bestFit="1" customWidth="1"/>
    <col min="2" max="2" width="102.21875" style="90" bestFit="1" customWidth="1"/>
    <col min="3" max="3" width="16.109375" style="39" hidden="1" customWidth="1"/>
    <col min="4" max="16384" width="8.88671875" style="90"/>
  </cols>
  <sheetData>
    <row r="1" spans="1:3" ht="18.600000000000001" customHeight="1" thickBot="1" x14ac:dyDescent="0.4">
      <c r="A1" s="250" t="s">
        <v>57</v>
      </c>
      <c r="B1" s="250"/>
    </row>
    <row r="2" spans="1:3" ht="14.4" customHeight="1" thickBot="1" x14ac:dyDescent="0.35">
      <c r="A2" s="166" t="s">
        <v>160</v>
      </c>
      <c r="B2" s="38"/>
    </row>
    <row r="3" spans="1:3" ht="14.4" customHeight="1" thickBot="1" x14ac:dyDescent="0.35">
      <c r="A3" s="246" t="s">
        <v>73</v>
      </c>
      <c r="B3" s="247"/>
    </row>
    <row r="4" spans="1:3" ht="14.4" customHeight="1" x14ac:dyDescent="0.3">
      <c r="A4" s="102" t="str">
        <f t="shared" ref="A4:A6" si="0">HYPERLINK("#'"&amp;C4&amp;"'!A1",C4)</f>
        <v>Motivace</v>
      </c>
      <c r="B4" s="56" t="s">
        <v>67</v>
      </c>
      <c r="C4" s="39" t="s">
        <v>68</v>
      </c>
    </row>
    <row r="5" spans="1:3" ht="14.4" customHeight="1" x14ac:dyDescent="0.3">
      <c r="A5" s="103" t="str">
        <f t="shared" si="0"/>
        <v>HI</v>
      </c>
      <c r="B5" s="57" t="s">
        <v>70</v>
      </c>
      <c r="C5" s="39" t="s">
        <v>60</v>
      </c>
    </row>
    <row r="6" spans="1:3" ht="14.4" customHeight="1" thickBot="1" x14ac:dyDescent="0.35">
      <c r="A6" s="104" t="str">
        <f t="shared" si="0"/>
        <v>Man Tab</v>
      </c>
      <c r="B6" s="58" t="s">
        <v>162</v>
      </c>
      <c r="C6" s="39" t="s">
        <v>61</v>
      </c>
    </row>
    <row r="7" spans="1:3" ht="14.4" customHeight="1" thickBot="1" x14ac:dyDescent="0.35">
      <c r="A7" s="59"/>
      <c r="B7" s="59"/>
    </row>
    <row r="8" spans="1:3" ht="14.4" customHeight="1" thickBot="1" x14ac:dyDescent="0.35">
      <c r="A8" s="248" t="s">
        <v>58</v>
      </c>
      <c r="B8" s="247"/>
    </row>
    <row r="9" spans="1:3" ht="14.4" customHeight="1" x14ac:dyDescent="0.3">
      <c r="A9" s="105" t="str">
        <f t="shared" ref="A9" si="1">HYPERLINK("#'"&amp;C9&amp;"'!A1",C9)</f>
        <v>Léky Žádanky</v>
      </c>
      <c r="B9" s="57" t="s">
        <v>71</v>
      </c>
      <c r="C9" s="39" t="s">
        <v>62</v>
      </c>
    </row>
    <row r="10" spans="1:3" ht="14.4" customHeight="1" x14ac:dyDescent="0.3">
      <c r="A10" s="104" t="str">
        <f t="shared" ref="A10:A14" si="2">HYPERLINK("#'"&amp;C10&amp;"'!A1",C10)</f>
        <v>LŽ Detail</v>
      </c>
      <c r="B10" s="58" t="s">
        <v>86</v>
      </c>
      <c r="C10" s="39" t="s">
        <v>63</v>
      </c>
    </row>
    <row r="11" spans="1:3" ht="14.4" customHeight="1" x14ac:dyDescent="0.3">
      <c r="A11" s="104" t="str">
        <f t="shared" si="2"/>
        <v>LŽ Statim</v>
      </c>
      <c r="B11" s="239" t="s">
        <v>128</v>
      </c>
      <c r="C11" s="39" t="s">
        <v>138</v>
      </c>
    </row>
    <row r="12" spans="1:3" ht="14.4" customHeight="1" x14ac:dyDescent="0.3">
      <c r="A12" s="105" t="str">
        <f t="shared" ref="A12" si="3">HYPERLINK("#'"&amp;C12&amp;"'!A1",C12)</f>
        <v>Materiál Žádanky</v>
      </c>
      <c r="B12" s="58" t="s">
        <v>72</v>
      </c>
      <c r="C12" s="39" t="s">
        <v>64</v>
      </c>
    </row>
    <row r="13" spans="1:3" ht="14.4" customHeight="1" x14ac:dyDescent="0.3">
      <c r="A13" s="104" t="str">
        <f t="shared" si="2"/>
        <v>MŽ Detail</v>
      </c>
      <c r="B13" s="58" t="s">
        <v>213</v>
      </c>
      <c r="C13" s="39" t="s">
        <v>65</v>
      </c>
    </row>
    <row r="14" spans="1:3" ht="14.4" customHeight="1" thickBot="1" x14ac:dyDescent="0.35">
      <c r="A14" s="105" t="str">
        <f t="shared" si="2"/>
        <v>Osobní náklady</v>
      </c>
      <c r="B14" s="58" t="s">
        <v>55</v>
      </c>
      <c r="C14" s="39" t="s">
        <v>66</v>
      </c>
    </row>
    <row r="15" spans="1:3" ht="14.4" customHeight="1" thickBot="1" x14ac:dyDescent="0.35">
      <c r="A15" s="60"/>
      <c r="B15" s="60"/>
    </row>
    <row r="16" spans="1:3" ht="14.4" customHeight="1" thickBot="1" x14ac:dyDescent="0.35">
      <c r="A16" s="249" t="s">
        <v>59</v>
      </c>
      <c r="B16" s="247"/>
    </row>
  </sheetData>
  <mergeCells count="4">
    <mergeCell ref="A3:B3"/>
    <mergeCell ref="A8:B8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06" bestFit="1" customWidth="1"/>
    <col min="2" max="2" width="11.6640625" style="106" hidden="1" customWidth="1"/>
    <col min="3" max="4" width="11" style="108" customWidth="1"/>
    <col min="5" max="5" width="11" style="109" customWidth="1"/>
    <col min="6" max="16384" width="8.88671875" style="106"/>
  </cols>
  <sheetData>
    <row r="1" spans="1:5" ht="18.600000000000001" thickBot="1" x14ac:dyDescent="0.4">
      <c r="A1" s="250" t="s">
        <v>67</v>
      </c>
      <c r="B1" s="250"/>
      <c r="C1" s="251"/>
      <c r="D1" s="251"/>
      <c r="E1" s="251"/>
    </row>
    <row r="2" spans="1:5" ht="14.4" customHeight="1" thickBot="1" x14ac:dyDescent="0.35">
      <c r="A2" s="166" t="s">
        <v>160</v>
      </c>
      <c r="B2" s="107"/>
    </row>
    <row r="3" spans="1:5" ht="14.4" customHeight="1" thickBot="1" x14ac:dyDescent="0.35">
      <c r="A3" s="110"/>
      <c r="C3" s="111" t="s">
        <v>56</v>
      </c>
      <c r="D3" s="112" t="s">
        <v>49</v>
      </c>
      <c r="E3" s="113" t="s">
        <v>51</v>
      </c>
    </row>
    <row r="4" spans="1:5" ht="14.4" customHeight="1" thickBot="1" x14ac:dyDescent="0.35">
      <c r="A4" s="114" t="str">
        <f>HYPERLINK("#HI!A1","NÁKLADY CELKEM (v tisících Kč)")</f>
        <v>NÁKLADY CELKEM (v tisících Kč)</v>
      </c>
      <c r="B4" s="115"/>
      <c r="C4" s="116">
        <f ca="1">IF(ISERROR(VLOOKUP("Náklady celkem",INDIRECT("HI!$A:$G"),6,0)),0,VLOOKUP("Náklady celkem",INDIRECT("HI!$A:$G"),6,0))</f>
        <v>12846.244985996214</v>
      </c>
      <c r="D4" s="116">
        <f ca="1">IF(ISERROR(VLOOKUP("Náklady celkem",INDIRECT("HI!$A:$G"),5,0)),0,VLOOKUP("Náklady celkem",INDIRECT("HI!$A:$G"),5,0))</f>
        <v>13258.46241</v>
      </c>
      <c r="E4" s="117">
        <f ca="1">IF(C4=0,0,D4/C4)</f>
        <v>1.0320885538500275</v>
      </c>
    </row>
    <row r="5" spans="1:5" ht="14.4" customHeight="1" x14ac:dyDescent="0.3">
      <c r="A5" s="118" t="s">
        <v>75</v>
      </c>
      <c r="B5" s="119"/>
      <c r="C5" s="120"/>
      <c r="D5" s="120"/>
      <c r="E5" s="121"/>
    </row>
    <row r="6" spans="1:5" ht="14.4" customHeight="1" x14ac:dyDescent="0.3">
      <c r="A6" s="122" t="s">
        <v>80</v>
      </c>
      <c r="B6" s="123"/>
      <c r="C6" s="124"/>
      <c r="D6" s="124"/>
      <c r="E6" s="121"/>
    </row>
    <row r="7" spans="1:5" ht="14.4" customHeight="1" x14ac:dyDescent="0.3">
      <c r="A7" s="2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3" t="s">
        <v>60</v>
      </c>
      <c r="C7" s="124">
        <f>IF(ISERROR(HI!F5),"",HI!F5)</f>
        <v>27.500002482685503</v>
      </c>
      <c r="D7" s="124">
        <f>IF(ISERROR(HI!E5),"",HI!E5)</f>
        <v>33.604860000000002</v>
      </c>
      <c r="E7" s="121">
        <f t="shared" ref="E7:E12" si="0">IF(C7=0,0,D7/C7)</f>
        <v>1.2219947987698629</v>
      </c>
    </row>
    <row r="8" spans="1:5" ht="14.4" customHeight="1" x14ac:dyDescent="0.3">
      <c r="A8" s="242" t="str">
        <f>HYPERLINK("#'LŽ Statim'!A1","Podíl statimových žádanek (max. 30%)")</f>
        <v>Podíl statimových žádanek (max. 30%)</v>
      </c>
      <c r="B8" s="240" t="s">
        <v>138</v>
      </c>
      <c r="C8" s="241">
        <v>0.3</v>
      </c>
      <c r="D8" s="241">
        <f>IF('LŽ Statim'!G3="",0,'LŽ Statim'!G3)</f>
        <v>0</v>
      </c>
      <c r="E8" s="121">
        <f>IF(C8=0,0,D8/C8)</f>
        <v>0</v>
      </c>
    </row>
    <row r="9" spans="1:5" ht="14.4" customHeight="1" x14ac:dyDescent="0.3">
      <c r="A9" s="125" t="s">
        <v>76</v>
      </c>
      <c r="B9" s="123"/>
      <c r="C9" s="124"/>
      <c r="D9" s="124"/>
      <c r="E9" s="121"/>
    </row>
    <row r="10" spans="1:5" ht="14.4" customHeight="1" x14ac:dyDescent="0.3">
      <c r="A10" s="125" t="s">
        <v>77</v>
      </c>
      <c r="B10" s="123"/>
      <c r="C10" s="124"/>
      <c r="D10" s="124"/>
      <c r="E10" s="121"/>
    </row>
    <row r="11" spans="1:5" ht="14.4" customHeight="1" x14ac:dyDescent="0.3">
      <c r="A11" s="126" t="s">
        <v>81</v>
      </c>
      <c r="B11" s="123"/>
      <c r="C11" s="120"/>
      <c r="D11" s="120"/>
      <c r="E11" s="121"/>
    </row>
    <row r="12" spans="1:5" ht="14.4" customHeight="1" x14ac:dyDescent="0.3">
      <c r="A12" s="12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23" t="s">
        <v>60</v>
      </c>
      <c r="C12" s="124">
        <f>IF(ISERROR(HI!F6),"",HI!F6)</f>
        <v>10.4999995696565</v>
      </c>
      <c r="D12" s="124">
        <f>IF(ISERROR(HI!E6),"",HI!E6)</f>
        <v>5.5380000000000003</v>
      </c>
      <c r="E12" s="121">
        <f t="shared" si="0"/>
        <v>0.52742859304528256</v>
      </c>
    </row>
    <row r="13" spans="1:5" ht="14.4" customHeight="1" thickBot="1" x14ac:dyDescent="0.35">
      <c r="A13" s="128" t="str">
        <f>HYPERLINK("#HI!A1","Osobní náklady")</f>
        <v>Osobní náklady</v>
      </c>
      <c r="B13" s="123"/>
      <c r="C13" s="120">
        <f ca="1">IF(ISERROR(VLOOKUP("Osobní náklady (Kč) *",INDIRECT("HI!$A:$G"),6,0)),0,VLOOKUP("Osobní náklady (Kč) *",INDIRECT("HI!$A:$G"),6,0))</f>
        <v>6110.5005516528536</v>
      </c>
      <c r="D13" s="120">
        <f ca="1">IF(ISERROR(VLOOKUP("Osobní náklady (Kč) *",INDIRECT("HI!$A:$G"),5,0)),0,VLOOKUP("Osobní náklady (Kč) *",INDIRECT("HI!$A:$G"),5,0))</f>
        <v>6000.5648700000011</v>
      </c>
      <c r="E13" s="121">
        <f ca="1">IF(C13=0,0,D13/C13)</f>
        <v>0.98200872731725464</v>
      </c>
    </row>
    <row r="14" spans="1:5" ht="14.4" customHeight="1" thickBot="1" x14ac:dyDescent="0.35">
      <c r="A14" s="132"/>
      <c r="B14" s="133"/>
      <c r="C14" s="134"/>
      <c r="D14" s="134"/>
      <c r="E14" s="135"/>
    </row>
    <row r="15" spans="1:5" ht="14.4" customHeight="1" thickBot="1" x14ac:dyDescent="0.35">
      <c r="A15" s="136" t="str">
        <f>HYPERLINK("#HI!A1","VÝNOSY CELKEM (v tisících)")</f>
        <v>VÝNOSY CELKEM (v tisících)</v>
      </c>
      <c r="B15" s="137"/>
      <c r="C15" s="138">
        <f ca="1">IF(ISERROR(VLOOKUP("Výnosy celkem",INDIRECT("HI!$A:$G"),6,0)),0,VLOOKUP("Výnosy celkem",INDIRECT("HI!$A:$G"),6,0))</f>
        <v>0</v>
      </c>
      <c r="D15" s="138">
        <f ca="1">IF(ISERROR(VLOOKUP("Výnosy celkem",INDIRECT("HI!$A:$G"),5,0)),0,VLOOKUP("Výnosy celkem",INDIRECT("HI!$A:$G"),5,0))</f>
        <v>0</v>
      </c>
      <c r="E15" s="139">
        <f t="shared" ref="E15:E16" ca="1" si="1">IF(C15=0,0,D15/C15)</f>
        <v>0</v>
      </c>
    </row>
    <row r="16" spans="1:5" ht="14.4" customHeight="1" x14ac:dyDescent="0.3">
      <c r="A16" s="140" t="str">
        <f>HYPERLINK("#HI!A1","Ambulance (body za výkony + Kč za ZUM a ZULP)")</f>
        <v>Ambulance (body za výkony + Kč za ZUM a ZULP)</v>
      </c>
      <c r="B16" s="119"/>
      <c r="C16" s="120">
        <f ca="1">IF(ISERROR(VLOOKUP("Ambulance *",INDIRECT("HI!$A:$G"),6,0)),0,VLOOKUP("Ambulance *",INDIRECT("HI!$A:$G"),6,0))</f>
        <v>0</v>
      </c>
      <c r="D16" s="120">
        <f ca="1">IF(ISERROR(VLOOKUP("Ambulance *",INDIRECT("HI!$A:$G"),5,0)),0,VLOOKUP("Ambulance *",INDIRECT("HI!$A:$G"),5,0))</f>
        <v>0</v>
      </c>
      <c r="E16" s="121">
        <f t="shared" ca="1" si="1"/>
        <v>0</v>
      </c>
    </row>
    <row r="17" spans="1:5" ht="14.4" customHeight="1" x14ac:dyDescent="0.3">
      <c r="A17" s="141" t="str">
        <f>HYPERLINK("#HI!A1","Hospitalizace (casemix * 30000)")</f>
        <v>Hospitalizace (casemix * 30000)</v>
      </c>
      <c r="B17" s="123"/>
      <c r="C17" s="120">
        <f ca="1">IF(ISERROR(VLOOKUP("Hospitalizace *",INDIRECT("HI!$A:$G"),6,0)),0,VLOOKUP("Hospitalizace *",INDIRECT("HI!$A:$G"),6,0))</f>
        <v>0</v>
      </c>
      <c r="D17" s="120">
        <f ca="1">IF(ISERROR(VLOOKUP("Hospitalizace *",INDIRECT("HI!$A:$G"),5,0)),0,VLOOKUP("Hospitalizace *",INDIRECT("HI!$A:$G"),5,0))</f>
        <v>0</v>
      </c>
      <c r="E17" s="121">
        <f ca="1">IF(C17=0,0,D17/C17)</f>
        <v>0</v>
      </c>
    </row>
    <row r="18" spans="1:5" ht="14.4" customHeight="1" thickBot="1" x14ac:dyDescent="0.35">
      <c r="A18" s="142" t="s">
        <v>78</v>
      </c>
      <c r="B18" s="129"/>
      <c r="C18" s="130"/>
      <c r="D18" s="130"/>
      <c r="E18" s="131"/>
    </row>
    <row r="19" spans="1:5" ht="14.4" customHeight="1" thickBot="1" x14ac:dyDescent="0.35">
      <c r="A19" s="143"/>
      <c r="B19" s="144"/>
      <c r="C19" s="145"/>
      <c r="D19" s="145"/>
      <c r="E19" s="146"/>
    </row>
    <row r="20" spans="1:5" ht="14.4" customHeight="1" thickBot="1" x14ac:dyDescent="0.35">
      <c r="A20" s="147" t="s">
        <v>79</v>
      </c>
      <c r="B20" s="148"/>
      <c r="C20" s="149"/>
      <c r="D20" s="149"/>
      <c r="E20" s="150"/>
    </row>
  </sheetData>
  <mergeCells count="1">
    <mergeCell ref="A1:E1"/>
  </mergeCells>
  <conditionalFormatting sqref="E5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5" priority="20" operator="lessThan">
      <formula>1</formula>
    </cfRule>
  </conditionalFormatting>
  <conditionalFormatting sqref="E8">
    <cfRule type="cellIs" dxfId="4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0" bestFit="1" customWidth="1"/>
    <col min="2" max="3" width="9.5546875" style="90" customWidth="1"/>
    <col min="4" max="4" width="2.21875" style="90" customWidth="1"/>
    <col min="5" max="8" width="9.5546875" style="90" customWidth="1"/>
    <col min="9" max="16384" width="8.88671875" style="90"/>
  </cols>
  <sheetData>
    <row r="1" spans="1:8" ht="18.600000000000001" customHeight="1" thickBot="1" x14ac:dyDescent="0.4">
      <c r="A1" s="250" t="s">
        <v>70</v>
      </c>
      <c r="B1" s="250"/>
      <c r="C1" s="250"/>
      <c r="D1" s="250"/>
      <c r="E1" s="250"/>
      <c r="F1" s="250"/>
      <c r="G1" s="251"/>
      <c r="H1" s="251"/>
    </row>
    <row r="2" spans="1:8" ht="14.4" customHeight="1" thickBot="1" x14ac:dyDescent="0.35">
      <c r="A2" s="166" t="s">
        <v>160</v>
      </c>
      <c r="B2" s="71"/>
      <c r="C2" s="71"/>
      <c r="D2" s="71"/>
      <c r="E2" s="71"/>
      <c r="F2" s="71"/>
    </row>
    <row r="3" spans="1:8" ht="14.4" customHeight="1" x14ac:dyDescent="0.3">
      <c r="A3" s="252"/>
      <c r="B3" s="67">
        <v>2014</v>
      </c>
      <c r="C3" s="37">
        <v>2015</v>
      </c>
      <c r="D3" s="7"/>
      <c r="E3" s="256">
        <v>2016</v>
      </c>
      <c r="F3" s="257"/>
      <c r="G3" s="257"/>
      <c r="H3" s="258"/>
    </row>
    <row r="4" spans="1:8" ht="14.4" customHeight="1" thickBot="1" x14ac:dyDescent="0.35">
      <c r="A4" s="253"/>
      <c r="B4" s="254" t="s">
        <v>49</v>
      </c>
      <c r="C4" s="255"/>
      <c r="D4" s="7"/>
      <c r="E4" s="88" t="s">
        <v>49</v>
      </c>
      <c r="F4" s="69" t="s">
        <v>50</v>
      </c>
      <c r="G4" s="69" t="s">
        <v>46</v>
      </c>
      <c r="H4" s="70" t="s">
        <v>51</v>
      </c>
    </row>
    <row r="5" spans="1:8" ht="14.4" customHeight="1" x14ac:dyDescent="0.3">
      <c r="A5" s="72" t="str">
        <f>HYPERLINK("#'Léky Žádanky'!A1","Léky (Kč)")</f>
        <v>Léky (Kč)</v>
      </c>
      <c r="B5" s="24">
        <v>21.897100000000002</v>
      </c>
      <c r="C5" s="26">
        <v>22.916219999999999</v>
      </c>
      <c r="D5" s="8"/>
      <c r="E5" s="77">
        <v>33.604860000000002</v>
      </c>
      <c r="F5" s="25">
        <v>27.500002482685503</v>
      </c>
      <c r="G5" s="76">
        <f>E5-F5</f>
        <v>6.1048575173144997</v>
      </c>
      <c r="H5" s="82">
        <f>IF(F5&lt;0.00000001,"",E5/F5)</f>
        <v>1.2219947987698629</v>
      </c>
    </row>
    <row r="6" spans="1:8" ht="14.4" customHeight="1" x14ac:dyDescent="0.3">
      <c r="A6" s="72" t="str">
        <f>HYPERLINK("#'Materiál Žádanky'!A1","Materiál - SZM (Kč)")</f>
        <v>Materiál - SZM (Kč)</v>
      </c>
      <c r="B6" s="10">
        <v>5.2519999999999998</v>
      </c>
      <c r="C6" s="28">
        <v>2.84</v>
      </c>
      <c r="D6" s="8"/>
      <c r="E6" s="78">
        <v>5.5380000000000003</v>
      </c>
      <c r="F6" s="27">
        <v>10.4999995696565</v>
      </c>
      <c r="G6" s="79">
        <f>E6-F6</f>
        <v>-4.9619995696565002</v>
      </c>
      <c r="H6" s="83">
        <f>IF(F6&lt;0.00000001,"",E6/F6)</f>
        <v>0.52742859304528256</v>
      </c>
    </row>
    <row r="7" spans="1:8" ht="14.4" customHeight="1" x14ac:dyDescent="0.3">
      <c r="A7" s="72" t="str">
        <f>HYPERLINK("#'Osobní náklady'!A1","Osobní náklady (Kč) *")</f>
        <v>Osobní náklady (Kč) *</v>
      </c>
      <c r="B7" s="10">
        <v>5308.3960600000037</v>
      </c>
      <c r="C7" s="28">
        <v>5778.7367700000023</v>
      </c>
      <c r="D7" s="8"/>
      <c r="E7" s="78">
        <v>6000.5648700000011</v>
      </c>
      <c r="F7" s="27">
        <v>6110.5005516528536</v>
      </c>
      <c r="G7" s="79">
        <f>E7-F7</f>
        <v>-109.93568165285251</v>
      </c>
      <c r="H7" s="83">
        <f>IF(F7&lt;0.00000001,"",E7/F7)</f>
        <v>0.98200872731725464</v>
      </c>
    </row>
    <row r="8" spans="1:8" ht="14.4" customHeight="1" thickBot="1" x14ac:dyDescent="0.35">
      <c r="A8" s="1" t="s">
        <v>52</v>
      </c>
      <c r="B8" s="11">
        <v>6932.4733500000066</v>
      </c>
      <c r="C8" s="30">
        <v>7040.7883099999981</v>
      </c>
      <c r="D8" s="8"/>
      <c r="E8" s="80">
        <v>7218.7546799999991</v>
      </c>
      <c r="F8" s="29">
        <v>6697.7444322910187</v>
      </c>
      <c r="G8" s="81">
        <f>E8-F8</f>
        <v>521.01024770898039</v>
      </c>
      <c r="H8" s="84">
        <f>IF(F8&lt;0.00000001,"",E8/F8)</f>
        <v>1.0777889113232055</v>
      </c>
    </row>
    <row r="9" spans="1:8" ht="14.4" customHeight="1" thickBot="1" x14ac:dyDescent="0.35">
      <c r="A9" s="2" t="s">
        <v>53</v>
      </c>
      <c r="B9" s="3">
        <v>12268.018510000009</v>
      </c>
      <c r="C9" s="32">
        <v>12845.281300000001</v>
      </c>
      <c r="D9" s="8"/>
      <c r="E9" s="3">
        <v>13258.46241</v>
      </c>
      <c r="F9" s="31">
        <v>12846.244985996214</v>
      </c>
      <c r="G9" s="31">
        <f>E9-F9</f>
        <v>412.21742400378571</v>
      </c>
      <c r="H9" s="85">
        <f>IF(F9&lt;0.00000001,"",E9/F9)</f>
        <v>1.0320885538500275</v>
      </c>
    </row>
    <row r="10" spans="1:8" ht="14.4" customHeight="1" thickBot="1" x14ac:dyDescent="0.35">
      <c r="A10" s="12"/>
      <c r="B10" s="12"/>
      <c r="C10" s="68"/>
      <c r="D10" s="8"/>
      <c r="E10" s="12"/>
      <c r="F10" s="13"/>
    </row>
    <row r="11" spans="1:8" ht="14.4" customHeight="1" x14ac:dyDescent="0.3">
      <c r="A11" s="93" t="str">
        <f>HYPERLINK("#'ZV Vykáz.-A'!A1","Ambulance *")</f>
        <v>Ambulance *</v>
      </c>
      <c r="B11" s="9">
        <f>IF(ISERROR(VLOOKUP("Celkem:",#REF!,2,0)),0,VLOOKUP("Celkem:",#REF!,2,0)/1000)</f>
        <v>0</v>
      </c>
      <c r="C11" s="26">
        <f>IF(ISERROR(VLOOKUP("Celkem:",#REF!,4,0)),0,VLOOKUP("Celkem:",#REF!,4,0)/1000)</f>
        <v>0</v>
      </c>
      <c r="D11" s="8"/>
      <c r="E11" s="77">
        <f>IF(ISERROR(VLOOKUP("Celkem:",#REF!,6,0)),0,VLOOKUP("Celkem:",#REF!,6,0)/1000)</f>
        <v>0</v>
      </c>
      <c r="F11" s="25">
        <f>B11</f>
        <v>0</v>
      </c>
      <c r="G11" s="76">
        <f>E11-F11</f>
        <v>0</v>
      </c>
      <c r="H11" s="82" t="str">
        <f>IF(F11&lt;0.00000001,"",E11/F11)</f>
        <v/>
      </c>
    </row>
    <row r="12" spans="1:8" ht="14.4" customHeight="1" thickBot="1" x14ac:dyDescent="0.35">
      <c r="A12" s="94" t="str">
        <f>HYPERLINK("#CaseMix!A1","Hospitalizace *")</f>
        <v>Hospitalizace *</v>
      </c>
      <c r="B12" s="11">
        <f>IF(ISERROR(VLOOKUP("Celkem",#REF!,2,0)),0,VLOOKUP("Celkem",#REF!,2,0)*30)</f>
        <v>0</v>
      </c>
      <c r="C12" s="30">
        <f>IF(ISERROR(VLOOKUP("Celkem",#REF!,3,0)),0,VLOOKUP("Celkem",#REF!,3,0)*30)</f>
        <v>0</v>
      </c>
      <c r="D12" s="8"/>
      <c r="E12" s="80">
        <f>IF(ISERROR(VLOOKUP("Celkem",#REF!,4,0)),0,VLOOKUP("Celkem",#REF!,4,0)*30)</f>
        <v>0</v>
      </c>
      <c r="F12" s="29">
        <f>B12</f>
        <v>0</v>
      </c>
      <c r="G12" s="81">
        <f>E12-F12</f>
        <v>0</v>
      </c>
      <c r="H12" s="84" t="str">
        <f>IF(F12&lt;0.00000001,"",E12/F12)</f>
        <v/>
      </c>
    </row>
    <row r="13" spans="1:8" ht="14.4" customHeight="1" thickBot="1" x14ac:dyDescent="0.35">
      <c r="A13" s="4" t="s">
        <v>54</v>
      </c>
      <c r="B13" s="5">
        <f>SUM(B11:B12)</f>
        <v>0</v>
      </c>
      <c r="C13" s="34">
        <f>SUM(C11:C12)</f>
        <v>0</v>
      </c>
      <c r="D13" s="8"/>
      <c r="E13" s="5">
        <f>SUM(E11:E12)</f>
        <v>0</v>
      </c>
      <c r="F13" s="33">
        <f>SUM(F11:F12)</f>
        <v>0</v>
      </c>
      <c r="G13" s="33">
        <f>E13-F13</f>
        <v>0</v>
      </c>
      <c r="H13" s="86" t="str">
        <f>IF(F13&lt;0.00000001,"",E13/F13)</f>
        <v/>
      </c>
    </row>
    <row r="14" spans="1:8" ht="14.4" customHeight="1" thickBot="1" x14ac:dyDescent="0.35">
      <c r="A14" s="12"/>
      <c r="B14" s="12"/>
      <c r="C14" s="68"/>
      <c r="D14" s="8"/>
      <c r="E14" s="12"/>
      <c r="F14" s="13"/>
    </row>
    <row r="15" spans="1:8" ht="14.4" customHeight="1" thickBot="1" x14ac:dyDescent="0.35">
      <c r="A15" s="95" t="str">
        <f>HYPERLINK("#'HI Graf'!A1","Hospodářský index (Výnosy / Náklady) *")</f>
        <v>Hospodářský index (Výnosy / Náklady) *</v>
      </c>
      <c r="B15" s="6">
        <f>IF(B9=0,"",B13/B9)</f>
        <v>0</v>
      </c>
      <c r="C15" s="36">
        <f>IF(C9=0,"",C13/C9)</f>
        <v>0</v>
      </c>
      <c r="D15" s="8"/>
      <c r="E15" s="6">
        <f>IF(E9=0,"",E13/E9)</f>
        <v>0</v>
      </c>
      <c r="F15" s="35">
        <f>IF(F9=0,"",F13/F9)</f>
        <v>0</v>
      </c>
      <c r="G15" s="35">
        <f>IF(ISERROR(F15-E15),"",E15-F15)</f>
        <v>0</v>
      </c>
      <c r="H15" s="87" t="str">
        <f>IF(ISERROR(F15-E15),"",IF(F15&lt;0.00000001,"",E15/F15))</f>
        <v/>
      </c>
    </row>
    <row r="17" spans="1:8" ht="14.4" customHeight="1" x14ac:dyDescent="0.3">
      <c r="A17" s="73" t="s">
        <v>83</v>
      </c>
    </row>
    <row r="18" spans="1:8" ht="14.4" customHeight="1" x14ac:dyDescent="0.3">
      <c r="A18" s="218" t="s">
        <v>114</v>
      </c>
      <c r="B18" s="219"/>
      <c r="C18" s="219"/>
      <c r="D18" s="219"/>
      <c r="E18" s="219"/>
      <c r="F18" s="219"/>
      <c r="G18" s="219"/>
      <c r="H18" s="219"/>
    </row>
    <row r="19" spans="1:8" x14ac:dyDescent="0.3">
      <c r="A19" s="217" t="s">
        <v>113</v>
      </c>
      <c r="B19" s="219"/>
      <c r="C19" s="219"/>
      <c r="D19" s="219"/>
      <c r="E19" s="219"/>
      <c r="F19" s="219"/>
      <c r="G19" s="219"/>
      <c r="H19" s="219"/>
    </row>
    <row r="20" spans="1:8" ht="14.4" customHeight="1" x14ac:dyDescent="0.3">
      <c r="A20" s="74" t="s">
        <v>139</v>
      </c>
    </row>
    <row r="21" spans="1:8" ht="14.4" customHeight="1" x14ac:dyDescent="0.3">
      <c r="A21" s="74" t="s">
        <v>84</v>
      </c>
    </row>
    <row r="22" spans="1:8" ht="14.4" customHeight="1" x14ac:dyDescent="0.3">
      <c r="A22" s="75" t="s">
        <v>159</v>
      </c>
    </row>
    <row r="23" spans="1:8" ht="14.4" customHeight="1" x14ac:dyDescent="0.3">
      <c r="A23" s="75" t="s">
        <v>85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4" operator="greaterThan">
      <formula>0</formula>
    </cfRule>
  </conditionalFormatting>
  <conditionalFormatting sqref="G11:G13 G15">
    <cfRule type="cellIs" dxfId="41" priority="3" operator="lessThan">
      <formula>0</formula>
    </cfRule>
  </conditionalFormatting>
  <conditionalFormatting sqref="H5:H9">
    <cfRule type="cellIs" dxfId="40" priority="2" operator="greaterThan">
      <formula>1</formula>
    </cfRule>
  </conditionalFormatting>
  <conditionalFormatting sqref="H11:H13 H15">
    <cfRule type="cellIs" dxfId="3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0" bestFit="1" customWidth="1"/>
    <col min="2" max="2" width="12.77734375" style="90" bestFit="1" customWidth="1"/>
    <col min="3" max="3" width="13.6640625" style="90" bestFit="1" customWidth="1"/>
    <col min="4" max="15" width="7.77734375" style="90" bestFit="1" customWidth="1"/>
    <col min="16" max="16" width="8.88671875" style="90" customWidth="1"/>
    <col min="17" max="17" width="6.6640625" style="90" bestFit="1" customWidth="1"/>
    <col min="18" max="16384" width="8.88671875" style="90"/>
  </cols>
  <sheetData>
    <row r="1" spans="1:17" s="151" customFormat="1" ht="18.600000000000001" customHeight="1" thickBot="1" x14ac:dyDescent="0.4">
      <c r="A1" s="259" t="s">
        <v>162</v>
      </c>
      <c r="B1" s="259"/>
      <c r="C1" s="259"/>
      <c r="D1" s="259"/>
      <c r="E1" s="259"/>
      <c r="F1" s="259"/>
      <c r="G1" s="259"/>
      <c r="H1" s="250"/>
      <c r="I1" s="250"/>
      <c r="J1" s="250"/>
      <c r="K1" s="250"/>
      <c r="L1" s="250"/>
      <c r="M1" s="250"/>
      <c r="N1" s="250"/>
      <c r="O1" s="250"/>
      <c r="P1" s="250"/>
      <c r="Q1" s="250"/>
    </row>
    <row r="2" spans="1:17" s="151" customFormat="1" ht="14.4" customHeight="1" thickBot="1" x14ac:dyDescent="0.3">
      <c r="A2" s="166" t="s">
        <v>160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</row>
    <row r="3" spans="1:17" ht="14.4" customHeight="1" x14ac:dyDescent="0.3">
      <c r="A3" s="53"/>
      <c r="B3" s="260" t="s">
        <v>13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98"/>
      <c r="Q3" s="100"/>
    </row>
    <row r="4" spans="1:17" ht="14.4" customHeight="1" x14ac:dyDescent="0.3">
      <c r="A4" s="54"/>
      <c r="B4" s="20">
        <v>2016</v>
      </c>
      <c r="C4" s="99" t="s">
        <v>14</v>
      </c>
      <c r="D4" s="89" t="s">
        <v>146</v>
      </c>
      <c r="E4" s="89" t="s">
        <v>147</v>
      </c>
      <c r="F4" s="89" t="s">
        <v>148</v>
      </c>
      <c r="G4" s="89" t="s">
        <v>149</v>
      </c>
      <c r="H4" s="89" t="s">
        <v>150</v>
      </c>
      <c r="I4" s="89" t="s">
        <v>151</v>
      </c>
      <c r="J4" s="89" t="s">
        <v>152</v>
      </c>
      <c r="K4" s="89" t="s">
        <v>153</v>
      </c>
      <c r="L4" s="89" t="s">
        <v>154</v>
      </c>
      <c r="M4" s="89" t="s">
        <v>155</v>
      </c>
      <c r="N4" s="89" t="s">
        <v>156</v>
      </c>
      <c r="O4" s="89" t="s">
        <v>157</v>
      </c>
      <c r="P4" s="262" t="s">
        <v>2</v>
      </c>
      <c r="Q4" s="263"/>
    </row>
    <row r="5" spans="1:17" ht="14.4" customHeight="1" thickBot="1" x14ac:dyDescent="0.35">
      <c r="A5" s="55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0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2">
        <v>0</v>
      </c>
      <c r="Q6" s="61" t="s">
        <v>161</v>
      </c>
    </row>
    <row r="7" spans="1:17" ht="14.4" customHeight="1" x14ac:dyDescent="0.3">
      <c r="A7" s="15" t="s">
        <v>19</v>
      </c>
      <c r="B7" s="43">
        <v>55.000015161061</v>
      </c>
      <c r="C7" s="44">
        <v>4.5833345967549999</v>
      </c>
      <c r="D7" s="44">
        <v>5.7298099999999996</v>
      </c>
      <c r="E7" s="44">
        <v>2.6545700000000001</v>
      </c>
      <c r="F7" s="44">
        <v>6.1855700000000002</v>
      </c>
      <c r="G7" s="44">
        <v>6.3331099999999996</v>
      </c>
      <c r="H7" s="44">
        <v>6.1721899999999996</v>
      </c>
      <c r="I7" s="44">
        <v>6.5296099999999999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5">
        <v>33.604860000000002</v>
      </c>
      <c r="Q7" s="62">
        <v>1.2219945722409999</v>
      </c>
    </row>
    <row r="8" spans="1:17" ht="14.4" customHeight="1" x14ac:dyDescent="0.3">
      <c r="A8" s="15" t="s">
        <v>20</v>
      </c>
      <c r="B8" s="43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5">
        <v>0</v>
      </c>
      <c r="Q8" s="62" t="s">
        <v>161</v>
      </c>
    </row>
    <row r="9" spans="1:17" ht="14.4" customHeight="1" x14ac:dyDescent="0.3">
      <c r="A9" s="15" t="s">
        <v>21</v>
      </c>
      <c r="B9" s="43">
        <v>21.000003032212</v>
      </c>
      <c r="C9" s="44">
        <v>1.7500002526839999</v>
      </c>
      <c r="D9" s="44">
        <v>0</v>
      </c>
      <c r="E9" s="44">
        <v>1.704</v>
      </c>
      <c r="F9" s="44">
        <v>0.99399999999999999</v>
      </c>
      <c r="G9" s="44">
        <v>1.42</v>
      </c>
      <c r="H9" s="44">
        <v>1.42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5">
        <v>5.5380000000000003</v>
      </c>
      <c r="Q9" s="62">
        <v>0.52742849527199998</v>
      </c>
    </row>
    <row r="10" spans="1:17" ht="14.4" customHeight="1" x14ac:dyDescent="0.3">
      <c r="A10" s="15" t="s">
        <v>22</v>
      </c>
      <c r="B10" s="43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5">
        <v>0</v>
      </c>
      <c r="Q10" s="62" t="s">
        <v>161</v>
      </c>
    </row>
    <row r="11" spans="1:17" ht="14.4" customHeight="1" x14ac:dyDescent="0.3">
      <c r="A11" s="15" t="s">
        <v>23</v>
      </c>
      <c r="B11" s="43">
        <v>2692.1095652992199</v>
      </c>
      <c r="C11" s="44">
        <v>224.342463774935</v>
      </c>
      <c r="D11" s="44">
        <v>114.3432</v>
      </c>
      <c r="E11" s="44">
        <v>179.86623</v>
      </c>
      <c r="F11" s="44">
        <v>165.18136999999999</v>
      </c>
      <c r="G11" s="44">
        <v>164.61393000000001</v>
      </c>
      <c r="H11" s="44">
        <v>190.3484</v>
      </c>
      <c r="I11" s="44">
        <v>319.78127999999998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5">
        <v>1134.1344099999999</v>
      </c>
      <c r="Q11" s="62">
        <v>0.84256185158100005</v>
      </c>
    </row>
    <row r="12" spans="1:17" ht="14.4" customHeight="1" x14ac:dyDescent="0.3">
      <c r="A12" s="15" t="s">
        <v>24</v>
      </c>
      <c r="B12" s="43">
        <v>9.3898273971480002</v>
      </c>
      <c r="C12" s="44">
        <v>0.78248561642900005</v>
      </c>
      <c r="D12" s="44">
        <v>2.9905499999999998</v>
      </c>
      <c r="E12" s="44">
        <v>0</v>
      </c>
      <c r="F12" s="44">
        <v>0.158</v>
      </c>
      <c r="G12" s="44">
        <v>0.1452</v>
      </c>
      <c r="H12" s="44">
        <v>0</v>
      </c>
      <c r="I12" s="44">
        <v>18.3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5">
        <v>21.59375</v>
      </c>
      <c r="Q12" s="62">
        <v>4.5993923182350001</v>
      </c>
    </row>
    <row r="13" spans="1:17" ht="14.4" customHeight="1" x14ac:dyDescent="0.3">
      <c r="A13" s="15" t="s">
        <v>25</v>
      </c>
      <c r="B13" s="43">
        <v>127.067176474764</v>
      </c>
      <c r="C13" s="44">
        <v>10.588931372896999</v>
      </c>
      <c r="D13" s="44">
        <v>6.9668299999999999</v>
      </c>
      <c r="E13" s="44">
        <v>9.5062800000000003</v>
      </c>
      <c r="F13" s="44">
        <v>16.748419999999999</v>
      </c>
      <c r="G13" s="44">
        <v>12.50751</v>
      </c>
      <c r="H13" s="44">
        <v>12.251849999999999</v>
      </c>
      <c r="I13" s="44">
        <v>8.6835400000000007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5">
        <v>66.664429999999996</v>
      </c>
      <c r="Q13" s="62">
        <v>1.0492785288769999</v>
      </c>
    </row>
    <row r="14" spans="1:17" ht="14.4" customHeight="1" x14ac:dyDescent="0.3">
      <c r="A14" s="15" t="s">
        <v>26</v>
      </c>
      <c r="B14" s="43">
        <v>6056.8332576522698</v>
      </c>
      <c r="C14" s="44">
        <v>504.73610480435599</v>
      </c>
      <c r="D14" s="44">
        <v>890.34699999999998</v>
      </c>
      <c r="E14" s="44">
        <v>662.66099999999994</v>
      </c>
      <c r="F14" s="44">
        <v>713.05799999999999</v>
      </c>
      <c r="G14" s="44">
        <v>524.89200000000005</v>
      </c>
      <c r="H14" s="44">
        <v>377.887</v>
      </c>
      <c r="I14" s="44">
        <v>309.07600000000002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5">
        <v>3477.9209999999998</v>
      </c>
      <c r="Q14" s="62">
        <v>1.148428841294</v>
      </c>
    </row>
    <row r="15" spans="1:17" ht="14.4" customHeight="1" x14ac:dyDescent="0.3">
      <c r="A15" s="15" t="s">
        <v>27</v>
      </c>
      <c r="B15" s="43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5">
        <v>0</v>
      </c>
      <c r="Q15" s="62" t="s">
        <v>161</v>
      </c>
    </row>
    <row r="16" spans="1:17" ht="14.4" customHeight="1" x14ac:dyDescent="0.3">
      <c r="A16" s="15" t="s">
        <v>28</v>
      </c>
      <c r="B16" s="43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5">
        <v>0</v>
      </c>
      <c r="Q16" s="62" t="s">
        <v>161</v>
      </c>
    </row>
    <row r="17" spans="1:17" ht="14.4" customHeight="1" x14ac:dyDescent="0.3">
      <c r="A17" s="15" t="s">
        <v>29</v>
      </c>
      <c r="B17" s="43">
        <v>443.544848867989</v>
      </c>
      <c r="C17" s="44">
        <v>36.962070738999003</v>
      </c>
      <c r="D17" s="44">
        <v>6.6936</v>
      </c>
      <c r="E17" s="44">
        <v>16.386800000000001</v>
      </c>
      <c r="F17" s="44">
        <v>51.737450000000003</v>
      </c>
      <c r="G17" s="44">
        <v>58.666040000000002</v>
      </c>
      <c r="H17" s="44">
        <v>54.402630000000002</v>
      </c>
      <c r="I17" s="44">
        <v>43.629519999999999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5">
        <v>231.51604</v>
      </c>
      <c r="Q17" s="62">
        <v>1.0439351988450001</v>
      </c>
    </row>
    <row r="18" spans="1:17" ht="14.4" customHeight="1" x14ac:dyDescent="0.3">
      <c r="A18" s="15" t="s">
        <v>30</v>
      </c>
      <c r="B18" s="43">
        <v>0</v>
      </c>
      <c r="C18" s="44">
        <v>0</v>
      </c>
      <c r="D18" s="44">
        <v>0.97399999999999998</v>
      </c>
      <c r="E18" s="44">
        <v>0</v>
      </c>
      <c r="F18" s="44">
        <v>0</v>
      </c>
      <c r="G18" s="44">
        <v>0</v>
      </c>
      <c r="H18" s="44">
        <v>0.17499999999999999</v>
      </c>
      <c r="I18" s="44">
        <v>2.4020000000000001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5">
        <v>3.5510000000000002</v>
      </c>
      <c r="Q18" s="62" t="s">
        <v>161</v>
      </c>
    </row>
    <row r="19" spans="1:17" ht="14.4" customHeight="1" x14ac:dyDescent="0.3">
      <c r="A19" s="15" t="s">
        <v>31</v>
      </c>
      <c r="B19" s="43">
        <v>1480.2418777765299</v>
      </c>
      <c r="C19" s="44">
        <v>123.353489814711</v>
      </c>
      <c r="D19" s="44">
        <v>39.927669999999999</v>
      </c>
      <c r="E19" s="44">
        <v>104.45747</v>
      </c>
      <c r="F19" s="44">
        <v>132.59844000000001</v>
      </c>
      <c r="G19" s="44">
        <v>94.213700000000003</v>
      </c>
      <c r="H19" s="44">
        <v>119.94531000000001</v>
      </c>
      <c r="I19" s="44">
        <v>478.93646000000001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5">
        <v>970.07905000000005</v>
      </c>
      <c r="Q19" s="62">
        <v>1.3107034256550001</v>
      </c>
    </row>
    <row r="20" spans="1:17" ht="14.4" customHeight="1" x14ac:dyDescent="0.3">
      <c r="A20" s="15" t="s">
        <v>32</v>
      </c>
      <c r="B20" s="43">
        <v>12221.0033687881</v>
      </c>
      <c r="C20" s="44">
        <v>1018.41694739901</v>
      </c>
      <c r="D20" s="44">
        <v>991.28733999999997</v>
      </c>
      <c r="E20" s="44">
        <v>972.35649000000001</v>
      </c>
      <c r="F20" s="44">
        <v>983.52422999999999</v>
      </c>
      <c r="G20" s="44">
        <v>994.71626000000003</v>
      </c>
      <c r="H20" s="44">
        <v>1044.1115299999999</v>
      </c>
      <c r="I20" s="44">
        <v>1014.56902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5">
        <v>6000.5648700000002</v>
      </c>
      <c r="Q20" s="62">
        <v>0.98200854527600001</v>
      </c>
    </row>
    <row r="21" spans="1:17" ht="14.4" customHeight="1" x14ac:dyDescent="0.3">
      <c r="A21" s="16" t="s">
        <v>33</v>
      </c>
      <c r="B21" s="43">
        <v>2564.00639624735</v>
      </c>
      <c r="C21" s="44">
        <v>213.66719968727901</v>
      </c>
      <c r="D21" s="44">
        <v>225.76400000000001</v>
      </c>
      <c r="E21" s="44">
        <v>225.76300000000001</v>
      </c>
      <c r="F21" s="44">
        <v>211.209</v>
      </c>
      <c r="G21" s="44">
        <v>211.209</v>
      </c>
      <c r="H21" s="44">
        <v>211.208</v>
      </c>
      <c r="I21" s="44">
        <v>211.20699999999999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5">
        <v>1296.3599999999999</v>
      </c>
      <c r="Q21" s="62">
        <v>1.011198725476</v>
      </c>
    </row>
    <row r="22" spans="1:17" ht="14.4" customHeight="1" x14ac:dyDescent="0.3">
      <c r="A22" s="15" t="s">
        <v>34</v>
      </c>
      <c r="B22" s="43">
        <v>22.300887563918</v>
      </c>
      <c r="C22" s="44">
        <v>1.8584072969929999</v>
      </c>
      <c r="D22" s="44">
        <v>0</v>
      </c>
      <c r="E22" s="44">
        <v>0</v>
      </c>
      <c r="F22" s="44">
        <v>0</v>
      </c>
      <c r="G22" s="44">
        <v>0</v>
      </c>
      <c r="H22" s="44">
        <v>7.26</v>
      </c>
      <c r="I22" s="44">
        <v>9.0749999999999993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5">
        <v>16.335000000000001</v>
      </c>
      <c r="Q22" s="62">
        <v>1.4649641143809999</v>
      </c>
    </row>
    <row r="23" spans="1:17" ht="14.4" customHeight="1" x14ac:dyDescent="0.3">
      <c r="A23" s="16" t="s">
        <v>35</v>
      </c>
      <c r="B23" s="43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5">
        <v>0</v>
      </c>
      <c r="Q23" s="62" t="s">
        <v>161</v>
      </c>
    </row>
    <row r="24" spans="1:17" ht="14.4" customHeight="1" x14ac:dyDescent="0.3">
      <c r="A24" s="16" t="s">
        <v>36</v>
      </c>
      <c r="B24" s="43">
        <v>0</v>
      </c>
      <c r="C24" s="44">
        <v>-4.5474735088646402E-13</v>
      </c>
      <c r="D24" s="44">
        <v>0</v>
      </c>
      <c r="E24" s="44">
        <v>0</v>
      </c>
      <c r="F24" s="44">
        <v>-4.5474735088646402E-13</v>
      </c>
      <c r="G24" s="44">
        <v>0</v>
      </c>
      <c r="H24" s="44">
        <v>0</v>
      </c>
      <c r="I24" s="44">
        <v>0.6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5">
        <v>0.599999999999</v>
      </c>
      <c r="Q24" s="62"/>
    </row>
    <row r="25" spans="1:17" ht="14.4" customHeight="1" x14ac:dyDescent="0.3">
      <c r="A25" s="17" t="s">
        <v>37</v>
      </c>
      <c r="B25" s="46">
        <v>25692.4972242605</v>
      </c>
      <c r="C25" s="47">
        <v>2141.04143535504</v>
      </c>
      <c r="D25" s="47">
        <v>2285.0239999999999</v>
      </c>
      <c r="E25" s="47">
        <v>2175.3558400000002</v>
      </c>
      <c r="F25" s="47">
        <v>2281.3944799999999</v>
      </c>
      <c r="G25" s="47">
        <v>2068.71675</v>
      </c>
      <c r="H25" s="47">
        <v>2025.18191</v>
      </c>
      <c r="I25" s="47">
        <v>2422.7894299999998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8">
        <v>13258.46241</v>
      </c>
      <c r="Q25" s="63">
        <v>1.0320882625200001</v>
      </c>
    </row>
    <row r="26" spans="1:17" ht="14.4" customHeight="1" x14ac:dyDescent="0.3">
      <c r="A26" s="15" t="s">
        <v>38</v>
      </c>
      <c r="B26" s="43">
        <v>2203.42902651758</v>
      </c>
      <c r="C26" s="44">
        <v>183.619085543132</v>
      </c>
      <c r="D26" s="44">
        <v>166.33368999999999</v>
      </c>
      <c r="E26" s="44">
        <v>159.08972</v>
      </c>
      <c r="F26" s="44">
        <v>162.19603000000001</v>
      </c>
      <c r="G26" s="44">
        <v>166.41173000000001</v>
      </c>
      <c r="H26" s="44">
        <v>160.82762</v>
      </c>
      <c r="I26" s="44">
        <v>246.08929000000001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5">
        <v>1060.9480799999999</v>
      </c>
      <c r="Q26" s="62">
        <v>0.96299728035800003</v>
      </c>
    </row>
    <row r="27" spans="1:17" ht="14.4" customHeight="1" x14ac:dyDescent="0.3">
      <c r="A27" s="18" t="s">
        <v>39</v>
      </c>
      <c r="B27" s="46">
        <v>27895.926250778099</v>
      </c>
      <c r="C27" s="47">
        <v>2324.66052089818</v>
      </c>
      <c r="D27" s="47">
        <v>2451.3576899999998</v>
      </c>
      <c r="E27" s="47">
        <v>2334.4455600000001</v>
      </c>
      <c r="F27" s="47">
        <v>2443.59051</v>
      </c>
      <c r="G27" s="47">
        <v>2235.1284799999999</v>
      </c>
      <c r="H27" s="47">
        <v>2186.0095299999998</v>
      </c>
      <c r="I27" s="47">
        <v>2668.8787200000002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8">
        <v>14319.41049</v>
      </c>
      <c r="Q27" s="63">
        <v>1.0266309396769999</v>
      </c>
    </row>
    <row r="28" spans="1:17" ht="14.4" customHeight="1" x14ac:dyDescent="0.3">
      <c r="A28" s="16" t="s">
        <v>40</v>
      </c>
      <c r="B28" s="43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5">
        <v>0</v>
      </c>
      <c r="Q28" s="62">
        <v>0</v>
      </c>
    </row>
    <row r="29" spans="1:17" ht="14.4" customHeight="1" x14ac:dyDescent="0.3">
      <c r="A29" s="16" t="s">
        <v>41</v>
      </c>
      <c r="B29" s="43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5">
        <v>0</v>
      </c>
      <c r="Q29" s="62" t="s">
        <v>161</v>
      </c>
    </row>
    <row r="30" spans="1:17" ht="14.4" customHeight="1" x14ac:dyDescent="0.3">
      <c r="A30" s="16" t="s">
        <v>42</v>
      </c>
      <c r="B30" s="43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5">
        <v>0</v>
      </c>
      <c r="Q30" s="62">
        <v>0</v>
      </c>
    </row>
    <row r="31" spans="1:17" ht="14.4" customHeight="1" thickBot="1" x14ac:dyDescent="0.35">
      <c r="A31" s="19" t="s">
        <v>43</v>
      </c>
      <c r="B31" s="49"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1">
        <v>0</v>
      </c>
      <c r="Q31" s="64" t="s">
        <v>161</v>
      </c>
    </row>
    <row r="32" spans="1:17" ht="14.4" customHeight="1" x14ac:dyDescent="0.3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</row>
    <row r="33" spans="1:17" ht="14.4" customHeight="1" x14ac:dyDescent="0.3">
      <c r="A33" s="73" t="s">
        <v>83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17" ht="14.4" customHeight="1" x14ac:dyDescent="0.3">
      <c r="A34" s="96" t="s">
        <v>158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1:17" ht="14.4" customHeight="1" x14ac:dyDescent="0.3">
      <c r="A35" s="97" t="s">
        <v>44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55" customWidth="1"/>
    <col min="2" max="2" width="61.109375" style="155" customWidth="1"/>
    <col min="3" max="3" width="9.5546875" style="90" customWidth="1"/>
    <col min="4" max="4" width="9.5546875" style="156" customWidth="1"/>
    <col min="5" max="5" width="2.21875" style="156" customWidth="1"/>
    <col min="6" max="6" width="9.5546875" style="157" customWidth="1"/>
    <col min="7" max="7" width="9.5546875" style="154" customWidth="1"/>
    <col min="8" max="9" width="9.5546875" style="90" customWidth="1"/>
    <col min="10" max="10" width="0" style="90" hidden="1" customWidth="1"/>
    <col min="11" max="16384" width="8.88671875" style="90"/>
  </cols>
  <sheetData>
    <row r="1" spans="1:10" ht="18.600000000000001" customHeight="1" thickBot="1" x14ac:dyDescent="0.4">
      <c r="A1" s="269" t="s">
        <v>71</v>
      </c>
      <c r="B1" s="270"/>
      <c r="C1" s="270"/>
      <c r="D1" s="270"/>
      <c r="E1" s="270"/>
      <c r="F1" s="270"/>
      <c r="G1" s="251"/>
      <c r="H1" s="271"/>
      <c r="I1" s="271"/>
    </row>
    <row r="2" spans="1:10" ht="14.4" customHeight="1" thickBot="1" x14ac:dyDescent="0.35">
      <c r="A2" s="166" t="s">
        <v>160</v>
      </c>
      <c r="B2" s="153"/>
      <c r="C2" s="153"/>
      <c r="D2" s="153"/>
      <c r="E2" s="153"/>
      <c r="F2" s="153"/>
    </row>
    <row r="3" spans="1:10" ht="14.4" customHeight="1" thickBot="1" x14ac:dyDescent="0.35">
      <c r="A3" s="166"/>
      <c r="B3" s="153"/>
      <c r="C3" s="223">
        <v>2014</v>
      </c>
      <c r="D3" s="224">
        <v>2015</v>
      </c>
      <c r="E3" s="7"/>
      <c r="F3" s="264">
        <v>2016</v>
      </c>
      <c r="G3" s="265"/>
      <c r="H3" s="265"/>
      <c r="I3" s="266"/>
    </row>
    <row r="4" spans="1:10" ht="14.4" customHeight="1" thickBot="1" x14ac:dyDescent="0.35">
      <c r="A4" s="228" t="s">
        <v>0</v>
      </c>
      <c r="B4" s="229" t="s">
        <v>127</v>
      </c>
      <c r="C4" s="267" t="s">
        <v>49</v>
      </c>
      <c r="D4" s="268"/>
      <c r="E4" s="230"/>
      <c r="F4" s="225" t="s">
        <v>49</v>
      </c>
      <c r="G4" s="226" t="s">
        <v>50</v>
      </c>
      <c r="H4" s="226" t="s">
        <v>46</v>
      </c>
      <c r="I4" s="227" t="s">
        <v>51</v>
      </c>
    </row>
    <row r="5" spans="1:10" ht="14.4" customHeight="1" x14ac:dyDescent="0.3">
      <c r="A5" s="287" t="s">
        <v>163</v>
      </c>
      <c r="B5" s="288" t="s">
        <v>164</v>
      </c>
      <c r="C5" s="289" t="s">
        <v>165</v>
      </c>
      <c r="D5" s="289" t="s">
        <v>165</v>
      </c>
      <c r="E5" s="289"/>
      <c r="F5" s="289" t="s">
        <v>165</v>
      </c>
      <c r="G5" s="289" t="s">
        <v>165</v>
      </c>
      <c r="H5" s="289" t="s">
        <v>165</v>
      </c>
      <c r="I5" s="290" t="s">
        <v>165</v>
      </c>
      <c r="J5" s="291" t="s">
        <v>47</v>
      </c>
    </row>
    <row r="6" spans="1:10" ht="14.4" customHeight="1" x14ac:dyDescent="0.3">
      <c r="A6" s="287" t="s">
        <v>163</v>
      </c>
      <c r="B6" s="288" t="s">
        <v>166</v>
      </c>
      <c r="C6" s="289">
        <v>21.897100000000002</v>
      </c>
      <c r="D6" s="289">
        <v>22.916219999999999</v>
      </c>
      <c r="E6" s="289"/>
      <c r="F6" s="289">
        <v>33.604860000000002</v>
      </c>
      <c r="G6" s="289">
        <v>27.500002482685503</v>
      </c>
      <c r="H6" s="289">
        <v>6.1048575173144997</v>
      </c>
      <c r="I6" s="290">
        <v>1.2219947987698629</v>
      </c>
      <c r="J6" s="291" t="s">
        <v>1</v>
      </c>
    </row>
    <row r="7" spans="1:10" ht="14.4" customHeight="1" x14ac:dyDescent="0.3">
      <c r="A7" s="287" t="s">
        <v>163</v>
      </c>
      <c r="B7" s="288" t="s">
        <v>167</v>
      </c>
      <c r="C7" s="289">
        <v>21.897100000000002</v>
      </c>
      <c r="D7" s="289">
        <v>22.916219999999999</v>
      </c>
      <c r="E7" s="289"/>
      <c r="F7" s="289">
        <v>33.604860000000002</v>
      </c>
      <c r="G7" s="289">
        <v>27.500002482685503</v>
      </c>
      <c r="H7" s="289">
        <v>6.1048575173144997</v>
      </c>
      <c r="I7" s="290">
        <v>1.2219947987698629</v>
      </c>
      <c r="J7" s="291" t="s">
        <v>168</v>
      </c>
    </row>
    <row r="9" spans="1:10" ht="14.4" customHeight="1" x14ac:dyDescent="0.3">
      <c r="A9" s="287" t="s">
        <v>163</v>
      </c>
      <c r="B9" s="288" t="s">
        <v>164</v>
      </c>
      <c r="C9" s="289" t="s">
        <v>165</v>
      </c>
      <c r="D9" s="289" t="s">
        <v>165</v>
      </c>
      <c r="E9" s="289"/>
      <c r="F9" s="289" t="s">
        <v>165</v>
      </c>
      <c r="G9" s="289" t="s">
        <v>165</v>
      </c>
      <c r="H9" s="289" t="s">
        <v>165</v>
      </c>
      <c r="I9" s="290" t="s">
        <v>165</v>
      </c>
      <c r="J9" s="291" t="s">
        <v>47</v>
      </c>
    </row>
    <row r="10" spans="1:10" ht="14.4" customHeight="1" x14ac:dyDescent="0.3">
      <c r="A10" s="287" t="s">
        <v>169</v>
      </c>
      <c r="B10" s="288" t="s">
        <v>170</v>
      </c>
      <c r="C10" s="289" t="s">
        <v>165</v>
      </c>
      <c r="D10" s="289" t="s">
        <v>165</v>
      </c>
      <c r="E10" s="289"/>
      <c r="F10" s="289" t="s">
        <v>165</v>
      </c>
      <c r="G10" s="289" t="s">
        <v>165</v>
      </c>
      <c r="H10" s="289" t="s">
        <v>165</v>
      </c>
      <c r="I10" s="290" t="s">
        <v>165</v>
      </c>
      <c r="J10" s="291" t="s">
        <v>0</v>
      </c>
    </row>
    <row r="11" spans="1:10" ht="14.4" customHeight="1" x14ac:dyDescent="0.3">
      <c r="A11" s="287" t="s">
        <v>169</v>
      </c>
      <c r="B11" s="288" t="s">
        <v>166</v>
      </c>
      <c r="C11" s="289">
        <v>21.897100000000002</v>
      </c>
      <c r="D11" s="289">
        <v>22.916219999999999</v>
      </c>
      <c r="E11" s="289"/>
      <c r="F11" s="289">
        <v>27.432670000000002</v>
      </c>
      <c r="G11" s="289">
        <v>23.887553271098501</v>
      </c>
      <c r="H11" s="289">
        <v>3.5451167289015011</v>
      </c>
      <c r="I11" s="290">
        <v>1.1484085326223314</v>
      </c>
      <c r="J11" s="291" t="s">
        <v>1</v>
      </c>
    </row>
    <row r="12" spans="1:10" ht="14.4" customHeight="1" x14ac:dyDescent="0.3">
      <c r="A12" s="287" t="s">
        <v>169</v>
      </c>
      <c r="B12" s="288" t="s">
        <v>171</v>
      </c>
      <c r="C12" s="289">
        <v>21.897100000000002</v>
      </c>
      <c r="D12" s="289">
        <v>22.916219999999999</v>
      </c>
      <c r="E12" s="289"/>
      <c r="F12" s="289">
        <v>27.432670000000002</v>
      </c>
      <c r="G12" s="289">
        <v>23.887553271098501</v>
      </c>
      <c r="H12" s="289">
        <v>3.5451167289015011</v>
      </c>
      <c r="I12" s="290">
        <v>1.1484085326223314</v>
      </c>
      <c r="J12" s="291" t="s">
        <v>172</v>
      </c>
    </row>
    <row r="13" spans="1:10" ht="14.4" customHeight="1" x14ac:dyDescent="0.3">
      <c r="A13" s="287" t="s">
        <v>165</v>
      </c>
      <c r="B13" s="288" t="s">
        <v>165</v>
      </c>
      <c r="C13" s="289" t="s">
        <v>165</v>
      </c>
      <c r="D13" s="289" t="s">
        <v>165</v>
      </c>
      <c r="E13" s="289"/>
      <c r="F13" s="289" t="s">
        <v>165</v>
      </c>
      <c r="G13" s="289" t="s">
        <v>165</v>
      </c>
      <c r="H13" s="289" t="s">
        <v>165</v>
      </c>
      <c r="I13" s="290" t="s">
        <v>165</v>
      </c>
      <c r="J13" s="291" t="s">
        <v>173</v>
      </c>
    </row>
    <row r="14" spans="1:10" ht="14.4" customHeight="1" x14ac:dyDescent="0.3">
      <c r="A14" s="287" t="s">
        <v>174</v>
      </c>
      <c r="B14" s="288" t="s">
        <v>175</v>
      </c>
      <c r="C14" s="289" t="s">
        <v>165</v>
      </c>
      <c r="D14" s="289" t="s">
        <v>165</v>
      </c>
      <c r="E14" s="289"/>
      <c r="F14" s="289" t="s">
        <v>165</v>
      </c>
      <c r="G14" s="289" t="s">
        <v>165</v>
      </c>
      <c r="H14" s="289" t="s">
        <v>165</v>
      </c>
      <c r="I14" s="290" t="s">
        <v>165</v>
      </c>
      <c r="J14" s="291" t="s">
        <v>0</v>
      </c>
    </row>
    <row r="15" spans="1:10" ht="14.4" customHeight="1" x14ac:dyDescent="0.3">
      <c r="A15" s="287" t="s">
        <v>174</v>
      </c>
      <c r="B15" s="288" t="s">
        <v>166</v>
      </c>
      <c r="C15" s="289">
        <v>0</v>
      </c>
      <c r="D15" s="289">
        <v>0</v>
      </c>
      <c r="E15" s="289"/>
      <c r="F15" s="289">
        <v>6.1721899999999996</v>
      </c>
      <c r="G15" s="289">
        <v>3.6124492115870002</v>
      </c>
      <c r="H15" s="289">
        <v>2.5597407884129995</v>
      </c>
      <c r="I15" s="290">
        <v>1.7085887270615685</v>
      </c>
      <c r="J15" s="291" t="s">
        <v>1</v>
      </c>
    </row>
    <row r="16" spans="1:10" ht="14.4" customHeight="1" x14ac:dyDescent="0.3">
      <c r="A16" s="287" t="s">
        <v>174</v>
      </c>
      <c r="B16" s="288" t="s">
        <v>176</v>
      </c>
      <c r="C16" s="289">
        <v>0</v>
      </c>
      <c r="D16" s="289">
        <v>0</v>
      </c>
      <c r="E16" s="289"/>
      <c r="F16" s="289">
        <v>6.1721899999999996</v>
      </c>
      <c r="G16" s="289">
        <v>3.6124492115870002</v>
      </c>
      <c r="H16" s="289">
        <v>2.5597407884129995</v>
      </c>
      <c r="I16" s="290">
        <v>1.7085887270615685</v>
      </c>
      <c r="J16" s="291" t="s">
        <v>172</v>
      </c>
    </row>
    <row r="17" spans="1:10" ht="14.4" customHeight="1" x14ac:dyDescent="0.3">
      <c r="A17" s="287" t="s">
        <v>165</v>
      </c>
      <c r="B17" s="288" t="s">
        <v>165</v>
      </c>
      <c r="C17" s="289" t="s">
        <v>165</v>
      </c>
      <c r="D17" s="289" t="s">
        <v>165</v>
      </c>
      <c r="E17" s="289"/>
      <c r="F17" s="289" t="s">
        <v>165</v>
      </c>
      <c r="G17" s="289" t="s">
        <v>165</v>
      </c>
      <c r="H17" s="289" t="s">
        <v>165</v>
      </c>
      <c r="I17" s="290" t="s">
        <v>165</v>
      </c>
      <c r="J17" s="291" t="s">
        <v>173</v>
      </c>
    </row>
    <row r="18" spans="1:10" ht="14.4" customHeight="1" x14ac:dyDescent="0.3">
      <c r="A18" s="287" t="s">
        <v>163</v>
      </c>
      <c r="B18" s="288" t="s">
        <v>167</v>
      </c>
      <c r="C18" s="289">
        <v>21.897100000000002</v>
      </c>
      <c r="D18" s="289">
        <v>22.916219999999999</v>
      </c>
      <c r="E18" s="289"/>
      <c r="F18" s="289">
        <v>33.604860000000002</v>
      </c>
      <c r="G18" s="289">
        <v>27.500002482685503</v>
      </c>
      <c r="H18" s="289">
        <v>6.1048575173144997</v>
      </c>
      <c r="I18" s="290">
        <v>1.2219947987698629</v>
      </c>
      <c r="J18" s="291" t="s">
        <v>168</v>
      </c>
    </row>
  </sheetData>
  <mergeCells count="3">
    <mergeCell ref="F3:I3"/>
    <mergeCell ref="C4:D4"/>
    <mergeCell ref="A1:I1"/>
  </mergeCells>
  <conditionalFormatting sqref="F8 F19:F65537">
    <cfRule type="cellIs" dxfId="38" priority="18" stopIfTrue="1" operator="greaterThan">
      <formula>1</formula>
    </cfRule>
  </conditionalFormatting>
  <conditionalFormatting sqref="H5:H7">
    <cfRule type="expression" dxfId="37" priority="14">
      <formula>$H5&gt;0</formula>
    </cfRule>
  </conditionalFormatting>
  <conditionalFormatting sqref="I5:I7">
    <cfRule type="expression" dxfId="36" priority="15">
      <formula>$I5&gt;1</formula>
    </cfRule>
  </conditionalFormatting>
  <conditionalFormatting sqref="B5:B7">
    <cfRule type="expression" dxfId="35" priority="11">
      <formula>OR($J5="NS",$J5="SumaNS",$J5="Účet")</formula>
    </cfRule>
  </conditionalFormatting>
  <conditionalFormatting sqref="B5:D7 F5:I7">
    <cfRule type="expression" dxfId="34" priority="17">
      <formula>AND($J5&lt;&gt;"",$J5&lt;&gt;"mezeraKL")</formula>
    </cfRule>
  </conditionalFormatting>
  <conditionalFormatting sqref="B5:D7 F5:I7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2" priority="13">
      <formula>OR($J5="SumaNS",$J5="NS")</formula>
    </cfRule>
  </conditionalFormatting>
  <conditionalFormatting sqref="A5:A7">
    <cfRule type="expression" dxfId="31" priority="9">
      <formula>AND($J5&lt;&gt;"mezeraKL",$J5&lt;&gt;"")</formula>
    </cfRule>
  </conditionalFormatting>
  <conditionalFormatting sqref="A5:A7">
    <cfRule type="expression" dxfId="30" priority="10">
      <formula>AND($J5&lt;&gt;"",$J5&lt;&gt;"mezeraKL")</formula>
    </cfRule>
  </conditionalFormatting>
  <conditionalFormatting sqref="H9:H18">
    <cfRule type="expression" dxfId="29" priority="5">
      <formula>$H9&gt;0</formula>
    </cfRule>
  </conditionalFormatting>
  <conditionalFormatting sqref="A9:A18">
    <cfRule type="expression" dxfId="28" priority="2">
      <formula>AND($J9&lt;&gt;"mezeraKL",$J9&lt;&gt;"")</formula>
    </cfRule>
  </conditionalFormatting>
  <conditionalFormatting sqref="I9:I18">
    <cfRule type="expression" dxfId="27" priority="6">
      <formula>$I9&gt;1</formula>
    </cfRule>
  </conditionalFormatting>
  <conditionalFormatting sqref="B9:B18">
    <cfRule type="expression" dxfId="26" priority="1">
      <formula>OR($J9="NS",$J9="SumaNS",$J9="Účet")</formula>
    </cfRule>
  </conditionalFormatting>
  <conditionalFormatting sqref="A9:D18 F9:I18">
    <cfRule type="expression" dxfId="25" priority="8">
      <formula>AND($J9&lt;&gt;"",$J9&lt;&gt;"mezeraKL")</formula>
    </cfRule>
  </conditionalFormatting>
  <conditionalFormatting sqref="B9:D18 F9:I18">
    <cfRule type="expression" dxfId="24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23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0" hidden="1" customWidth="1" outlineLevel="1"/>
    <col min="2" max="2" width="28.33203125" style="90" hidden="1" customWidth="1" outlineLevel="1"/>
    <col min="3" max="3" width="5.33203125" style="156" bestFit="1" customWidth="1" collapsed="1"/>
    <col min="4" max="4" width="18.77734375" style="160" customWidth="1"/>
    <col min="5" max="5" width="9" style="156" bestFit="1" customWidth="1"/>
    <col min="6" max="6" width="18.77734375" style="160" customWidth="1"/>
    <col min="7" max="7" width="5" style="156" customWidth="1"/>
    <col min="8" max="8" width="12.44140625" style="156" hidden="1" customWidth="1" outlineLevel="1"/>
    <col min="9" max="9" width="8.5546875" style="156" hidden="1" customWidth="1" outlineLevel="1"/>
    <col min="10" max="10" width="25.77734375" style="156" customWidth="1" collapsed="1"/>
    <col min="11" max="11" width="8.77734375" style="156" customWidth="1"/>
    <col min="12" max="13" width="7.77734375" style="154" customWidth="1"/>
    <col min="14" max="14" width="11.109375" style="154" customWidth="1"/>
    <col min="15" max="16384" width="8.88671875" style="90"/>
  </cols>
  <sheetData>
    <row r="1" spans="1:14" ht="18.600000000000001" customHeight="1" thickBot="1" x14ac:dyDescent="0.4">
      <c r="A1" s="276" t="s">
        <v>86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ht="14.4" customHeight="1" thickBot="1" x14ac:dyDescent="0.35">
      <c r="A2" s="166" t="s">
        <v>160</v>
      </c>
      <c r="B2" s="52"/>
      <c r="C2" s="158"/>
      <c r="D2" s="158"/>
      <c r="E2" s="158"/>
      <c r="F2" s="158"/>
      <c r="G2" s="158"/>
      <c r="H2" s="158"/>
      <c r="I2" s="158"/>
      <c r="J2" s="158"/>
      <c r="K2" s="158"/>
      <c r="L2" s="159"/>
      <c r="M2" s="159"/>
      <c r="N2" s="159"/>
    </row>
    <row r="3" spans="1:14" ht="14.4" customHeight="1" thickBot="1" x14ac:dyDescent="0.35">
      <c r="A3" s="52"/>
      <c r="B3" s="52"/>
      <c r="C3" s="272"/>
      <c r="D3" s="273"/>
      <c r="E3" s="273"/>
      <c r="F3" s="273"/>
      <c r="G3" s="273"/>
      <c r="H3" s="273"/>
      <c r="I3" s="273"/>
      <c r="J3" s="274" t="s">
        <v>69</v>
      </c>
      <c r="K3" s="275"/>
      <c r="L3" s="65">
        <f>IF(M3&lt;&gt;0,N3/M3,0)</f>
        <v>142.00557154968996</v>
      </c>
      <c r="M3" s="65">
        <f>SUBTOTAL(9,M5:M1048576)</f>
        <v>274</v>
      </c>
      <c r="N3" s="66">
        <f>SUBTOTAL(9,N5:N1048576)</f>
        <v>38909.52660461505</v>
      </c>
    </row>
    <row r="4" spans="1:14" s="155" customFormat="1" ht="14.4" customHeight="1" thickBot="1" x14ac:dyDescent="0.35">
      <c r="A4" s="292" t="s">
        <v>3</v>
      </c>
      <c r="B4" s="293" t="s">
        <v>4</v>
      </c>
      <c r="C4" s="293" t="s">
        <v>0</v>
      </c>
      <c r="D4" s="293" t="s">
        <v>5</v>
      </c>
      <c r="E4" s="293" t="s">
        <v>6</v>
      </c>
      <c r="F4" s="293" t="s">
        <v>1</v>
      </c>
      <c r="G4" s="293" t="s">
        <v>7</v>
      </c>
      <c r="H4" s="293" t="s">
        <v>8</v>
      </c>
      <c r="I4" s="293" t="s">
        <v>9</v>
      </c>
      <c r="J4" s="294" t="s">
        <v>10</v>
      </c>
      <c r="K4" s="294" t="s">
        <v>11</v>
      </c>
      <c r="L4" s="295" t="s">
        <v>74</v>
      </c>
      <c r="M4" s="295" t="s">
        <v>12</v>
      </c>
      <c r="N4" s="296" t="s">
        <v>82</v>
      </c>
    </row>
    <row r="5" spans="1:14" ht="14.4" customHeight="1" x14ac:dyDescent="0.3">
      <c r="A5" s="297" t="s">
        <v>163</v>
      </c>
      <c r="B5" s="298" t="s">
        <v>164</v>
      </c>
      <c r="C5" s="299" t="s">
        <v>169</v>
      </c>
      <c r="D5" s="300" t="s">
        <v>199</v>
      </c>
      <c r="E5" s="299" t="s">
        <v>177</v>
      </c>
      <c r="F5" s="300" t="s">
        <v>201</v>
      </c>
      <c r="G5" s="299" t="s">
        <v>178</v>
      </c>
      <c r="H5" s="299" t="s">
        <v>179</v>
      </c>
      <c r="I5" s="299" t="s">
        <v>180</v>
      </c>
      <c r="J5" s="299" t="s">
        <v>181</v>
      </c>
      <c r="K5" s="299"/>
      <c r="L5" s="301">
        <v>96.577770297029716</v>
      </c>
      <c r="M5" s="301">
        <v>101</v>
      </c>
      <c r="N5" s="302">
        <v>9754.354800000001</v>
      </c>
    </row>
    <row r="6" spans="1:14" ht="14.4" customHeight="1" x14ac:dyDescent="0.3">
      <c r="A6" s="303" t="s">
        <v>163</v>
      </c>
      <c r="B6" s="304" t="s">
        <v>164</v>
      </c>
      <c r="C6" s="305" t="s">
        <v>169</v>
      </c>
      <c r="D6" s="306" t="s">
        <v>199</v>
      </c>
      <c r="E6" s="305" t="s">
        <v>177</v>
      </c>
      <c r="F6" s="306" t="s">
        <v>201</v>
      </c>
      <c r="G6" s="305" t="s">
        <v>178</v>
      </c>
      <c r="H6" s="305" t="s">
        <v>182</v>
      </c>
      <c r="I6" s="305" t="s">
        <v>180</v>
      </c>
      <c r="J6" s="305" t="s">
        <v>183</v>
      </c>
      <c r="K6" s="305"/>
      <c r="L6" s="307">
        <v>48.629643708811606</v>
      </c>
      <c r="M6" s="307">
        <v>5</v>
      </c>
      <c r="N6" s="308">
        <v>243.14821854405804</v>
      </c>
    </row>
    <row r="7" spans="1:14" ht="14.4" customHeight="1" x14ac:dyDescent="0.3">
      <c r="A7" s="303" t="s">
        <v>163</v>
      </c>
      <c r="B7" s="304" t="s">
        <v>164</v>
      </c>
      <c r="C7" s="305" t="s">
        <v>169</v>
      </c>
      <c r="D7" s="306" t="s">
        <v>199</v>
      </c>
      <c r="E7" s="305" t="s">
        <v>177</v>
      </c>
      <c r="F7" s="306" t="s">
        <v>201</v>
      </c>
      <c r="G7" s="305" t="s">
        <v>178</v>
      </c>
      <c r="H7" s="305" t="s">
        <v>184</v>
      </c>
      <c r="I7" s="305" t="s">
        <v>180</v>
      </c>
      <c r="J7" s="305" t="s">
        <v>185</v>
      </c>
      <c r="K7" s="305" t="s">
        <v>186</v>
      </c>
      <c r="L7" s="307">
        <v>75.020024909183206</v>
      </c>
      <c r="M7" s="307">
        <v>4</v>
      </c>
      <c r="N7" s="308">
        <v>300.08009963673283</v>
      </c>
    </row>
    <row r="8" spans="1:14" ht="14.4" customHeight="1" x14ac:dyDescent="0.3">
      <c r="A8" s="303" t="s">
        <v>163</v>
      </c>
      <c r="B8" s="304" t="s">
        <v>164</v>
      </c>
      <c r="C8" s="305" t="s">
        <v>169</v>
      </c>
      <c r="D8" s="306" t="s">
        <v>199</v>
      </c>
      <c r="E8" s="305" t="s">
        <v>177</v>
      </c>
      <c r="F8" s="306" t="s">
        <v>201</v>
      </c>
      <c r="G8" s="305" t="s">
        <v>178</v>
      </c>
      <c r="H8" s="305" t="s">
        <v>187</v>
      </c>
      <c r="I8" s="305" t="s">
        <v>188</v>
      </c>
      <c r="J8" s="305" t="s">
        <v>189</v>
      </c>
      <c r="K8" s="305" t="s">
        <v>190</v>
      </c>
      <c r="L8" s="307">
        <v>63.649999999999977</v>
      </c>
      <c r="M8" s="307">
        <v>3</v>
      </c>
      <c r="N8" s="308">
        <v>190.94999999999993</v>
      </c>
    </row>
    <row r="9" spans="1:14" ht="14.4" customHeight="1" x14ac:dyDescent="0.3">
      <c r="A9" s="303" t="s">
        <v>163</v>
      </c>
      <c r="B9" s="304" t="s">
        <v>164</v>
      </c>
      <c r="C9" s="305" t="s">
        <v>169</v>
      </c>
      <c r="D9" s="306" t="s">
        <v>199</v>
      </c>
      <c r="E9" s="305" t="s">
        <v>177</v>
      </c>
      <c r="F9" s="306" t="s">
        <v>201</v>
      </c>
      <c r="G9" s="305" t="s">
        <v>178</v>
      </c>
      <c r="H9" s="305" t="s">
        <v>191</v>
      </c>
      <c r="I9" s="305" t="s">
        <v>180</v>
      </c>
      <c r="J9" s="305" t="s">
        <v>192</v>
      </c>
      <c r="K9" s="305" t="s">
        <v>193</v>
      </c>
      <c r="L9" s="307">
        <v>75.01998223176345</v>
      </c>
      <c r="M9" s="307">
        <v>3</v>
      </c>
      <c r="N9" s="308">
        <v>225.05994669529036</v>
      </c>
    </row>
    <row r="10" spans="1:14" ht="14.4" customHeight="1" x14ac:dyDescent="0.3">
      <c r="A10" s="303" t="s">
        <v>163</v>
      </c>
      <c r="B10" s="304" t="s">
        <v>164</v>
      </c>
      <c r="C10" s="305" t="s">
        <v>169</v>
      </c>
      <c r="D10" s="306" t="s">
        <v>199</v>
      </c>
      <c r="E10" s="305" t="s">
        <v>177</v>
      </c>
      <c r="F10" s="306" t="s">
        <v>201</v>
      </c>
      <c r="G10" s="305" t="s">
        <v>178</v>
      </c>
      <c r="H10" s="305" t="s">
        <v>194</v>
      </c>
      <c r="I10" s="305" t="s">
        <v>180</v>
      </c>
      <c r="J10" s="305" t="s">
        <v>195</v>
      </c>
      <c r="K10" s="305"/>
      <c r="L10" s="307">
        <v>201.29744360528366</v>
      </c>
      <c r="M10" s="307">
        <v>108</v>
      </c>
      <c r="N10" s="308">
        <v>21740.123909370635</v>
      </c>
    </row>
    <row r="11" spans="1:14" ht="14.4" customHeight="1" x14ac:dyDescent="0.3">
      <c r="A11" s="303" t="s">
        <v>163</v>
      </c>
      <c r="B11" s="304" t="s">
        <v>164</v>
      </c>
      <c r="C11" s="305" t="s">
        <v>169</v>
      </c>
      <c r="D11" s="306" t="s">
        <v>199</v>
      </c>
      <c r="E11" s="305" t="s">
        <v>177</v>
      </c>
      <c r="F11" s="306" t="s">
        <v>201</v>
      </c>
      <c r="G11" s="305" t="s">
        <v>178</v>
      </c>
      <c r="H11" s="305" t="s">
        <v>196</v>
      </c>
      <c r="I11" s="305" t="s">
        <v>180</v>
      </c>
      <c r="J11" s="305" t="s">
        <v>197</v>
      </c>
      <c r="K11" s="305" t="s">
        <v>198</v>
      </c>
      <c r="L11" s="307">
        <v>56.724185265582506</v>
      </c>
      <c r="M11" s="307">
        <v>5</v>
      </c>
      <c r="N11" s="308">
        <v>283.62092632791251</v>
      </c>
    </row>
    <row r="12" spans="1:14" ht="14.4" customHeight="1" x14ac:dyDescent="0.3">
      <c r="A12" s="303" t="s">
        <v>163</v>
      </c>
      <c r="B12" s="304" t="s">
        <v>164</v>
      </c>
      <c r="C12" s="305" t="s">
        <v>174</v>
      </c>
      <c r="D12" s="306" t="s">
        <v>200</v>
      </c>
      <c r="E12" s="305" t="s">
        <v>177</v>
      </c>
      <c r="F12" s="306" t="s">
        <v>201</v>
      </c>
      <c r="G12" s="305" t="s">
        <v>178</v>
      </c>
      <c r="H12" s="305" t="s">
        <v>179</v>
      </c>
      <c r="I12" s="305" t="s">
        <v>180</v>
      </c>
      <c r="J12" s="305" t="s">
        <v>181</v>
      </c>
      <c r="K12" s="305"/>
      <c r="L12" s="307">
        <v>88.474800000000002</v>
      </c>
      <c r="M12" s="307">
        <v>20</v>
      </c>
      <c r="N12" s="308">
        <v>1769.4960000000001</v>
      </c>
    </row>
    <row r="13" spans="1:14" ht="14.4" customHeight="1" x14ac:dyDescent="0.3">
      <c r="A13" s="303" t="s">
        <v>163</v>
      </c>
      <c r="B13" s="304" t="s">
        <v>164</v>
      </c>
      <c r="C13" s="305" t="s">
        <v>174</v>
      </c>
      <c r="D13" s="306" t="s">
        <v>200</v>
      </c>
      <c r="E13" s="305" t="s">
        <v>177</v>
      </c>
      <c r="F13" s="306" t="s">
        <v>201</v>
      </c>
      <c r="G13" s="305" t="s">
        <v>178</v>
      </c>
      <c r="H13" s="305" t="s">
        <v>191</v>
      </c>
      <c r="I13" s="305" t="s">
        <v>180</v>
      </c>
      <c r="J13" s="305" t="s">
        <v>192</v>
      </c>
      <c r="K13" s="305" t="s">
        <v>193</v>
      </c>
      <c r="L13" s="307">
        <v>75.020101200730068</v>
      </c>
      <c r="M13" s="307">
        <v>5</v>
      </c>
      <c r="N13" s="308">
        <v>375.10050600365037</v>
      </c>
    </row>
    <row r="14" spans="1:14" ht="14.4" customHeight="1" thickBot="1" x14ac:dyDescent="0.35">
      <c r="A14" s="309" t="s">
        <v>163</v>
      </c>
      <c r="B14" s="310" t="s">
        <v>164</v>
      </c>
      <c r="C14" s="311" t="s">
        <v>174</v>
      </c>
      <c r="D14" s="312" t="s">
        <v>200</v>
      </c>
      <c r="E14" s="311" t="s">
        <v>177</v>
      </c>
      <c r="F14" s="312" t="s">
        <v>201</v>
      </c>
      <c r="G14" s="311" t="s">
        <v>178</v>
      </c>
      <c r="H14" s="311" t="s">
        <v>194</v>
      </c>
      <c r="I14" s="311" t="s">
        <v>180</v>
      </c>
      <c r="J14" s="311" t="s">
        <v>195</v>
      </c>
      <c r="K14" s="311"/>
      <c r="L14" s="313">
        <v>201.37960990183859</v>
      </c>
      <c r="M14" s="313">
        <v>20</v>
      </c>
      <c r="N14" s="314">
        <v>4027.5921980367721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43" customWidth="1"/>
    <col min="2" max="2" width="5.44140625" style="154" bestFit="1" customWidth="1"/>
    <col min="3" max="3" width="6.109375" style="154" bestFit="1" customWidth="1"/>
    <col min="4" max="4" width="7.44140625" style="154" bestFit="1" customWidth="1"/>
    <col min="5" max="5" width="6.21875" style="154" bestFit="1" customWidth="1"/>
    <col min="6" max="6" width="6.33203125" style="157" bestFit="1" customWidth="1"/>
    <col min="7" max="7" width="6.109375" style="157" bestFit="1" customWidth="1"/>
    <col min="8" max="8" width="7.44140625" style="157" bestFit="1" customWidth="1"/>
    <col min="9" max="9" width="6.21875" style="157" bestFit="1" customWidth="1"/>
    <col min="10" max="10" width="5.44140625" style="154" bestFit="1" customWidth="1"/>
    <col min="11" max="11" width="6.109375" style="154" bestFit="1" customWidth="1"/>
    <col min="12" max="12" width="7.44140625" style="154" bestFit="1" customWidth="1"/>
    <col min="13" max="13" width="6.21875" style="154" bestFit="1" customWidth="1"/>
    <col min="14" max="14" width="5.33203125" style="157" bestFit="1" customWidth="1"/>
    <col min="15" max="15" width="6.109375" style="157" bestFit="1" customWidth="1"/>
    <col min="16" max="16" width="7.44140625" style="157" bestFit="1" customWidth="1"/>
    <col min="17" max="17" width="6.21875" style="157" bestFit="1" customWidth="1"/>
    <col min="18" max="16384" width="8.88671875" style="90"/>
  </cols>
  <sheetData>
    <row r="1" spans="1:17" ht="18.600000000000001" customHeight="1" thickBot="1" x14ac:dyDescent="0.4">
      <c r="A1" s="277" t="s">
        <v>128</v>
      </c>
      <c r="B1" s="277"/>
      <c r="C1" s="277"/>
      <c r="D1" s="277"/>
      <c r="E1" s="277"/>
      <c r="F1" s="251"/>
      <c r="G1" s="251"/>
      <c r="H1" s="251"/>
      <c r="I1" s="251"/>
      <c r="J1" s="271"/>
      <c r="K1" s="271"/>
      <c r="L1" s="271"/>
      <c r="M1" s="271"/>
      <c r="N1" s="271"/>
      <c r="O1" s="271"/>
      <c r="P1" s="271"/>
      <c r="Q1" s="271"/>
    </row>
    <row r="2" spans="1:17" ht="14.4" customHeight="1" thickBot="1" x14ac:dyDescent="0.35">
      <c r="A2" s="166" t="s">
        <v>160</v>
      </c>
      <c r="B2" s="161"/>
      <c r="C2" s="161"/>
      <c r="D2" s="161"/>
      <c r="E2" s="161"/>
    </row>
    <row r="3" spans="1:17" ht="14.4" customHeight="1" thickBot="1" x14ac:dyDescent="0.35">
      <c r="A3" s="232" t="s">
        <v>2</v>
      </c>
      <c r="B3" s="236">
        <f>SUM(B6:B1048576)</f>
        <v>48</v>
      </c>
      <c r="C3" s="237">
        <f>SUM(C6:C1048576)</f>
        <v>0</v>
      </c>
      <c r="D3" s="237">
        <f>SUM(D6:D1048576)</f>
        <v>0</v>
      </c>
      <c r="E3" s="238">
        <f>SUM(E6:E1048576)</f>
        <v>0</v>
      </c>
      <c r="F3" s="235">
        <f>IF(SUM($B3:$E3)=0,"",B3/SUM($B3:$E3))</f>
        <v>1</v>
      </c>
      <c r="G3" s="233">
        <f t="shared" ref="G3:I3" si="0">IF(SUM($B3:$E3)=0,"",C3/SUM($B3:$E3))</f>
        <v>0</v>
      </c>
      <c r="H3" s="233">
        <f t="shared" si="0"/>
        <v>0</v>
      </c>
      <c r="I3" s="234">
        <f t="shared" si="0"/>
        <v>0</v>
      </c>
      <c r="J3" s="237">
        <f>SUM(J6:J1048576)</f>
        <v>20</v>
      </c>
      <c r="K3" s="237">
        <f>SUM(K6:K1048576)</f>
        <v>0</v>
      </c>
      <c r="L3" s="237">
        <f>SUM(L6:L1048576)</f>
        <v>0</v>
      </c>
      <c r="M3" s="238">
        <f>SUM(M6:M1048576)</f>
        <v>0</v>
      </c>
      <c r="N3" s="235">
        <f>IF(SUM($J3:$M3)=0,"",J3/SUM($J3:$M3))</f>
        <v>1</v>
      </c>
      <c r="O3" s="233">
        <f t="shared" ref="O3:Q3" si="1">IF(SUM($J3:$M3)=0,"",K3/SUM($J3:$M3))</f>
        <v>0</v>
      </c>
      <c r="P3" s="233">
        <f t="shared" si="1"/>
        <v>0</v>
      </c>
      <c r="Q3" s="234">
        <f t="shared" si="1"/>
        <v>0</v>
      </c>
    </row>
    <row r="4" spans="1:17" ht="14.4" customHeight="1" thickBot="1" x14ac:dyDescent="0.35">
      <c r="A4" s="231"/>
      <c r="B4" s="281" t="s">
        <v>130</v>
      </c>
      <c r="C4" s="282"/>
      <c r="D4" s="282"/>
      <c r="E4" s="283"/>
      <c r="F4" s="278" t="s">
        <v>135</v>
      </c>
      <c r="G4" s="279"/>
      <c r="H4" s="279"/>
      <c r="I4" s="280"/>
      <c r="J4" s="281" t="s">
        <v>136</v>
      </c>
      <c r="K4" s="282"/>
      <c r="L4" s="282"/>
      <c r="M4" s="283"/>
      <c r="N4" s="278" t="s">
        <v>137</v>
      </c>
      <c r="O4" s="279"/>
      <c r="P4" s="279"/>
      <c r="Q4" s="280"/>
    </row>
    <row r="5" spans="1:17" ht="14.4" customHeight="1" thickBot="1" x14ac:dyDescent="0.35">
      <c r="A5" s="315" t="s">
        <v>129</v>
      </c>
      <c r="B5" s="316" t="s">
        <v>131</v>
      </c>
      <c r="C5" s="316" t="s">
        <v>132</v>
      </c>
      <c r="D5" s="316" t="s">
        <v>133</v>
      </c>
      <c r="E5" s="317" t="s">
        <v>134</v>
      </c>
      <c r="F5" s="318" t="s">
        <v>131</v>
      </c>
      <c r="G5" s="319" t="s">
        <v>132</v>
      </c>
      <c r="H5" s="319" t="s">
        <v>133</v>
      </c>
      <c r="I5" s="320" t="s">
        <v>134</v>
      </c>
      <c r="J5" s="316" t="s">
        <v>131</v>
      </c>
      <c r="K5" s="316" t="s">
        <v>132</v>
      </c>
      <c r="L5" s="316" t="s">
        <v>133</v>
      </c>
      <c r="M5" s="317" t="s">
        <v>134</v>
      </c>
      <c r="N5" s="318" t="s">
        <v>131</v>
      </c>
      <c r="O5" s="319" t="s">
        <v>132</v>
      </c>
      <c r="P5" s="319" t="s">
        <v>133</v>
      </c>
      <c r="Q5" s="320" t="s">
        <v>134</v>
      </c>
    </row>
    <row r="6" spans="1:17" ht="14.4" customHeight="1" x14ac:dyDescent="0.3">
      <c r="A6" s="327" t="s">
        <v>202</v>
      </c>
      <c r="B6" s="333"/>
      <c r="C6" s="301"/>
      <c r="D6" s="301"/>
      <c r="E6" s="302"/>
      <c r="F6" s="330"/>
      <c r="G6" s="321"/>
      <c r="H6" s="321"/>
      <c r="I6" s="336"/>
      <c r="J6" s="333"/>
      <c r="K6" s="301"/>
      <c r="L6" s="301"/>
      <c r="M6" s="302"/>
      <c r="N6" s="330"/>
      <c r="O6" s="321"/>
      <c r="P6" s="321"/>
      <c r="Q6" s="322"/>
    </row>
    <row r="7" spans="1:17" ht="14.4" customHeight="1" x14ac:dyDescent="0.3">
      <c r="A7" s="328" t="s">
        <v>203</v>
      </c>
      <c r="B7" s="334">
        <v>45</v>
      </c>
      <c r="C7" s="307"/>
      <c r="D7" s="307"/>
      <c r="E7" s="308"/>
      <c r="F7" s="331">
        <v>1</v>
      </c>
      <c r="G7" s="323">
        <v>0</v>
      </c>
      <c r="H7" s="323">
        <v>0</v>
      </c>
      <c r="I7" s="337">
        <v>0</v>
      </c>
      <c r="J7" s="334">
        <v>19</v>
      </c>
      <c r="K7" s="307"/>
      <c r="L7" s="307"/>
      <c r="M7" s="308"/>
      <c r="N7" s="331">
        <v>1</v>
      </c>
      <c r="O7" s="323">
        <v>0</v>
      </c>
      <c r="P7" s="323">
        <v>0</v>
      </c>
      <c r="Q7" s="324">
        <v>0</v>
      </c>
    </row>
    <row r="8" spans="1:17" ht="14.4" customHeight="1" thickBot="1" x14ac:dyDescent="0.35">
      <c r="A8" s="329" t="s">
        <v>204</v>
      </c>
      <c r="B8" s="335">
        <v>3</v>
      </c>
      <c r="C8" s="313"/>
      <c r="D8" s="313"/>
      <c r="E8" s="314"/>
      <c r="F8" s="332">
        <v>1</v>
      </c>
      <c r="G8" s="325">
        <v>0</v>
      </c>
      <c r="H8" s="325">
        <v>0</v>
      </c>
      <c r="I8" s="338">
        <v>0</v>
      </c>
      <c r="J8" s="335">
        <v>1</v>
      </c>
      <c r="K8" s="313"/>
      <c r="L8" s="313"/>
      <c r="M8" s="314"/>
      <c r="N8" s="332">
        <v>1</v>
      </c>
      <c r="O8" s="325">
        <v>0</v>
      </c>
      <c r="P8" s="325">
        <v>0</v>
      </c>
      <c r="Q8" s="32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55" customWidth="1"/>
    <col min="2" max="2" width="61.109375" style="155" customWidth="1"/>
    <col min="3" max="3" width="9.5546875" style="90" customWidth="1"/>
    <col min="4" max="4" width="9.5546875" style="156" customWidth="1"/>
    <col min="5" max="5" width="2.21875" style="156" customWidth="1"/>
    <col min="6" max="6" width="9.5546875" style="157" customWidth="1"/>
    <col min="7" max="7" width="9.5546875" style="154" customWidth="1"/>
    <col min="8" max="9" width="9.5546875" style="90" customWidth="1"/>
    <col min="10" max="10" width="0" style="90" hidden="1" customWidth="1"/>
    <col min="11" max="16384" width="8.88671875" style="90"/>
  </cols>
  <sheetData>
    <row r="1" spans="1:10" ht="18.600000000000001" customHeight="1" thickBot="1" x14ac:dyDescent="0.4">
      <c r="A1" s="269" t="s">
        <v>72</v>
      </c>
      <c r="B1" s="270"/>
      <c r="C1" s="270"/>
      <c r="D1" s="270"/>
      <c r="E1" s="270"/>
      <c r="F1" s="270"/>
      <c r="G1" s="251"/>
      <c r="H1" s="271"/>
      <c r="I1" s="271"/>
    </row>
    <row r="2" spans="1:10" ht="14.4" customHeight="1" thickBot="1" x14ac:dyDescent="0.35">
      <c r="A2" s="166" t="s">
        <v>160</v>
      </c>
      <c r="B2" s="153"/>
      <c r="C2" s="153"/>
      <c r="D2" s="153"/>
      <c r="E2" s="153"/>
      <c r="F2" s="153"/>
    </row>
    <row r="3" spans="1:10" ht="14.4" customHeight="1" thickBot="1" x14ac:dyDescent="0.35">
      <c r="A3" s="166"/>
      <c r="B3" s="153"/>
      <c r="C3" s="223">
        <v>2014</v>
      </c>
      <c r="D3" s="224">
        <v>2015</v>
      </c>
      <c r="E3" s="7"/>
      <c r="F3" s="264">
        <v>2016</v>
      </c>
      <c r="G3" s="265"/>
      <c r="H3" s="265"/>
      <c r="I3" s="266"/>
    </row>
    <row r="4" spans="1:10" ht="14.4" customHeight="1" thickBot="1" x14ac:dyDescent="0.35">
      <c r="A4" s="228" t="s">
        <v>0</v>
      </c>
      <c r="B4" s="229" t="s">
        <v>127</v>
      </c>
      <c r="C4" s="267" t="s">
        <v>49</v>
      </c>
      <c r="D4" s="268"/>
      <c r="E4" s="230"/>
      <c r="F4" s="225" t="s">
        <v>49</v>
      </c>
      <c r="G4" s="226" t="s">
        <v>50</v>
      </c>
      <c r="H4" s="226" t="s">
        <v>46</v>
      </c>
      <c r="I4" s="227" t="s">
        <v>51</v>
      </c>
    </row>
    <row r="5" spans="1:10" ht="14.4" customHeight="1" x14ac:dyDescent="0.3">
      <c r="A5" s="287" t="s">
        <v>163</v>
      </c>
      <c r="B5" s="288" t="s">
        <v>164</v>
      </c>
      <c r="C5" s="289" t="s">
        <v>165</v>
      </c>
      <c r="D5" s="289" t="s">
        <v>165</v>
      </c>
      <c r="E5" s="289"/>
      <c r="F5" s="289" t="s">
        <v>165</v>
      </c>
      <c r="G5" s="289" t="s">
        <v>165</v>
      </c>
      <c r="H5" s="289" t="s">
        <v>165</v>
      </c>
      <c r="I5" s="290" t="s">
        <v>165</v>
      </c>
      <c r="J5" s="291" t="s">
        <v>47</v>
      </c>
    </row>
    <row r="6" spans="1:10" ht="14.4" customHeight="1" x14ac:dyDescent="0.3">
      <c r="A6" s="287" t="s">
        <v>163</v>
      </c>
      <c r="B6" s="288" t="s">
        <v>205</v>
      </c>
      <c r="C6" s="289">
        <v>5.2519999999999998</v>
      </c>
      <c r="D6" s="289">
        <v>2.84</v>
      </c>
      <c r="E6" s="289"/>
      <c r="F6" s="289">
        <v>5.5380000000000003</v>
      </c>
      <c r="G6" s="289">
        <v>10.4999995696565</v>
      </c>
      <c r="H6" s="289">
        <v>-4.9619995696565002</v>
      </c>
      <c r="I6" s="290">
        <v>0.52742859304528256</v>
      </c>
      <c r="J6" s="291" t="s">
        <v>1</v>
      </c>
    </row>
    <row r="7" spans="1:10" ht="14.4" customHeight="1" x14ac:dyDescent="0.3">
      <c r="A7" s="287" t="s">
        <v>163</v>
      </c>
      <c r="B7" s="288" t="s">
        <v>167</v>
      </c>
      <c r="C7" s="289">
        <v>5.2519999999999998</v>
      </c>
      <c r="D7" s="289">
        <v>2.84</v>
      </c>
      <c r="E7" s="289"/>
      <c r="F7" s="289">
        <v>5.5380000000000003</v>
      </c>
      <c r="G7" s="289">
        <v>10.4999995696565</v>
      </c>
      <c r="H7" s="289">
        <v>-4.9619995696565002</v>
      </c>
      <c r="I7" s="290">
        <v>0.52742859304528256</v>
      </c>
      <c r="J7" s="291" t="s">
        <v>168</v>
      </c>
    </row>
    <row r="9" spans="1:10" ht="14.4" customHeight="1" x14ac:dyDescent="0.3">
      <c r="A9" s="287" t="s">
        <v>163</v>
      </c>
      <c r="B9" s="288" t="s">
        <v>164</v>
      </c>
      <c r="C9" s="289" t="s">
        <v>165</v>
      </c>
      <c r="D9" s="289" t="s">
        <v>165</v>
      </c>
      <c r="E9" s="289"/>
      <c r="F9" s="289" t="s">
        <v>165</v>
      </c>
      <c r="G9" s="289" t="s">
        <v>165</v>
      </c>
      <c r="H9" s="289" t="s">
        <v>165</v>
      </c>
      <c r="I9" s="290" t="s">
        <v>165</v>
      </c>
      <c r="J9" s="291" t="s">
        <v>47</v>
      </c>
    </row>
    <row r="10" spans="1:10" ht="14.4" customHeight="1" x14ac:dyDescent="0.3">
      <c r="A10" s="287" t="s">
        <v>169</v>
      </c>
      <c r="B10" s="288" t="s">
        <v>170</v>
      </c>
      <c r="C10" s="289" t="s">
        <v>165</v>
      </c>
      <c r="D10" s="289" t="s">
        <v>165</v>
      </c>
      <c r="E10" s="289"/>
      <c r="F10" s="289" t="s">
        <v>165</v>
      </c>
      <c r="G10" s="289" t="s">
        <v>165</v>
      </c>
      <c r="H10" s="289" t="s">
        <v>165</v>
      </c>
      <c r="I10" s="290" t="s">
        <v>165</v>
      </c>
      <c r="J10" s="291" t="s">
        <v>0</v>
      </c>
    </row>
    <row r="11" spans="1:10" ht="14.4" customHeight="1" x14ac:dyDescent="0.3">
      <c r="A11" s="287" t="s">
        <v>169</v>
      </c>
      <c r="B11" s="288" t="s">
        <v>205</v>
      </c>
      <c r="C11" s="289">
        <v>4.968</v>
      </c>
      <c r="D11" s="289">
        <v>2.84</v>
      </c>
      <c r="E11" s="289"/>
      <c r="F11" s="289">
        <v>5.5380000000000003</v>
      </c>
      <c r="G11" s="289">
        <v>10.4999995696565</v>
      </c>
      <c r="H11" s="289">
        <v>-4.9619995696565002</v>
      </c>
      <c r="I11" s="290">
        <v>0.52742859304528256</v>
      </c>
      <c r="J11" s="291" t="s">
        <v>1</v>
      </c>
    </row>
    <row r="12" spans="1:10" ht="14.4" customHeight="1" x14ac:dyDescent="0.3">
      <c r="A12" s="287" t="s">
        <v>169</v>
      </c>
      <c r="B12" s="288" t="s">
        <v>171</v>
      </c>
      <c r="C12" s="289">
        <v>4.968</v>
      </c>
      <c r="D12" s="289">
        <v>2.84</v>
      </c>
      <c r="E12" s="289"/>
      <c r="F12" s="289">
        <v>5.5380000000000003</v>
      </c>
      <c r="G12" s="289">
        <v>10.4999995696565</v>
      </c>
      <c r="H12" s="289">
        <v>-4.9619995696565002</v>
      </c>
      <c r="I12" s="290">
        <v>0.52742859304528256</v>
      </c>
      <c r="J12" s="291" t="s">
        <v>172</v>
      </c>
    </row>
    <row r="13" spans="1:10" ht="14.4" customHeight="1" x14ac:dyDescent="0.3">
      <c r="A13" s="287" t="s">
        <v>165</v>
      </c>
      <c r="B13" s="288" t="s">
        <v>165</v>
      </c>
      <c r="C13" s="289" t="s">
        <v>165</v>
      </c>
      <c r="D13" s="289" t="s">
        <v>165</v>
      </c>
      <c r="E13" s="289"/>
      <c r="F13" s="289" t="s">
        <v>165</v>
      </c>
      <c r="G13" s="289" t="s">
        <v>165</v>
      </c>
      <c r="H13" s="289" t="s">
        <v>165</v>
      </c>
      <c r="I13" s="290" t="s">
        <v>165</v>
      </c>
      <c r="J13" s="291" t="s">
        <v>173</v>
      </c>
    </row>
    <row r="14" spans="1:10" ht="14.4" customHeight="1" x14ac:dyDescent="0.3">
      <c r="A14" s="287" t="s">
        <v>206</v>
      </c>
      <c r="B14" s="288" t="s">
        <v>207</v>
      </c>
      <c r="C14" s="289" t="s">
        <v>165</v>
      </c>
      <c r="D14" s="289" t="s">
        <v>165</v>
      </c>
      <c r="E14" s="289"/>
      <c r="F14" s="289" t="s">
        <v>165</v>
      </c>
      <c r="G14" s="289" t="s">
        <v>165</v>
      </c>
      <c r="H14" s="289" t="s">
        <v>165</v>
      </c>
      <c r="I14" s="290" t="s">
        <v>165</v>
      </c>
      <c r="J14" s="291" t="s">
        <v>0</v>
      </c>
    </row>
    <row r="15" spans="1:10" ht="14.4" customHeight="1" x14ac:dyDescent="0.3">
      <c r="A15" s="287" t="s">
        <v>206</v>
      </c>
      <c r="B15" s="288" t="s">
        <v>205</v>
      </c>
      <c r="C15" s="289">
        <v>0.28399999999999997</v>
      </c>
      <c r="D15" s="289">
        <v>0</v>
      </c>
      <c r="E15" s="289"/>
      <c r="F15" s="289" t="s">
        <v>165</v>
      </c>
      <c r="G15" s="289" t="s">
        <v>165</v>
      </c>
      <c r="H15" s="289" t="s">
        <v>165</v>
      </c>
      <c r="I15" s="290" t="s">
        <v>165</v>
      </c>
      <c r="J15" s="291" t="s">
        <v>1</v>
      </c>
    </row>
    <row r="16" spans="1:10" ht="14.4" customHeight="1" x14ac:dyDescent="0.3">
      <c r="A16" s="287" t="s">
        <v>206</v>
      </c>
      <c r="B16" s="288" t="s">
        <v>208</v>
      </c>
      <c r="C16" s="289">
        <v>0.28399999999999997</v>
      </c>
      <c r="D16" s="289">
        <v>0</v>
      </c>
      <c r="E16" s="289"/>
      <c r="F16" s="289" t="s">
        <v>165</v>
      </c>
      <c r="G16" s="289" t="s">
        <v>165</v>
      </c>
      <c r="H16" s="289" t="s">
        <v>165</v>
      </c>
      <c r="I16" s="290" t="s">
        <v>165</v>
      </c>
      <c r="J16" s="291" t="s">
        <v>172</v>
      </c>
    </row>
    <row r="17" spans="1:10" ht="14.4" customHeight="1" x14ac:dyDescent="0.3">
      <c r="A17" s="287" t="s">
        <v>165</v>
      </c>
      <c r="B17" s="288" t="s">
        <v>165</v>
      </c>
      <c r="C17" s="289" t="s">
        <v>165</v>
      </c>
      <c r="D17" s="289" t="s">
        <v>165</v>
      </c>
      <c r="E17" s="289"/>
      <c r="F17" s="289" t="s">
        <v>165</v>
      </c>
      <c r="G17" s="289" t="s">
        <v>165</v>
      </c>
      <c r="H17" s="289" t="s">
        <v>165</v>
      </c>
      <c r="I17" s="290" t="s">
        <v>165</v>
      </c>
      <c r="J17" s="291" t="s">
        <v>173</v>
      </c>
    </row>
    <row r="18" spans="1:10" ht="14.4" customHeight="1" x14ac:dyDescent="0.3">
      <c r="A18" s="287" t="s">
        <v>163</v>
      </c>
      <c r="B18" s="288" t="s">
        <v>167</v>
      </c>
      <c r="C18" s="289">
        <v>5.2519999999999998</v>
      </c>
      <c r="D18" s="289">
        <v>2.84</v>
      </c>
      <c r="E18" s="289"/>
      <c r="F18" s="289">
        <v>5.5380000000000003</v>
      </c>
      <c r="G18" s="289">
        <v>10.4999995696565</v>
      </c>
      <c r="H18" s="289">
        <v>-4.9619995696565002</v>
      </c>
      <c r="I18" s="290">
        <v>0.52742859304528256</v>
      </c>
      <c r="J18" s="291" t="s">
        <v>168</v>
      </c>
    </row>
  </sheetData>
  <mergeCells count="3">
    <mergeCell ref="A1:I1"/>
    <mergeCell ref="F3:I3"/>
    <mergeCell ref="C4:D4"/>
  </mergeCells>
  <conditionalFormatting sqref="F8 F19:F65537">
    <cfRule type="cellIs" dxfId="21" priority="18" stopIfTrue="1" operator="greaterThan">
      <formula>1</formula>
    </cfRule>
  </conditionalFormatting>
  <conditionalFormatting sqref="H5:H7">
    <cfRule type="expression" dxfId="20" priority="14">
      <formula>$H5&gt;0</formula>
    </cfRule>
  </conditionalFormatting>
  <conditionalFormatting sqref="I5:I7">
    <cfRule type="expression" dxfId="19" priority="15">
      <formula>$I5&gt;1</formula>
    </cfRule>
  </conditionalFormatting>
  <conditionalFormatting sqref="B5:B7">
    <cfRule type="expression" dxfId="18" priority="11">
      <formula>OR($J5="NS",$J5="SumaNS",$J5="Účet")</formula>
    </cfRule>
  </conditionalFormatting>
  <conditionalFormatting sqref="F5:I7 B5:D7">
    <cfRule type="expression" dxfId="17" priority="17">
      <formula>AND($J5&lt;&gt;"",$J5&lt;&gt;"mezeraKL")</formula>
    </cfRule>
  </conditionalFormatting>
  <conditionalFormatting sqref="B5:D7 F5:I7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5" priority="13">
      <formula>OR($J5="SumaNS",$J5="NS")</formula>
    </cfRule>
  </conditionalFormatting>
  <conditionalFormatting sqref="A5:A7">
    <cfRule type="expression" dxfId="14" priority="9">
      <formula>AND($J5&lt;&gt;"mezeraKL",$J5&lt;&gt;"")</formula>
    </cfRule>
  </conditionalFormatting>
  <conditionalFormatting sqref="A5:A7">
    <cfRule type="expression" dxfId="13" priority="10">
      <formula>AND($J5&lt;&gt;"",$J5&lt;&gt;"mezeraKL")</formula>
    </cfRule>
  </conditionalFormatting>
  <conditionalFormatting sqref="H9:H18">
    <cfRule type="expression" dxfId="12" priority="5">
      <formula>$H9&gt;0</formula>
    </cfRule>
  </conditionalFormatting>
  <conditionalFormatting sqref="A9:A18">
    <cfRule type="expression" dxfId="11" priority="2">
      <formula>AND($J9&lt;&gt;"mezeraKL",$J9&lt;&gt;"")</formula>
    </cfRule>
  </conditionalFormatting>
  <conditionalFormatting sqref="I9:I18">
    <cfRule type="expression" dxfId="10" priority="6">
      <formula>$I9&gt;1</formula>
    </cfRule>
  </conditionalFormatting>
  <conditionalFormatting sqref="B9:B18">
    <cfRule type="expression" dxfId="9" priority="1">
      <formula>OR($J9="NS",$J9="SumaNS",$J9="Účet")</formula>
    </cfRule>
  </conditionalFormatting>
  <conditionalFormatting sqref="A9:D18 F9:I18">
    <cfRule type="expression" dxfId="8" priority="8">
      <formula>AND($J9&lt;&gt;"",$J9&lt;&gt;"mezeraKL")</formula>
    </cfRule>
  </conditionalFormatting>
  <conditionalFormatting sqref="B9:D18 F9:I18">
    <cfRule type="expression" dxfId="7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6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0" hidden="1" customWidth="1" outlineLevel="1"/>
    <col min="2" max="2" width="28.33203125" style="90" hidden="1" customWidth="1" outlineLevel="1"/>
    <col min="3" max="3" width="5.33203125" style="156" bestFit="1" customWidth="1" collapsed="1"/>
    <col min="4" max="4" width="18.77734375" style="160" customWidth="1"/>
    <col min="5" max="5" width="9" style="156" bestFit="1" customWidth="1"/>
    <col min="6" max="6" width="18.77734375" style="160" customWidth="1"/>
    <col min="7" max="7" width="12.44140625" style="156" hidden="1" customWidth="1" outlineLevel="1"/>
    <col min="8" max="8" width="25.77734375" style="156" customWidth="1" collapsed="1"/>
    <col min="9" max="9" width="7.77734375" style="154" customWidth="1"/>
    <col min="10" max="10" width="10" style="154" customWidth="1"/>
    <col min="11" max="11" width="11.109375" style="154" customWidth="1"/>
    <col min="12" max="16384" width="8.88671875" style="90"/>
  </cols>
  <sheetData>
    <row r="1" spans="1:11" ht="18.600000000000001" customHeight="1" thickBot="1" x14ac:dyDescent="0.4">
      <c r="A1" s="276" t="s">
        <v>213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 ht="14.4" customHeight="1" thickBot="1" x14ac:dyDescent="0.35">
      <c r="A2" s="166" t="s">
        <v>160</v>
      </c>
      <c r="B2" s="52"/>
      <c r="C2" s="158"/>
      <c r="D2" s="158"/>
      <c r="E2" s="158"/>
      <c r="F2" s="158"/>
      <c r="G2" s="158"/>
      <c r="H2" s="158"/>
      <c r="I2" s="159"/>
      <c r="J2" s="159"/>
      <c r="K2" s="159"/>
    </row>
    <row r="3" spans="1:11" ht="14.4" customHeight="1" thickBot="1" x14ac:dyDescent="0.35">
      <c r="A3" s="52"/>
      <c r="B3" s="52"/>
      <c r="C3" s="272"/>
      <c r="D3" s="273"/>
      <c r="E3" s="273"/>
      <c r="F3" s="273"/>
      <c r="G3" s="273"/>
      <c r="H3" s="101" t="s">
        <v>69</v>
      </c>
      <c r="I3" s="65">
        <f>IF(J3&lt;&gt;0,K3/J3,0)</f>
        <v>0.71</v>
      </c>
      <c r="J3" s="65">
        <f>SUBTOTAL(9,J5:J1048576)</f>
        <v>7800</v>
      </c>
      <c r="K3" s="66">
        <f>SUBTOTAL(9,K5:K1048576)</f>
        <v>5538</v>
      </c>
    </row>
    <row r="4" spans="1:11" s="155" customFormat="1" ht="14.4" customHeight="1" thickBot="1" x14ac:dyDescent="0.35">
      <c r="A4" s="292" t="s">
        <v>3</v>
      </c>
      <c r="B4" s="293" t="s">
        <v>4</v>
      </c>
      <c r="C4" s="293" t="s">
        <v>0</v>
      </c>
      <c r="D4" s="293" t="s">
        <v>5</v>
      </c>
      <c r="E4" s="293" t="s">
        <v>6</v>
      </c>
      <c r="F4" s="293" t="s">
        <v>1</v>
      </c>
      <c r="G4" s="293" t="s">
        <v>48</v>
      </c>
      <c r="H4" s="294" t="s">
        <v>10</v>
      </c>
      <c r="I4" s="295" t="s">
        <v>74</v>
      </c>
      <c r="J4" s="295" t="s">
        <v>12</v>
      </c>
      <c r="K4" s="296" t="s">
        <v>82</v>
      </c>
    </row>
    <row r="5" spans="1:11" ht="14.4" customHeight="1" thickBot="1" x14ac:dyDescent="0.35">
      <c r="A5" s="339" t="s">
        <v>163</v>
      </c>
      <c r="B5" s="340" t="s">
        <v>164</v>
      </c>
      <c r="C5" s="341" t="s">
        <v>169</v>
      </c>
      <c r="D5" s="342" t="s">
        <v>199</v>
      </c>
      <c r="E5" s="341" t="s">
        <v>211</v>
      </c>
      <c r="F5" s="342" t="s">
        <v>212</v>
      </c>
      <c r="G5" s="341" t="s">
        <v>209</v>
      </c>
      <c r="H5" s="341" t="s">
        <v>210</v>
      </c>
      <c r="I5" s="343">
        <v>0.71</v>
      </c>
      <c r="J5" s="343">
        <v>7800</v>
      </c>
      <c r="K5" s="344">
        <v>5538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7" width="13.109375" customWidth="1"/>
    <col min="8" max="8" width="13.109375" hidden="1" customWidth="1"/>
  </cols>
  <sheetData>
    <row r="1" spans="1:46" ht="18.600000000000001" thickBot="1" x14ac:dyDescent="0.4">
      <c r="A1" s="286" t="s">
        <v>55</v>
      </c>
      <c r="B1" s="271"/>
      <c r="C1" s="271"/>
      <c r="D1" s="271"/>
      <c r="E1" s="271"/>
      <c r="F1" s="271"/>
      <c r="G1" s="271"/>
      <c r="H1" s="271"/>
    </row>
    <row r="2" spans="1:46" ht="15" thickBot="1" x14ac:dyDescent="0.35">
      <c r="A2" s="166" t="s">
        <v>160</v>
      </c>
      <c r="B2" s="167"/>
      <c r="C2" s="167"/>
      <c r="D2" s="167"/>
      <c r="E2" s="167"/>
      <c r="F2" s="167"/>
    </row>
    <row r="3" spans="1:46" x14ac:dyDescent="0.3">
      <c r="A3" s="185" t="s">
        <v>117</v>
      </c>
      <c r="B3" s="284" t="s">
        <v>101</v>
      </c>
      <c r="C3" s="188">
        <v>302</v>
      </c>
      <c r="D3" s="188">
        <v>303</v>
      </c>
      <c r="E3" s="188">
        <v>304</v>
      </c>
      <c r="F3" s="168">
        <v>629</v>
      </c>
      <c r="G3" s="168">
        <v>642</v>
      </c>
      <c r="H3" s="169">
        <v>930</v>
      </c>
      <c r="AT3" s="359"/>
    </row>
    <row r="4" spans="1:46" ht="24.6" outlineLevel="1" thickBot="1" x14ac:dyDescent="0.35">
      <c r="A4" s="186">
        <v>2016</v>
      </c>
      <c r="B4" s="285"/>
      <c r="C4" s="189" t="s">
        <v>140</v>
      </c>
      <c r="D4" s="189" t="s">
        <v>141</v>
      </c>
      <c r="E4" s="189" t="s">
        <v>142</v>
      </c>
      <c r="F4" s="170" t="s">
        <v>125</v>
      </c>
      <c r="G4" s="170" t="s">
        <v>126</v>
      </c>
      <c r="H4" s="171" t="s">
        <v>119</v>
      </c>
      <c r="AT4" s="359"/>
    </row>
    <row r="5" spans="1:46" x14ac:dyDescent="0.3">
      <c r="A5" s="172" t="s">
        <v>102</v>
      </c>
      <c r="B5" s="208"/>
      <c r="C5" s="209"/>
      <c r="D5" s="209"/>
      <c r="E5" s="209"/>
      <c r="F5" s="209"/>
      <c r="G5" s="209"/>
      <c r="H5" s="210"/>
      <c r="AT5" s="359"/>
    </row>
    <row r="6" spans="1:46" ht="15" collapsed="1" thickBot="1" x14ac:dyDescent="0.35">
      <c r="A6" s="173" t="s">
        <v>49</v>
      </c>
      <c r="B6" s="211">
        <f xml:space="preserve">
TRUNC(IF($A$4&lt;=12,SUMIFS('ON Data'!F:F,'ON Data'!$D:$D,$A$4,'ON Data'!$E:$E,1),SUMIFS('ON Data'!F:F,'ON Data'!$E:$E,1)/'ON Data'!$D$3),1)</f>
        <v>31.7</v>
      </c>
      <c r="C6" s="212">
        <f xml:space="preserve">
TRUNC(IF($A$4&lt;=12,SUMIFS('ON Data'!O:O,'ON Data'!$D:$D,$A$4,'ON Data'!$E:$E,1),SUMIFS('ON Data'!O:O,'ON Data'!$E:$E,1)/'ON Data'!$D$3),1)</f>
        <v>0</v>
      </c>
      <c r="D6" s="212">
        <f xml:space="preserve">
TRUNC(IF($A$4&lt;=12,SUMIFS('ON Data'!P:P,'ON Data'!$D:$D,$A$4,'ON Data'!$E:$E,1),SUMIFS('ON Data'!P:P,'ON Data'!$E:$E,1)/'ON Data'!$D$3),1)</f>
        <v>13.2</v>
      </c>
      <c r="E6" s="212">
        <f xml:space="preserve">
TRUNC(IF($A$4&lt;=12,SUMIFS('ON Data'!Q:Q,'ON Data'!$D:$D,$A$4,'ON Data'!$E:$E,1),SUMIFS('ON Data'!Q:Q,'ON Data'!$E:$E,1)/'ON Data'!$D$3),1)</f>
        <v>2</v>
      </c>
      <c r="F6" s="212">
        <f xml:space="preserve">
TRUNC(IF($A$4&lt;=12,SUMIFS('ON Data'!AM:AM,'ON Data'!$D:$D,$A$4,'ON Data'!$E:$E,1),SUMIFS('ON Data'!AM:AM,'ON Data'!$E:$E,1)/'ON Data'!$D$3),1)</f>
        <v>4.5</v>
      </c>
      <c r="G6" s="212">
        <f xml:space="preserve">
TRUNC(IF($A$4&lt;=12,SUMIFS('ON Data'!AR:AR,'ON Data'!$D:$D,$A$4,'ON Data'!$E:$E,1),SUMIFS('ON Data'!AR:AR,'ON Data'!$E:$E,1)/'ON Data'!$D$3),1)</f>
        <v>12</v>
      </c>
      <c r="H6" s="213">
        <f xml:space="preserve">
TRUNC(IF($A$4&lt;=12,SUMIFS('ON Data'!AW:AW,'ON Data'!$D:$D,$A$4,'ON Data'!$E:$E,1),SUMIFS('ON Data'!AW:AW,'ON Data'!$E:$E,1)/'ON Data'!$D$3),1)</f>
        <v>0</v>
      </c>
      <c r="AT6" s="359"/>
    </row>
    <row r="7" spans="1:46" ht="15" hidden="1" outlineLevel="1" thickBot="1" x14ac:dyDescent="0.35">
      <c r="A7" s="173" t="s">
        <v>56</v>
      </c>
      <c r="B7" s="211"/>
      <c r="C7" s="212"/>
      <c r="D7" s="212"/>
      <c r="E7" s="212"/>
      <c r="F7" s="212"/>
      <c r="G7" s="212"/>
      <c r="H7" s="213"/>
      <c r="AT7" s="359"/>
    </row>
    <row r="8" spans="1:46" ht="15" hidden="1" outlineLevel="1" thickBot="1" x14ac:dyDescent="0.35">
      <c r="A8" s="173" t="s">
        <v>51</v>
      </c>
      <c r="B8" s="211"/>
      <c r="C8" s="212"/>
      <c r="D8" s="212"/>
      <c r="E8" s="212"/>
      <c r="F8" s="212"/>
      <c r="G8" s="212"/>
      <c r="H8" s="213"/>
      <c r="AT8" s="359"/>
    </row>
    <row r="9" spans="1:46" ht="15" hidden="1" outlineLevel="1" thickBot="1" x14ac:dyDescent="0.35">
      <c r="A9" s="174" t="s">
        <v>46</v>
      </c>
      <c r="B9" s="214"/>
      <c r="C9" s="215"/>
      <c r="D9" s="215"/>
      <c r="E9" s="215"/>
      <c r="F9" s="215"/>
      <c r="G9" s="215"/>
      <c r="H9" s="216"/>
      <c r="AT9" s="359"/>
    </row>
    <row r="10" spans="1:46" x14ac:dyDescent="0.3">
      <c r="A10" s="175" t="s">
        <v>103</v>
      </c>
      <c r="B10" s="190"/>
      <c r="C10" s="191"/>
      <c r="D10" s="191"/>
      <c r="E10" s="191"/>
      <c r="F10" s="191"/>
      <c r="G10" s="191"/>
      <c r="H10" s="192"/>
      <c r="AT10" s="359"/>
    </row>
    <row r="11" spans="1:46" x14ac:dyDescent="0.3">
      <c r="A11" s="176" t="s">
        <v>104</v>
      </c>
      <c r="B11" s="193">
        <f xml:space="preserve">
IF($A$4&lt;=12,SUMIFS('ON Data'!F:F,'ON Data'!$D:$D,$A$4,'ON Data'!$E:$E,2),SUMIFS('ON Data'!F:F,'ON Data'!$E:$E,2))</f>
        <v>28466.25</v>
      </c>
      <c r="C11" s="194">
        <f xml:space="preserve">
IF($A$4&lt;=12,SUMIFS('ON Data'!O:O,'ON Data'!$D:$D,$A$4,'ON Data'!$E:$E,2),SUMIFS('ON Data'!O:O,'ON Data'!$E:$E,2))</f>
        <v>0</v>
      </c>
      <c r="D11" s="194">
        <f xml:space="preserve">
IF($A$4&lt;=12,SUMIFS('ON Data'!P:P,'ON Data'!$D:$D,$A$4,'ON Data'!$E:$E,2),SUMIFS('ON Data'!P:P,'ON Data'!$E:$E,2))</f>
        <v>11702.5</v>
      </c>
      <c r="E11" s="194">
        <f xml:space="preserve">
IF($A$4&lt;=12,SUMIFS('ON Data'!Q:Q,'ON Data'!$D:$D,$A$4,'ON Data'!$E:$E,2),SUMIFS('ON Data'!Q:Q,'ON Data'!$E:$E,2))</f>
        <v>1673.25</v>
      </c>
      <c r="F11" s="194">
        <f xml:space="preserve">
IF($A$4&lt;=12,SUMIFS('ON Data'!AM:AM,'ON Data'!$D:$D,$A$4,'ON Data'!$E:$E,2),SUMIFS('ON Data'!AM:AM,'ON Data'!$E:$E,2))</f>
        <v>3981.5</v>
      </c>
      <c r="G11" s="194">
        <f xml:space="preserve">
IF($A$4&lt;=12,SUMIFS('ON Data'!AR:AR,'ON Data'!$D:$D,$A$4,'ON Data'!$E:$E,2),SUMIFS('ON Data'!AR:AR,'ON Data'!$E:$E,2))</f>
        <v>11109</v>
      </c>
      <c r="H11" s="195">
        <f xml:space="preserve">
IF($A$4&lt;=12,SUMIFS('ON Data'!AW:AW,'ON Data'!$D:$D,$A$4,'ON Data'!$E:$E,2),SUMIFS('ON Data'!AW:AW,'ON Data'!$E:$E,2))</f>
        <v>0</v>
      </c>
      <c r="AT11" s="359"/>
    </row>
    <row r="12" spans="1:46" x14ac:dyDescent="0.3">
      <c r="A12" s="176" t="s">
        <v>105</v>
      </c>
      <c r="B12" s="193">
        <f xml:space="preserve">
IF($A$4&lt;=12,SUMIFS('ON Data'!F:F,'ON Data'!$D:$D,$A$4,'ON Data'!$E:$E,3),SUMIFS('ON Data'!F:F,'ON Data'!$E:$E,3))</f>
        <v>0</v>
      </c>
      <c r="C12" s="194">
        <f xml:space="preserve">
IF($A$4&lt;=12,SUMIFS('ON Data'!O:O,'ON Data'!$D:$D,$A$4,'ON Data'!$E:$E,3),SUMIFS('ON Data'!O:O,'ON Data'!$E:$E,3))</f>
        <v>0</v>
      </c>
      <c r="D12" s="194">
        <f xml:space="preserve">
IF($A$4&lt;=12,SUMIFS('ON Data'!P:P,'ON Data'!$D:$D,$A$4,'ON Data'!$E:$E,3),SUMIFS('ON Data'!P:P,'ON Data'!$E:$E,3))</f>
        <v>0</v>
      </c>
      <c r="E12" s="194">
        <f xml:space="preserve">
IF($A$4&lt;=12,SUMIFS('ON Data'!Q:Q,'ON Data'!$D:$D,$A$4,'ON Data'!$E:$E,3),SUMIFS('ON Data'!Q:Q,'ON Data'!$E:$E,3))</f>
        <v>0</v>
      </c>
      <c r="F12" s="194">
        <f xml:space="preserve">
IF($A$4&lt;=12,SUMIFS('ON Data'!AM:AM,'ON Data'!$D:$D,$A$4,'ON Data'!$E:$E,3),SUMIFS('ON Data'!AM:AM,'ON Data'!$E:$E,3))</f>
        <v>0</v>
      </c>
      <c r="G12" s="194">
        <f xml:space="preserve">
IF($A$4&lt;=12,SUMIFS('ON Data'!AR:AR,'ON Data'!$D:$D,$A$4,'ON Data'!$E:$E,3),SUMIFS('ON Data'!AR:AR,'ON Data'!$E:$E,3))</f>
        <v>0</v>
      </c>
      <c r="H12" s="195">
        <f xml:space="preserve">
IF($A$4&lt;=12,SUMIFS('ON Data'!AW:AW,'ON Data'!$D:$D,$A$4,'ON Data'!$E:$E,3),SUMIFS('ON Data'!AW:AW,'ON Data'!$E:$E,3))</f>
        <v>0</v>
      </c>
      <c r="AT12" s="359"/>
    </row>
    <row r="13" spans="1:46" x14ac:dyDescent="0.3">
      <c r="A13" s="176" t="s">
        <v>112</v>
      </c>
      <c r="B13" s="193">
        <f xml:space="preserve">
IF($A$4&lt;=12,SUMIFS('ON Data'!F:F,'ON Data'!$D:$D,$A$4,'ON Data'!$E:$E,4),SUMIFS('ON Data'!F:F,'ON Data'!$E:$E,4))</f>
        <v>0</v>
      </c>
      <c r="C13" s="194">
        <f xml:space="preserve">
IF($A$4&lt;=12,SUMIFS('ON Data'!O:O,'ON Data'!$D:$D,$A$4,'ON Data'!$E:$E,4),SUMIFS('ON Data'!O:O,'ON Data'!$E:$E,4))</f>
        <v>0</v>
      </c>
      <c r="D13" s="194">
        <f xml:space="preserve">
IF($A$4&lt;=12,SUMIFS('ON Data'!P:P,'ON Data'!$D:$D,$A$4,'ON Data'!$E:$E,4),SUMIFS('ON Data'!P:P,'ON Data'!$E:$E,4))</f>
        <v>0</v>
      </c>
      <c r="E13" s="194">
        <f xml:space="preserve">
IF($A$4&lt;=12,SUMIFS('ON Data'!Q:Q,'ON Data'!$D:$D,$A$4,'ON Data'!$E:$E,4),SUMIFS('ON Data'!Q:Q,'ON Data'!$E:$E,4))</f>
        <v>0</v>
      </c>
      <c r="F13" s="194">
        <f xml:space="preserve">
IF($A$4&lt;=12,SUMIFS('ON Data'!AM:AM,'ON Data'!$D:$D,$A$4,'ON Data'!$E:$E,4),SUMIFS('ON Data'!AM:AM,'ON Data'!$E:$E,4))</f>
        <v>0</v>
      </c>
      <c r="G13" s="194">
        <f xml:space="preserve">
IF($A$4&lt;=12,SUMIFS('ON Data'!AR:AR,'ON Data'!$D:$D,$A$4,'ON Data'!$E:$E,4),SUMIFS('ON Data'!AR:AR,'ON Data'!$E:$E,4))</f>
        <v>0</v>
      </c>
      <c r="H13" s="195">
        <f xml:space="preserve">
IF($A$4&lt;=12,SUMIFS('ON Data'!AW:AW,'ON Data'!$D:$D,$A$4,'ON Data'!$E:$E,4),SUMIFS('ON Data'!AW:AW,'ON Data'!$E:$E,4))</f>
        <v>0</v>
      </c>
      <c r="AT13" s="359"/>
    </row>
    <row r="14" spans="1:46" ht="15" thickBot="1" x14ac:dyDescent="0.35">
      <c r="A14" s="177" t="s">
        <v>106</v>
      </c>
      <c r="B14" s="196">
        <f xml:space="preserve">
IF($A$4&lt;=12,SUMIFS('ON Data'!F:F,'ON Data'!$D:$D,$A$4,'ON Data'!$E:$E,5),SUMIFS('ON Data'!F:F,'ON Data'!$E:$E,5))</f>
        <v>0</v>
      </c>
      <c r="C14" s="197">
        <f xml:space="preserve">
IF($A$4&lt;=12,SUMIFS('ON Data'!O:O,'ON Data'!$D:$D,$A$4,'ON Data'!$E:$E,5),SUMIFS('ON Data'!O:O,'ON Data'!$E:$E,5))</f>
        <v>0</v>
      </c>
      <c r="D14" s="197">
        <f xml:space="preserve">
IF($A$4&lt;=12,SUMIFS('ON Data'!P:P,'ON Data'!$D:$D,$A$4,'ON Data'!$E:$E,5),SUMIFS('ON Data'!P:P,'ON Data'!$E:$E,5))</f>
        <v>0</v>
      </c>
      <c r="E14" s="197">
        <f xml:space="preserve">
IF($A$4&lt;=12,SUMIFS('ON Data'!Q:Q,'ON Data'!$D:$D,$A$4,'ON Data'!$E:$E,5),SUMIFS('ON Data'!Q:Q,'ON Data'!$E:$E,5))</f>
        <v>0</v>
      </c>
      <c r="F14" s="197">
        <f xml:space="preserve">
IF($A$4&lt;=12,SUMIFS('ON Data'!AM:AM,'ON Data'!$D:$D,$A$4,'ON Data'!$E:$E,5),SUMIFS('ON Data'!AM:AM,'ON Data'!$E:$E,5))</f>
        <v>0</v>
      </c>
      <c r="G14" s="197">
        <f xml:space="preserve">
IF($A$4&lt;=12,SUMIFS('ON Data'!AR:AR,'ON Data'!$D:$D,$A$4,'ON Data'!$E:$E,5),SUMIFS('ON Data'!AR:AR,'ON Data'!$E:$E,5))</f>
        <v>0</v>
      </c>
      <c r="H14" s="198">
        <f xml:space="preserve">
IF($A$4&lt;=12,SUMIFS('ON Data'!AW:AW,'ON Data'!$D:$D,$A$4,'ON Data'!$E:$E,5),SUMIFS('ON Data'!AW:AW,'ON Data'!$E:$E,5))</f>
        <v>0</v>
      </c>
      <c r="AT14" s="359"/>
    </row>
    <row r="15" spans="1:46" x14ac:dyDescent="0.3">
      <c r="A15" s="118" t="s">
        <v>116</v>
      </c>
      <c r="B15" s="199"/>
      <c r="C15" s="200"/>
      <c r="D15" s="200"/>
      <c r="E15" s="200"/>
      <c r="F15" s="200"/>
      <c r="G15" s="200"/>
      <c r="H15" s="201"/>
      <c r="AT15" s="359"/>
    </row>
    <row r="16" spans="1:46" x14ac:dyDescent="0.3">
      <c r="A16" s="178" t="s">
        <v>107</v>
      </c>
      <c r="B16" s="193">
        <f xml:space="preserve">
IF($A$4&lt;=12,SUMIFS('ON Data'!F:F,'ON Data'!$D:$D,$A$4,'ON Data'!$E:$E,7),SUMIFS('ON Data'!F:F,'ON Data'!$E:$E,7))</f>
        <v>0</v>
      </c>
      <c r="C16" s="194">
        <f xml:space="preserve">
IF($A$4&lt;=12,SUMIFS('ON Data'!O:O,'ON Data'!$D:$D,$A$4,'ON Data'!$E:$E,7),SUMIFS('ON Data'!O:O,'ON Data'!$E:$E,7))</f>
        <v>0</v>
      </c>
      <c r="D16" s="194">
        <f xml:space="preserve">
IF($A$4&lt;=12,SUMIFS('ON Data'!P:P,'ON Data'!$D:$D,$A$4,'ON Data'!$E:$E,7),SUMIFS('ON Data'!P:P,'ON Data'!$E:$E,7))</f>
        <v>0</v>
      </c>
      <c r="E16" s="194">
        <f xml:space="preserve">
IF($A$4&lt;=12,SUMIFS('ON Data'!Q:Q,'ON Data'!$D:$D,$A$4,'ON Data'!$E:$E,7),SUMIFS('ON Data'!Q:Q,'ON Data'!$E:$E,7))</f>
        <v>0</v>
      </c>
      <c r="F16" s="194">
        <f xml:space="preserve">
IF($A$4&lt;=12,SUMIFS('ON Data'!AM:AM,'ON Data'!$D:$D,$A$4,'ON Data'!$E:$E,7),SUMIFS('ON Data'!AM:AM,'ON Data'!$E:$E,7))</f>
        <v>0</v>
      </c>
      <c r="G16" s="194">
        <f xml:space="preserve">
IF($A$4&lt;=12,SUMIFS('ON Data'!AR:AR,'ON Data'!$D:$D,$A$4,'ON Data'!$E:$E,7),SUMIFS('ON Data'!AR:AR,'ON Data'!$E:$E,7))</f>
        <v>0</v>
      </c>
      <c r="H16" s="195">
        <f xml:space="preserve">
IF($A$4&lt;=12,SUMIFS('ON Data'!AW:AW,'ON Data'!$D:$D,$A$4,'ON Data'!$E:$E,7),SUMIFS('ON Data'!AW:AW,'ON Data'!$E:$E,7))</f>
        <v>0</v>
      </c>
      <c r="AT16" s="359"/>
    </row>
    <row r="17" spans="1:46" x14ac:dyDescent="0.3">
      <c r="A17" s="178" t="s">
        <v>108</v>
      </c>
      <c r="B17" s="193">
        <f xml:space="preserve">
IF($A$4&lt;=12,SUMIFS('ON Data'!F:F,'ON Data'!$D:$D,$A$4,'ON Data'!$E:$E,8),SUMIFS('ON Data'!F:F,'ON Data'!$E:$E,8))</f>
        <v>0</v>
      </c>
      <c r="C17" s="194">
        <f xml:space="preserve">
IF($A$4&lt;=12,SUMIFS('ON Data'!O:O,'ON Data'!$D:$D,$A$4,'ON Data'!$E:$E,8),SUMIFS('ON Data'!O:O,'ON Data'!$E:$E,8))</f>
        <v>0</v>
      </c>
      <c r="D17" s="194">
        <f xml:space="preserve">
IF($A$4&lt;=12,SUMIFS('ON Data'!P:P,'ON Data'!$D:$D,$A$4,'ON Data'!$E:$E,8),SUMIFS('ON Data'!P:P,'ON Data'!$E:$E,8))</f>
        <v>0</v>
      </c>
      <c r="E17" s="194">
        <f xml:space="preserve">
IF($A$4&lt;=12,SUMIFS('ON Data'!Q:Q,'ON Data'!$D:$D,$A$4,'ON Data'!$E:$E,8),SUMIFS('ON Data'!Q:Q,'ON Data'!$E:$E,8))</f>
        <v>0</v>
      </c>
      <c r="F17" s="194">
        <f xml:space="preserve">
IF($A$4&lt;=12,SUMIFS('ON Data'!AM:AM,'ON Data'!$D:$D,$A$4,'ON Data'!$E:$E,8),SUMIFS('ON Data'!AM:AM,'ON Data'!$E:$E,8))</f>
        <v>0</v>
      </c>
      <c r="G17" s="194">
        <f xml:space="preserve">
IF($A$4&lt;=12,SUMIFS('ON Data'!AR:AR,'ON Data'!$D:$D,$A$4,'ON Data'!$E:$E,8),SUMIFS('ON Data'!AR:AR,'ON Data'!$E:$E,8))</f>
        <v>0</v>
      </c>
      <c r="H17" s="195">
        <f xml:space="preserve">
IF($A$4&lt;=12,SUMIFS('ON Data'!AW:AW,'ON Data'!$D:$D,$A$4,'ON Data'!$E:$E,8),SUMIFS('ON Data'!AW:AW,'ON Data'!$E:$E,8))</f>
        <v>0</v>
      </c>
      <c r="AT17" s="359"/>
    </row>
    <row r="18" spans="1:46" x14ac:dyDescent="0.3">
      <c r="A18" s="178" t="s">
        <v>109</v>
      </c>
      <c r="B18" s="193">
        <f xml:space="preserve">
B19-B16-B17</f>
        <v>42400</v>
      </c>
      <c r="C18" s="194">
        <f t="shared" ref="C18:F18" si="0" xml:space="preserve">
C19-C16-C17</f>
        <v>0</v>
      </c>
      <c r="D18" s="194">
        <f t="shared" si="0"/>
        <v>28400</v>
      </c>
      <c r="E18" s="194">
        <f t="shared" si="0"/>
        <v>0</v>
      </c>
      <c r="F18" s="194">
        <f t="shared" si="0"/>
        <v>12000</v>
      </c>
      <c r="G18" s="194">
        <f t="shared" ref="G18:H18" si="1" xml:space="preserve">
G19-G16-G17</f>
        <v>2000</v>
      </c>
      <c r="H18" s="195">
        <f t="shared" si="1"/>
        <v>0</v>
      </c>
      <c r="AT18" s="359"/>
    </row>
    <row r="19" spans="1:46" ht="15" thickBot="1" x14ac:dyDescent="0.35">
      <c r="A19" s="179" t="s">
        <v>110</v>
      </c>
      <c r="B19" s="202">
        <f xml:space="preserve">
IF($A$4&lt;=12,SUMIFS('ON Data'!F:F,'ON Data'!$D:$D,$A$4,'ON Data'!$E:$E,9),SUMIFS('ON Data'!F:F,'ON Data'!$E:$E,9))</f>
        <v>42400</v>
      </c>
      <c r="C19" s="203">
        <f xml:space="preserve">
IF($A$4&lt;=12,SUMIFS('ON Data'!O:O,'ON Data'!$D:$D,$A$4,'ON Data'!$E:$E,9),SUMIFS('ON Data'!O:O,'ON Data'!$E:$E,9))</f>
        <v>0</v>
      </c>
      <c r="D19" s="203">
        <f xml:space="preserve">
IF($A$4&lt;=12,SUMIFS('ON Data'!P:P,'ON Data'!$D:$D,$A$4,'ON Data'!$E:$E,9),SUMIFS('ON Data'!P:P,'ON Data'!$E:$E,9))</f>
        <v>28400</v>
      </c>
      <c r="E19" s="203">
        <f xml:space="preserve">
IF($A$4&lt;=12,SUMIFS('ON Data'!Q:Q,'ON Data'!$D:$D,$A$4,'ON Data'!$E:$E,9),SUMIFS('ON Data'!Q:Q,'ON Data'!$E:$E,9))</f>
        <v>0</v>
      </c>
      <c r="F19" s="203">
        <f xml:space="preserve">
IF($A$4&lt;=12,SUMIFS('ON Data'!AM:AM,'ON Data'!$D:$D,$A$4,'ON Data'!$E:$E,9),SUMIFS('ON Data'!AM:AM,'ON Data'!$E:$E,9))</f>
        <v>12000</v>
      </c>
      <c r="G19" s="203">
        <f xml:space="preserve">
IF($A$4&lt;=12,SUMIFS('ON Data'!AR:AR,'ON Data'!$D:$D,$A$4,'ON Data'!$E:$E,9),SUMIFS('ON Data'!AR:AR,'ON Data'!$E:$E,9))</f>
        <v>2000</v>
      </c>
      <c r="H19" s="204">
        <f xml:space="preserve">
IF($A$4&lt;=12,SUMIFS('ON Data'!AW:AW,'ON Data'!$D:$D,$A$4,'ON Data'!$E:$E,9),SUMIFS('ON Data'!AW:AW,'ON Data'!$E:$E,9))</f>
        <v>0</v>
      </c>
      <c r="AT19" s="359"/>
    </row>
    <row r="20" spans="1:46" ht="15" collapsed="1" thickBot="1" x14ac:dyDescent="0.35">
      <c r="A20" s="180" t="s">
        <v>49</v>
      </c>
      <c r="B20" s="205">
        <f xml:space="preserve">
IF($A$4&lt;=12,SUMIFS('ON Data'!F:F,'ON Data'!$D:$D,$A$4,'ON Data'!$E:$E,6),SUMIFS('ON Data'!F:F,'ON Data'!$E:$E,6))</f>
        <v>4433347</v>
      </c>
      <c r="C20" s="206">
        <f xml:space="preserve">
IF($A$4&lt;=12,SUMIFS('ON Data'!O:O,'ON Data'!$D:$D,$A$4,'ON Data'!$E:$E,6),SUMIFS('ON Data'!O:O,'ON Data'!$E:$E,6))</f>
        <v>0</v>
      </c>
      <c r="D20" s="206">
        <f xml:space="preserve">
IF($A$4&lt;=12,SUMIFS('ON Data'!P:P,'ON Data'!$D:$D,$A$4,'ON Data'!$E:$E,6),SUMIFS('ON Data'!P:P,'ON Data'!$E:$E,6))</f>
        <v>2233856</v>
      </c>
      <c r="E20" s="206">
        <f xml:space="preserve">
IF($A$4&lt;=12,SUMIFS('ON Data'!Q:Q,'ON Data'!$D:$D,$A$4,'ON Data'!$E:$E,6),SUMIFS('ON Data'!Q:Q,'ON Data'!$E:$E,6))</f>
        <v>407857</v>
      </c>
      <c r="F20" s="206">
        <f xml:space="preserve">
IF($A$4&lt;=12,SUMIFS('ON Data'!AM:AM,'ON Data'!$D:$D,$A$4,'ON Data'!$E:$E,6),SUMIFS('ON Data'!AM:AM,'ON Data'!$E:$E,6))</f>
        <v>540301</v>
      </c>
      <c r="G20" s="206">
        <f xml:space="preserve">
IF($A$4&lt;=12,SUMIFS('ON Data'!AR:AR,'ON Data'!$D:$D,$A$4,'ON Data'!$E:$E,6),SUMIFS('ON Data'!AR:AR,'ON Data'!$E:$E,6))</f>
        <v>1251333</v>
      </c>
      <c r="H20" s="207">
        <f xml:space="preserve">
IF($A$4&lt;=12,SUMIFS('ON Data'!AW:AW,'ON Data'!$D:$D,$A$4,'ON Data'!$E:$E,6),SUMIFS('ON Data'!AW:AW,'ON Data'!$E:$E,6))</f>
        <v>0</v>
      </c>
      <c r="AT20" s="359"/>
    </row>
    <row r="21" spans="1:46" ht="15" hidden="1" outlineLevel="1" thickBot="1" x14ac:dyDescent="0.35">
      <c r="A21" s="173" t="s">
        <v>56</v>
      </c>
      <c r="B21" s="193">
        <f xml:space="preserve">
IF($A$4&lt;=12,SUMIFS('ON Data'!F:F,'ON Data'!$D:$D,$A$4,'ON Data'!$E:$E,12),SUMIFS('ON Data'!F:F,'ON Data'!$E:$E,12))</f>
        <v>0</v>
      </c>
      <c r="C21" s="194">
        <f xml:space="preserve">
IF($A$4&lt;=12,SUMIFS('ON Data'!O:O,'ON Data'!$D:$D,$A$4,'ON Data'!$E:$E,12),SUMIFS('ON Data'!O:O,'ON Data'!$E:$E,12))</f>
        <v>0</v>
      </c>
      <c r="D21" s="194">
        <f xml:space="preserve">
IF($A$4&lt;=12,SUMIFS('ON Data'!P:P,'ON Data'!$D:$D,$A$4,'ON Data'!$E:$E,12),SUMIFS('ON Data'!P:P,'ON Data'!$E:$E,12))</f>
        <v>0</v>
      </c>
      <c r="E21" s="194">
        <f xml:space="preserve">
IF($A$4&lt;=12,SUMIFS('ON Data'!Q:Q,'ON Data'!$D:$D,$A$4,'ON Data'!$E:$E,12),SUMIFS('ON Data'!Q:Q,'ON Data'!$E:$E,12))</f>
        <v>0</v>
      </c>
      <c r="F21" s="194">
        <f xml:space="preserve">
IF($A$4&lt;=12,SUMIFS('ON Data'!AM:AM,'ON Data'!$D:$D,$A$4,'ON Data'!$E:$E,12),SUMIFS('ON Data'!AM:AM,'ON Data'!$E:$E,12))</f>
        <v>0</v>
      </c>
      <c r="AT21" s="359"/>
    </row>
    <row r="22" spans="1:46" ht="15" hidden="1" outlineLevel="1" thickBot="1" x14ac:dyDescent="0.35">
      <c r="A22" s="173" t="s">
        <v>51</v>
      </c>
      <c r="B22" s="244" t="str">
        <f xml:space="preserve">
IF(OR(B21="",B21=0),"",B20/B21)</f>
        <v/>
      </c>
      <c r="C22" s="245" t="str">
        <f t="shared" ref="C22:F22" si="2" xml:space="preserve">
IF(OR(C21="",C21=0),"",C20/C21)</f>
        <v/>
      </c>
      <c r="D22" s="245" t="str">
        <f t="shared" si="2"/>
        <v/>
      </c>
      <c r="E22" s="245" t="str">
        <f t="shared" si="2"/>
        <v/>
      </c>
      <c r="F22" s="245" t="str">
        <f t="shared" si="2"/>
        <v/>
      </c>
      <c r="AT22" s="359"/>
    </row>
    <row r="23" spans="1:46" ht="15" hidden="1" outlineLevel="1" thickBot="1" x14ac:dyDescent="0.35">
      <c r="A23" s="181" t="s">
        <v>46</v>
      </c>
      <c r="B23" s="196">
        <f xml:space="preserve">
IF(B21="","",B20-B21)</f>
        <v>4433347</v>
      </c>
      <c r="C23" s="197">
        <f t="shared" ref="C23:F23" si="3" xml:space="preserve">
IF(C21="","",C20-C21)</f>
        <v>0</v>
      </c>
      <c r="D23" s="197">
        <f t="shared" si="3"/>
        <v>2233856</v>
      </c>
      <c r="E23" s="197">
        <f t="shared" si="3"/>
        <v>407857</v>
      </c>
      <c r="F23" s="197">
        <f t="shared" si="3"/>
        <v>540301</v>
      </c>
      <c r="AT23" s="359"/>
    </row>
    <row r="24" spans="1:46" x14ac:dyDescent="0.3">
      <c r="A24" s="175" t="s">
        <v>111</v>
      </c>
      <c r="B24" s="221" t="s">
        <v>2</v>
      </c>
      <c r="C24" s="360" t="s">
        <v>122</v>
      </c>
      <c r="D24" s="345"/>
      <c r="E24" s="346"/>
      <c r="F24" s="346"/>
      <c r="G24" s="346"/>
      <c r="H24" s="347" t="s">
        <v>123</v>
      </c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/>
      <c r="AF24" s="348"/>
      <c r="AG24" s="348"/>
      <c r="AH24" s="348"/>
      <c r="AI24" s="348"/>
      <c r="AJ24" s="348"/>
      <c r="AK24" s="348"/>
      <c r="AL24" s="348"/>
      <c r="AM24" s="348"/>
      <c r="AN24" s="348"/>
      <c r="AO24" s="348"/>
      <c r="AP24" s="348"/>
      <c r="AQ24" s="348"/>
      <c r="AR24" s="348"/>
      <c r="AS24" s="358"/>
      <c r="AT24" s="359"/>
    </row>
    <row r="25" spans="1:46" x14ac:dyDescent="0.3">
      <c r="A25" s="176" t="s">
        <v>49</v>
      </c>
      <c r="B25" s="193">
        <f xml:space="preserve">
SUM(C25:H25)</f>
        <v>0</v>
      </c>
      <c r="C25" s="361">
        <f xml:space="preserve">
IF($A$4&lt;=12,SUMIFS('ON Data'!O:O,'ON Data'!$D:$D,$A$4,'ON Data'!$E:$E,10),SUMIFS('ON Data'!O:O,'ON Data'!$E:$E,10))</f>
        <v>0</v>
      </c>
      <c r="D25" s="349"/>
      <c r="E25" s="350"/>
      <c r="F25" s="350"/>
      <c r="G25" s="350"/>
      <c r="H25" s="351">
        <f xml:space="preserve">
IF($A$4&lt;=12,SUMIFS('ON Data'!AW:AW,'ON Data'!$D:$D,$A$4,'ON Data'!$E:$E,10),SUMIFS('ON Data'!AW:AW,'ON Data'!$E:$E,10))</f>
        <v>0</v>
      </c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  <c r="AL25" s="348"/>
      <c r="AM25" s="348"/>
      <c r="AN25" s="348"/>
      <c r="AO25" s="348"/>
      <c r="AP25" s="348"/>
      <c r="AQ25" s="348"/>
      <c r="AR25" s="348"/>
      <c r="AS25" s="358"/>
      <c r="AT25" s="359"/>
    </row>
    <row r="26" spans="1:46" x14ac:dyDescent="0.3">
      <c r="A26" s="182" t="s">
        <v>121</v>
      </c>
      <c r="B26" s="202">
        <f xml:space="preserve">
SUM(C26:H26)</f>
        <v>0</v>
      </c>
      <c r="C26" s="362">
        <f xml:space="preserve">
IF($A$4&lt;=12,SUMIFS('ON Data'!O:O,'ON Data'!$D:$D,$A$4,'ON Data'!$E:$E,11),SUMIFS('ON Data'!O:O,'ON Data'!$E:$E,11))</f>
        <v>0</v>
      </c>
      <c r="D26" s="352"/>
      <c r="E26" s="353"/>
      <c r="F26" s="353"/>
      <c r="G26" s="353"/>
      <c r="H26" s="351">
        <f xml:space="preserve">
IF($A$4&lt;=12,SUMIFS('ON Data'!AW:AW,'ON Data'!$D:$D,$A$4,'ON Data'!$E:$E,11),SUMIFS('ON Data'!AW:AW,'ON Data'!$E:$E,11))</f>
        <v>0</v>
      </c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  <c r="AI26" s="348"/>
      <c r="AJ26" s="348"/>
      <c r="AK26" s="348"/>
      <c r="AL26" s="348"/>
      <c r="AM26" s="348"/>
      <c r="AN26" s="348"/>
      <c r="AO26" s="348"/>
      <c r="AP26" s="348"/>
      <c r="AQ26" s="348"/>
      <c r="AR26" s="348"/>
      <c r="AS26" s="358"/>
      <c r="AT26" s="359"/>
    </row>
    <row r="27" spans="1:46" x14ac:dyDescent="0.3">
      <c r="A27" s="182" t="s">
        <v>51</v>
      </c>
      <c r="B27" s="222">
        <f xml:space="preserve">
IF(B26=0,0,B25/B26)</f>
        <v>0</v>
      </c>
      <c r="C27" s="363">
        <f xml:space="preserve">
IF(C26=0,0,C25/C26)</f>
        <v>0</v>
      </c>
      <c r="D27" s="349"/>
      <c r="E27" s="350"/>
      <c r="F27" s="350"/>
      <c r="G27" s="350"/>
      <c r="H27" s="354">
        <f xml:space="preserve">
IF(H26=0,0,H25/H26)</f>
        <v>0</v>
      </c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58"/>
      <c r="AT27" s="359"/>
    </row>
    <row r="28" spans="1:46" ht="15" thickBot="1" x14ac:dyDescent="0.35">
      <c r="A28" s="182" t="s">
        <v>120</v>
      </c>
      <c r="B28" s="202">
        <f xml:space="preserve">
SUM(C28:H28)</f>
        <v>0</v>
      </c>
      <c r="C28" s="364">
        <f xml:space="preserve">
C26-C25</f>
        <v>0</v>
      </c>
      <c r="D28" s="355"/>
      <c r="E28" s="356"/>
      <c r="F28" s="356"/>
      <c r="G28" s="356"/>
      <c r="H28" s="357">
        <f xml:space="preserve">
H26-H25</f>
        <v>0</v>
      </c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  <c r="AS28" s="358"/>
      <c r="AT28" s="359"/>
    </row>
    <row r="29" spans="1:46" x14ac:dyDescent="0.3">
      <c r="A29" s="183"/>
      <c r="B29" s="183"/>
      <c r="C29" s="184"/>
      <c r="D29" s="184"/>
      <c r="E29" s="184"/>
      <c r="F29" s="183"/>
    </row>
    <row r="30" spans="1:46" x14ac:dyDescent="0.3">
      <c r="A30" s="73" t="s">
        <v>83</v>
      </c>
      <c r="B30" s="90"/>
      <c r="C30" s="90"/>
      <c r="D30" s="90"/>
      <c r="E30" s="90"/>
      <c r="F30" s="106"/>
    </row>
    <row r="31" spans="1:46" x14ac:dyDescent="0.3">
      <c r="A31" s="74" t="s">
        <v>118</v>
      </c>
      <c r="B31" s="90"/>
      <c r="C31" s="90"/>
      <c r="D31" s="90"/>
      <c r="E31" s="90"/>
      <c r="F31" s="106"/>
    </row>
    <row r="32" spans="1:46" ht="14.4" customHeight="1" x14ac:dyDescent="0.3">
      <c r="A32" s="218" t="s">
        <v>115</v>
      </c>
      <c r="B32" s="219"/>
      <c r="C32" s="219"/>
      <c r="D32" s="219"/>
      <c r="E32" s="219"/>
    </row>
    <row r="33" spans="1:1" x14ac:dyDescent="0.3">
      <c r="A33" s="220" t="s">
        <v>143</v>
      </c>
    </row>
    <row r="34" spans="1:1" x14ac:dyDescent="0.3">
      <c r="A34" s="220" t="s">
        <v>144</v>
      </c>
    </row>
    <row r="35" spans="1:1" x14ac:dyDescent="0.3">
      <c r="A35" s="220" t="s">
        <v>145</v>
      </c>
    </row>
    <row r="36" spans="1:1" x14ac:dyDescent="0.3">
      <c r="A36" s="220" t="s">
        <v>124</v>
      </c>
    </row>
  </sheetData>
  <mergeCells count="7">
    <mergeCell ref="B3:B4"/>
    <mergeCell ref="A1:H1"/>
    <mergeCell ref="C27:G27"/>
    <mergeCell ref="C28:G28"/>
    <mergeCell ref="C24:G24"/>
    <mergeCell ref="C25:G25"/>
    <mergeCell ref="C26:G26"/>
  </mergeCells>
  <conditionalFormatting sqref="B22:F22">
    <cfRule type="cellIs" dxfId="5" priority="6" operator="greaterThan">
      <formula>1</formula>
    </cfRule>
  </conditionalFormatting>
  <conditionalFormatting sqref="B23:F23">
    <cfRule type="cellIs" dxfId="4" priority="5" operator="greaterThan">
      <formula>0</formula>
    </cfRule>
  </conditionalFormatting>
  <conditionalFormatting sqref="H27">
    <cfRule type="cellIs" dxfId="3" priority="4" operator="greaterThan">
      <formula>1</formula>
    </cfRule>
  </conditionalFormatting>
  <conditionalFormatting sqref="H28">
    <cfRule type="cellIs" dxfId="2" priority="3" operator="lessThan">
      <formula>0</formula>
    </cfRule>
  </conditionalFormatting>
  <conditionalFormatting sqref="C28">
    <cfRule type="cellIs" dxfId="1" priority="1" operator="lessThan">
      <formula>0</formula>
    </cfRule>
  </conditionalFormatting>
  <conditionalFormatting sqref="C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6"/>
  <sheetViews>
    <sheetView showGridLines="0" showRowColHeaders="0" workbookViewId="0"/>
  </sheetViews>
  <sheetFormatPr defaultRowHeight="14.4" x14ac:dyDescent="0.3"/>
  <cols>
    <col min="1" max="16384" width="8.88671875" style="162"/>
  </cols>
  <sheetData>
    <row r="1" spans="1:49" x14ac:dyDescent="0.3">
      <c r="A1" s="162" t="s">
        <v>214</v>
      </c>
    </row>
    <row r="2" spans="1:49" x14ac:dyDescent="0.3">
      <c r="A2" s="166" t="s">
        <v>160</v>
      </c>
    </row>
    <row r="3" spans="1:49" x14ac:dyDescent="0.3">
      <c r="A3" s="162" t="s">
        <v>88</v>
      </c>
      <c r="B3" s="187">
        <v>2016</v>
      </c>
      <c r="D3" s="163">
        <f>MAX(D5:D1048576)</f>
        <v>6</v>
      </c>
      <c r="F3" s="163">
        <f>SUMIF($E5:$E1048576,"&lt;10",F5:F1048576)</f>
        <v>4504403.75</v>
      </c>
      <c r="G3" s="163">
        <f t="shared" ref="G3:AW3" si="0">SUMIF($E5:$E1048576,"&lt;10",G5:G1048576)</f>
        <v>0</v>
      </c>
      <c r="H3" s="163">
        <f t="shared" si="0"/>
        <v>0</v>
      </c>
      <c r="I3" s="163">
        <f t="shared" si="0"/>
        <v>0</v>
      </c>
      <c r="J3" s="163">
        <f t="shared" si="0"/>
        <v>0</v>
      </c>
      <c r="K3" s="163">
        <f t="shared" si="0"/>
        <v>0</v>
      </c>
      <c r="L3" s="163">
        <f t="shared" si="0"/>
        <v>0</v>
      </c>
      <c r="M3" s="163">
        <f t="shared" si="0"/>
        <v>0</v>
      </c>
      <c r="N3" s="163">
        <f t="shared" si="0"/>
        <v>0</v>
      </c>
      <c r="O3" s="163">
        <f t="shared" si="0"/>
        <v>0</v>
      </c>
      <c r="P3" s="163">
        <f t="shared" si="0"/>
        <v>2274038</v>
      </c>
      <c r="Q3" s="163">
        <f t="shared" si="0"/>
        <v>409542.25</v>
      </c>
      <c r="R3" s="163">
        <f t="shared" si="0"/>
        <v>0</v>
      </c>
      <c r="S3" s="163">
        <f t="shared" si="0"/>
        <v>0</v>
      </c>
      <c r="T3" s="163">
        <f t="shared" si="0"/>
        <v>0</v>
      </c>
      <c r="U3" s="163">
        <f t="shared" si="0"/>
        <v>0</v>
      </c>
      <c r="V3" s="163">
        <f t="shared" si="0"/>
        <v>0</v>
      </c>
      <c r="W3" s="163">
        <f t="shared" si="0"/>
        <v>0</v>
      </c>
      <c r="X3" s="163">
        <f t="shared" si="0"/>
        <v>0</v>
      </c>
      <c r="Y3" s="163">
        <f t="shared" si="0"/>
        <v>0</v>
      </c>
      <c r="Z3" s="163">
        <f t="shared" si="0"/>
        <v>0</v>
      </c>
      <c r="AA3" s="163">
        <f t="shared" si="0"/>
        <v>0</v>
      </c>
      <c r="AB3" s="163">
        <f t="shared" si="0"/>
        <v>0</v>
      </c>
      <c r="AC3" s="163">
        <f t="shared" si="0"/>
        <v>0</v>
      </c>
      <c r="AD3" s="163">
        <f t="shared" si="0"/>
        <v>0</v>
      </c>
      <c r="AE3" s="163">
        <f t="shared" si="0"/>
        <v>0</v>
      </c>
      <c r="AF3" s="163">
        <f t="shared" si="0"/>
        <v>0</v>
      </c>
      <c r="AG3" s="163">
        <f t="shared" si="0"/>
        <v>0</v>
      </c>
      <c r="AH3" s="163">
        <f t="shared" si="0"/>
        <v>0</v>
      </c>
      <c r="AI3" s="163">
        <f t="shared" si="0"/>
        <v>0</v>
      </c>
      <c r="AJ3" s="163">
        <f t="shared" si="0"/>
        <v>0</v>
      </c>
      <c r="AK3" s="163">
        <f t="shared" si="0"/>
        <v>0</v>
      </c>
      <c r="AL3" s="163">
        <f t="shared" si="0"/>
        <v>0</v>
      </c>
      <c r="AM3" s="163">
        <f t="shared" si="0"/>
        <v>556309.5</v>
      </c>
      <c r="AN3" s="163">
        <f t="shared" si="0"/>
        <v>0</v>
      </c>
      <c r="AO3" s="163">
        <f t="shared" si="0"/>
        <v>0</v>
      </c>
      <c r="AP3" s="163">
        <f t="shared" si="0"/>
        <v>0</v>
      </c>
      <c r="AQ3" s="163">
        <f t="shared" si="0"/>
        <v>0</v>
      </c>
      <c r="AR3" s="163">
        <f t="shared" si="0"/>
        <v>1264514</v>
      </c>
      <c r="AS3" s="163">
        <f t="shared" si="0"/>
        <v>0</v>
      </c>
      <c r="AT3" s="163">
        <f t="shared" si="0"/>
        <v>0</v>
      </c>
      <c r="AU3" s="163">
        <f t="shared" si="0"/>
        <v>0</v>
      </c>
      <c r="AV3" s="163">
        <f t="shared" si="0"/>
        <v>0</v>
      </c>
      <c r="AW3" s="163">
        <f t="shared" si="0"/>
        <v>0</v>
      </c>
    </row>
    <row r="4" spans="1:49" x14ac:dyDescent="0.3">
      <c r="A4" s="162" t="s">
        <v>89</v>
      </c>
      <c r="B4" s="187">
        <v>1</v>
      </c>
      <c r="C4" s="164" t="s">
        <v>4</v>
      </c>
      <c r="D4" s="165" t="s">
        <v>45</v>
      </c>
      <c r="E4" s="165" t="s">
        <v>87</v>
      </c>
      <c r="F4" s="165" t="s">
        <v>2</v>
      </c>
      <c r="G4" s="165">
        <v>0</v>
      </c>
      <c r="H4" s="165">
        <v>25</v>
      </c>
      <c r="I4" s="165">
        <v>99</v>
      </c>
      <c r="J4" s="165">
        <v>100</v>
      </c>
      <c r="K4" s="165">
        <v>101</v>
      </c>
      <c r="L4" s="165">
        <v>102</v>
      </c>
      <c r="M4" s="165">
        <v>103</v>
      </c>
      <c r="N4" s="165">
        <v>203</v>
      </c>
      <c r="O4" s="165">
        <v>302</v>
      </c>
      <c r="P4" s="165">
        <v>303</v>
      </c>
      <c r="Q4" s="165">
        <v>304</v>
      </c>
      <c r="R4" s="165">
        <v>305</v>
      </c>
      <c r="S4" s="165">
        <v>306</v>
      </c>
      <c r="T4" s="165">
        <v>407</v>
      </c>
      <c r="U4" s="165">
        <v>408</v>
      </c>
      <c r="V4" s="165">
        <v>409</v>
      </c>
      <c r="W4" s="165">
        <v>410</v>
      </c>
      <c r="X4" s="165">
        <v>415</v>
      </c>
      <c r="Y4" s="165">
        <v>416</v>
      </c>
      <c r="Z4" s="165">
        <v>418</v>
      </c>
      <c r="AA4" s="165">
        <v>419</v>
      </c>
      <c r="AB4" s="165">
        <v>420</v>
      </c>
      <c r="AC4" s="165">
        <v>421</v>
      </c>
      <c r="AD4" s="165">
        <v>520</v>
      </c>
      <c r="AE4" s="165">
        <v>521</v>
      </c>
      <c r="AF4" s="165">
        <v>522</v>
      </c>
      <c r="AG4" s="165">
        <v>523</v>
      </c>
      <c r="AH4" s="165">
        <v>524</v>
      </c>
      <c r="AI4" s="165">
        <v>525</v>
      </c>
      <c r="AJ4" s="165">
        <v>526</v>
      </c>
      <c r="AK4" s="165">
        <v>527</v>
      </c>
      <c r="AL4" s="165">
        <v>528</v>
      </c>
      <c r="AM4" s="165">
        <v>629</v>
      </c>
      <c r="AN4" s="165">
        <v>630</v>
      </c>
      <c r="AO4" s="165">
        <v>636</v>
      </c>
      <c r="AP4" s="165">
        <v>637</v>
      </c>
      <c r="AQ4" s="165">
        <v>640</v>
      </c>
      <c r="AR4" s="165">
        <v>642</v>
      </c>
      <c r="AS4" s="165">
        <v>743</v>
      </c>
      <c r="AT4" s="165">
        <v>745</v>
      </c>
      <c r="AU4" s="165">
        <v>746</v>
      </c>
      <c r="AV4" s="165">
        <v>747</v>
      </c>
      <c r="AW4" s="165">
        <v>930</v>
      </c>
    </row>
    <row r="5" spans="1:49" x14ac:dyDescent="0.3">
      <c r="A5" s="162" t="s">
        <v>90</v>
      </c>
      <c r="B5" s="187">
        <v>2</v>
      </c>
      <c r="C5" s="162">
        <v>56</v>
      </c>
      <c r="D5" s="162">
        <v>1</v>
      </c>
      <c r="E5" s="162">
        <v>1</v>
      </c>
      <c r="F5" s="162">
        <v>32.25</v>
      </c>
      <c r="G5" s="162">
        <v>0</v>
      </c>
      <c r="H5" s="162">
        <v>0</v>
      </c>
      <c r="I5" s="162">
        <v>0</v>
      </c>
      <c r="J5" s="162">
        <v>0</v>
      </c>
      <c r="K5" s="162">
        <v>0</v>
      </c>
      <c r="L5" s="162">
        <v>0</v>
      </c>
      <c r="M5" s="162">
        <v>0</v>
      </c>
      <c r="N5" s="162">
        <v>0</v>
      </c>
      <c r="O5" s="162">
        <v>0</v>
      </c>
      <c r="P5" s="162">
        <v>15.25</v>
      </c>
      <c r="Q5" s="162">
        <v>0</v>
      </c>
      <c r="R5" s="162">
        <v>0</v>
      </c>
      <c r="S5" s="162">
        <v>0</v>
      </c>
      <c r="T5" s="162">
        <v>0</v>
      </c>
      <c r="U5" s="162">
        <v>0</v>
      </c>
      <c r="V5" s="162">
        <v>0</v>
      </c>
      <c r="W5" s="162">
        <v>0</v>
      </c>
      <c r="X5" s="162">
        <v>0</v>
      </c>
      <c r="Y5" s="162">
        <v>0</v>
      </c>
      <c r="Z5" s="162">
        <v>0</v>
      </c>
      <c r="AA5" s="162">
        <v>0</v>
      </c>
      <c r="AB5" s="162">
        <v>0</v>
      </c>
      <c r="AC5" s="162">
        <v>0</v>
      </c>
      <c r="AD5" s="162">
        <v>0</v>
      </c>
      <c r="AE5" s="162">
        <v>0</v>
      </c>
      <c r="AF5" s="162">
        <v>0</v>
      </c>
      <c r="AG5" s="162">
        <v>0</v>
      </c>
      <c r="AH5" s="162">
        <v>0</v>
      </c>
      <c r="AI5" s="162">
        <v>0</v>
      </c>
      <c r="AJ5" s="162">
        <v>0</v>
      </c>
      <c r="AK5" s="162">
        <v>0</v>
      </c>
      <c r="AL5" s="162">
        <v>0</v>
      </c>
      <c r="AM5" s="162">
        <v>5</v>
      </c>
      <c r="AN5" s="162">
        <v>0</v>
      </c>
      <c r="AO5" s="162">
        <v>0</v>
      </c>
      <c r="AP5" s="162">
        <v>0</v>
      </c>
      <c r="AQ5" s="162">
        <v>0</v>
      </c>
      <c r="AR5" s="162">
        <v>12</v>
      </c>
      <c r="AS5" s="162">
        <v>0</v>
      </c>
      <c r="AT5" s="162">
        <v>0</v>
      </c>
      <c r="AU5" s="162">
        <v>0</v>
      </c>
      <c r="AV5" s="162">
        <v>0</v>
      </c>
      <c r="AW5" s="162">
        <v>0</v>
      </c>
    </row>
    <row r="6" spans="1:49" x14ac:dyDescent="0.3">
      <c r="A6" s="162" t="s">
        <v>91</v>
      </c>
      <c r="B6" s="187">
        <v>3</v>
      </c>
      <c r="C6" s="162">
        <v>56</v>
      </c>
      <c r="D6" s="162">
        <v>1</v>
      </c>
      <c r="E6" s="162">
        <v>2</v>
      </c>
      <c r="F6" s="162">
        <v>4878</v>
      </c>
      <c r="G6" s="162">
        <v>0</v>
      </c>
      <c r="H6" s="162">
        <v>0</v>
      </c>
      <c r="I6" s="162">
        <v>0</v>
      </c>
      <c r="J6" s="162">
        <v>0</v>
      </c>
      <c r="K6" s="162">
        <v>0</v>
      </c>
      <c r="L6" s="162">
        <v>0</v>
      </c>
      <c r="M6" s="162">
        <v>0</v>
      </c>
      <c r="N6" s="162">
        <v>0</v>
      </c>
      <c r="O6" s="162">
        <v>0</v>
      </c>
      <c r="P6" s="162">
        <v>2241.25</v>
      </c>
      <c r="Q6" s="162">
        <v>0</v>
      </c>
      <c r="R6" s="162">
        <v>0</v>
      </c>
      <c r="S6" s="162">
        <v>0</v>
      </c>
      <c r="T6" s="162">
        <v>0</v>
      </c>
      <c r="U6" s="162">
        <v>0</v>
      </c>
      <c r="V6" s="162">
        <v>0</v>
      </c>
      <c r="W6" s="162">
        <v>0</v>
      </c>
      <c r="X6" s="162">
        <v>0</v>
      </c>
      <c r="Y6" s="162">
        <v>0</v>
      </c>
      <c r="Z6" s="162">
        <v>0</v>
      </c>
      <c r="AA6" s="162">
        <v>0</v>
      </c>
      <c r="AB6" s="162">
        <v>0</v>
      </c>
      <c r="AC6" s="162">
        <v>0</v>
      </c>
      <c r="AD6" s="162">
        <v>0</v>
      </c>
      <c r="AE6" s="162">
        <v>0</v>
      </c>
      <c r="AF6" s="162">
        <v>0</v>
      </c>
      <c r="AG6" s="162">
        <v>0</v>
      </c>
      <c r="AH6" s="162">
        <v>0</v>
      </c>
      <c r="AI6" s="162">
        <v>0</v>
      </c>
      <c r="AJ6" s="162">
        <v>0</v>
      </c>
      <c r="AK6" s="162">
        <v>0</v>
      </c>
      <c r="AL6" s="162">
        <v>0</v>
      </c>
      <c r="AM6" s="162">
        <v>739.5</v>
      </c>
      <c r="AN6" s="162">
        <v>0</v>
      </c>
      <c r="AO6" s="162">
        <v>0</v>
      </c>
      <c r="AP6" s="162">
        <v>0</v>
      </c>
      <c r="AQ6" s="162">
        <v>0</v>
      </c>
      <c r="AR6" s="162">
        <v>1897.25</v>
      </c>
      <c r="AS6" s="162">
        <v>0</v>
      </c>
      <c r="AT6" s="162">
        <v>0</v>
      </c>
      <c r="AU6" s="162">
        <v>0</v>
      </c>
      <c r="AV6" s="162">
        <v>0</v>
      </c>
      <c r="AW6" s="162">
        <v>0</v>
      </c>
    </row>
    <row r="7" spans="1:49" x14ac:dyDescent="0.3">
      <c r="A7" s="162" t="s">
        <v>92</v>
      </c>
      <c r="B7" s="187">
        <v>4</v>
      </c>
      <c r="C7" s="162">
        <v>56</v>
      </c>
      <c r="D7" s="162">
        <v>1</v>
      </c>
      <c r="E7" s="162">
        <v>6</v>
      </c>
      <c r="F7" s="162">
        <v>731577</v>
      </c>
      <c r="G7" s="162">
        <v>0</v>
      </c>
      <c r="H7" s="162">
        <v>0</v>
      </c>
      <c r="I7" s="162">
        <v>0</v>
      </c>
      <c r="J7" s="162">
        <v>0</v>
      </c>
      <c r="K7" s="162">
        <v>0</v>
      </c>
      <c r="L7" s="162">
        <v>0</v>
      </c>
      <c r="M7" s="162">
        <v>0</v>
      </c>
      <c r="N7" s="162">
        <v>0</v>
      </c>
      <c r="O7" s="162">
        <v>0</v>
      </c>
      <c r="P7" s="162">
        <v>431533</v>
      </c>
      <c r="Q7" s="162">
        <v>0</v>
      </c>
      <c r="R7" s="162">
        <v>0</v>
      </c>
      <c r="S7" s="162">
        <v>0</v>
      </c>
      <c r="T7" s="162">
        <v>0</v>
      </c>
      <c r="U7" s="162">
        <v>0</v>
      </c>
      <c r="V7" s="162">
        <v>0</v>
      </c>
      <c r="W7" s="162">
        <v>0</v>
      </c>
      <c r="X7" s="162">
        <v>0</v>
      </c>
      <c r="Y7" s="162">
        <v>0</v>
      </c>
      <c r="Z7" s="162">
        <v>0</v>
      </c>
      <c r="AA7" s="162">
        <v>0</v>
      </c>
      <c r="AB7" s="162">
        <v>0</v>
      </c>
      <c r="AC7" s="162">
        <v>0</v>
      </c>
      <c r="AD7" s="162">
        <v>0</v>
      </c>
      <c r="AE7" s="162">
        <v>0</v>
      </c>
      <c r="AF7" s="162">
        <v>0</v>
      </c>
      <c r="AG7" s="162">
        <v>0</v>
      </c>
      <c r="AH7" s="162">
        <v>0</v>
      </c>
      <c r="AI7" s="162">
        <v>0</v>
      </c>
      <c r="AJ7" s="162">
        <v>0</v>
      </c>
      <c r="AK7" s="162">
        <v>0</v>
      </c>
      <c r="AL7" s="162">
        <v>0</v>
      </c>
      <c r="AM7" s="162">
        <v>93371</v>
      </c>
      <c r="AN7" s="162">
        <v>0</v>
      </c>
      <c r="AO7" s="162">
        <v>0</v>
      </c>
      <c r="AP7" s="162">
        <v>0</v>
      </c>
      <c r="AQ7" s="162">
        <v>0</v>
      </c>
      <c r="AR7" s="162">
        <v>206673</v>
      </c>
      <c r="AS7" s="162">
        <v>0</v>
      </c>
      <c r="AT7" s="162">
        <v>0</v>
      </c>
      <c r="AU7" s="162">
        <v>0</v>
      </c>
      <c r="AV7" s="162">
        <v>0</v>
      </c>
      <c r="AW7" s="162">
        <v>0</v>
      </c>
    </row>
    <row r="8" spans="1:49" x14ac:dyDescent="0.3">
      <c r="A8" s="162" t="s">
        <v>93</v>
      </c>
      <c r="B8" s="187">
        <v>5</v>
      </c>
      <c r="C8" s="162">
        <v>56</v>
      </c>
      <c r="D8" s="162">
        <v>1</v>
      </c>
      <c r="E8" s="162">
        <v>9</v>
      </c>
      <c r="F8" s="162">
        <v>10600</v>
      </c>
      <c r="G8" s="162">
        <v>0</v>
      </c>
      <c r="H8" s="162">
        <v>0</v>
      </c>
      <c r="I8" s="162">
        <v>0</v>
      </c>
      <c r="J8" s="162">
        <v>0</v>
      </c>
      <c r="K8" s="162">
        <v>0</v>
      </c>
      <c r="L8" s="162">
        <v>0</v>
      </c>
      <c r="M8" s="162">
        <v>0</v>
      </c>
      <c r="N8" s="162">
        <v>0</v>
      </c>
      <c r="O8" s="162">
        <v>0</v>
      </c>
      <c r="P8" s="162">
        <v>5600</v>
      </c>
      <c r="Q8" s="162">
        <v>0</v>
      </c>
      <c r="R8" s="162">
        <v>0</v>
      </c>
      <c r="S8" s="162">
        <v>0</v>
      </c>
      <c r="T8" s="162">
        <v>0</v>
      </c>
      <c r="U8" s="162">
        <v>0</v>
      </c>
      <c r="V8" s="162">
        <v>0</v>
      </c>
      <c r="W8" s="162">
        <v>0</v>
      </c>
      <c r="X8" s="162">
        <v>0</v>
      </c>
      <c r="Y8" s="162">
        <v>0</v>
      </c>
      <c r="Z8" s="162">
        <v>0</v>
      </c>
      <c r="AA8" s="162">
        <v>0</v>
      </c>
      <c r="AB8" s="162">
        <v>0</v>
      </c>
      <c r="AC8" s="162">
        <v>0</v>
      </c>
      <c r="AD8" s="162">
        <v>0</v>
      </c>
      <c r="AE8" s="162">
        <v>0</v>
      </c>
      <c r="AF8" s="162">
        <v>0</v>
      </c>
      <c r="AG8" s="162">
        <v>0</v>
      </c>
      <c r="AH8" s="162">
        <v>0</v>
      </c>
      <c r="AI8" s="162">
        <v>0</v>
      </c>
      <c r="AJ8" s="162">
        <v>0</v>
      </c>
      <c r="AK8" s="162">
        <v>0</v>
      </c>
      <c r="AL8" s="162">
        <v>0</v>
      </c>
      <c r="AM8" s="162">
        <v>4000</v>
      </c>
      <c r="AN8" s="162">
        <v>0</v>
      </c>
      <c r="AO8" s="162">
        <v>0</v>
      </c>
      <c r="AP8" s="162">
        <v>0</v>
      </c>
      <c r="AQ8" s="162">
        <v>0</v>
      </c>
      <c r="AR8" s="162">
        <v>1000</v>
      </c>
      <c r="AS8" s="162">
        <v>0</v>
      </c>
      <c r="AT8" s="162">
        <v>0</v>
      </c>
      <c r="AU8" s="162">
        <v>0</v>
      </c>
      <c r="AV8" s="162">
        <v>0</v>
      </c>
      <c r="AW8" s="162">
        <v>0</v>
      </c>
    </row>
    <row r="9" spans="1:49" x14ac:dyDescent="0.3">
      <c r="A9" s="162" t="s">
        <v>94</v>
      </c>
      <c r="B9" s="187">
        <v>6</v>
      </c>
      <c r="C9" s="162">
        <v>56</v>
      </c>
      <c r="D9" s="162">
        <v>2</v>
      </c>
      <c r="E9" s="162">
        <v>1</v>
      </c>
      <c r="F9" s="162">
        <v>32.25</v>
      </c>
      <c r="G9" s="162">
        <v>0</v>
      </c>
      <c r="H9" s="162">
        <v>0</v>
      </c>
      <c r="I9" s="162">
        <v>0</v>
      </c>
      <c r="J9" s="162">
        <v>0</v>
      </c>
      <c r="K9" s="162">
        <v>0</v>
      </c>
      <c r="L9" s="162">
        <v>0</v>
      </c>
      <c r="M9" s="162">
        <v>0</v>
      </c>
      <c r="N9" s="162">
        <v>0</v>
      </c>
      <c r="O9" s="162">
        <v>0</v>
      </c>
      <c r="P9" s="162">
        <v>15.25</v>
      </c>
      <c r="Q9" s="162">
        <v>0</v>
      </c>
      <c r="R9" s="162">
        <v>0</v>
      </c>
      <c r="S9" s="162">
        <v>0</v>
      </c>
      <c r="T9" s="162">
        <v>0</v>
      </c>
      <c r="U9" s="162">
        <v>0</v>
      </c>
      <c r="V9" s="162">
        <v>0</v>
      </c>
      <c r="W9" s="162">
        <v>0</v>
      </c>
      <c r="X9" s="162">
        <v>0</v>
      </c>
      <c r="Y9" s="162">
        <v>0</v>
      </c>
      <c r="Z9" s="162">
        <v>0</v>
      </c>
      <c r="AA9" s="162">
        <v>0</v>
      </c>
      <c r="AB9" s="162">
        <v>0</v>
      </c>
      <c r="AC9" s="162">
        <v>0</v>
      </c>
      <c r="AD9" s="162">
        <v>0</v>
      </c>
      <c r="AE9" s="162">
        <v>0</v>
      </c>
      <c r="AF9" s="162">
        <v>0</v>
      </c>
      <c r="AG9" s="162">
        <v>0</v>
      </c>
      <c r="AH9" s="162">
        <v>0</v>
      </c>
      <c r="AI9" s="162">
        <v>0</v>
      </c>
      <c r="AJ9" s="162">
        <v>0</v>
      </c>
      <c r="AK9" s="162">
        <v>0</v>
      </c>
      <c r="AL9" s="162">
        <v>0</v>
      </c>
      <c r="AM9" s="162">
        <v>5</v>
      </c>
      <c r="AN9" s="162">
        <v>0</v>
      </c>
      <c r="AO9" s="162">
        <v>0</v>
      </c>
      <c r="AP9" s="162">
        <v>0</v>
      </c>
      <c r="AQ9" s="162">
        <v>0</v>
      </c>
      <c r="AR9" s="162">
        <v>12</v>
      </c>
      <c r="AS9" s="162">
        <v>0</v>
      </c>
      <c r="AT9" s="162">
        <v>0</v>
      </c>
      <c r="AU9" s="162">
        <v>0</v>
      </c>
      <c r="AV9" s="162">
        <v>0</v>
      </c>
      <c r="AW9" s="162">
        <v>0</v>
      </c>
    </row>
    <row r="10" spans="1:49" x14ac:dyDescent="0.3">
      <c r="A10" s="162" t="s">
        <v>95</v>
      </c>
      <c r="B10" s="187">
        <v>7</v>
      </c>
      <c r="C10" s="162">
        <v>56</v>
      </c>
      <c r="D10" s="162">
        <v>2</v>
      </c>
      <c r="E10" s="162">
        <v>2</v>
      </c>
      <c r="F10" s="162">
        <v>4739.25</v>
      </c>
      <c r="G10" s="162">
        <v>0</v>
      </c>
      <c r="H10" s="162">
        <v>0</v>
      </c>
      <c r="I10" s="162">
        <v>0</v>
      </c>
      <c r="J10" s="162">
        <v>0</v>
      </c>
      <c r="K10" s="162">
        <v>0</v>
      </c>
      <c r="L10" s="162">
        <v>0</v>
      </c>
      <c r="M10" s="162">
        <v>0</v>
      </c>
      <c r="N10" s="162">
        <v>0</v>
      </c>
      <c r="O10" s="162">
        <v>0</v>
      </c>
      <c r="P10" s="162">
        <v>2186</v>
      </c>
      <c r="Q10" s="162">
        <v>0</v>
      </c>
      <c r="R10" s="162">
        <v>0</v>
      </c>
      <c r="S10" s="162">
        <v>0</v>
      </c>
      <c r="T10" s="162">
        <v>0</v>
      </c>
      <c r="U10" s="162">
        <v>0</v>
      </c>
      <c r="V10" s="162">
        <v>0</v>
      </c>
      <c r="W10" s="162">
        <v>0</v>
      </c>
      <c r="X10" s="162">
        <v>0</v>
      </c>
      <c r="Y10" s="162">
        <v>0</v>
      </c>
      <c r="Z10" s="162">
        <v>0</v>
      </c>
      <c r="AA10" s="162">
        <v>0</v>
      </c>
      <c r="AB10" s="162">
        <v>0</v>
      </c>
      <c r="AC10" s="162">
        <v>0</v>
      </c>
      <c r="AD10" s="162">
        <v>0</v>
      </c>
      <c r="AE10" s="162">
        <v>0</v>
      </c>
      <c r="AF10" s="162">
        <v>0</v>
      </c>
      <c r="AG10" s="162">
        <v>0</v>
      </c>
      <c r="AH10" s="162">
        <v>0</v>
      </c>
      <c r="AI10" s="162">
        <v>0</v>
      </c>
      <c r="AJ10" s="162">
        <v>0</v>
      </c>
      <c r="AK10" s="162">
        <v>0</v>
      </c>
      <c r="AL10" s="162">
        <v>0</v>
      </c>
      <c r="AM10" s="162">
        <v>779</v>
      </c>
      <c r="AN10" s="162">
        <v>0</v>
      </c>
      <c r="AO10" s="162">
        <v>0</v>
      </c>
      <c r="AP10" s="162">
        <v>0</v>
      </c>
      <c r="AQ10" s="162">
        <v>0</v>
      </c>
      <c r="AR10" s="162">
        <v>1774.25</v>
      </c>
      <c r="AS10" s="162">
        <v>0</v>
      </c>
      <c r="AT10" s="162">
        <v>0</v>
      </c>
      <c r="AU10" s="162">
        <v>0</v>
      </c>
      <c r="AV10" s="162">
        <v>0</v>
      </c>
      <c r="AW10" s="162">
        <v>0</v>
      </c>
    </row>
    <row r="11" spans="1:49" x14ac:dyDescent="0.3">
      <c r="A11" s="162" t="s">
        <v>96</v>
      </c>
      <c r="B11" s="187">
        <v>8</v>
      </c>
      <c r="C11" s="162">
        <v>56</v>
      </c>
      <c r="D11" s="162">
        <v>2</v>
      </c>
      <c r="E11" s="162">
        <v>6</v>
      </c>
      <c r="F11" s="162">
        <v>719208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  <c r="P11" s="162">
        <v>423357</v>
      </c>
      <c r="Q11" s="162">
        <v>0</v>
      </c>
      <c r="R11" s="162">
        <v>0</v>
      </c>
      <c r="S11" s="162">
        <v>0</v>
      </c>
      <c r="T11" s="162">
        <v>0</v>
      </c>
      <c r="U11" s="162">
        <v>0</v>
      </c>
      <c r="V11" s="162">
        <v>0</v>
      </c>
      <c r="W11" s="162">
        <v>0</v>
      </c>
      <c r="X11" s="162">
        <v>0</v>
      </c>
      <c r="Y11" s="162">
        <v>0</v>
      </c>
      <c r="Z11" s="162">
        <v>0</v>
      </c>
      <c r="AA11" s="162">
        <v>0</v>
      </c>
      <c r="AB11" s="162">
        <v>0</v>
      </c>
      <c r="AC11" s="162">
        <v>0</v>
      </c>
      <c r="AD11" s="162">
        <v>0</v>
      </c>
      <c r="AE11" s="162">
        <v>0</v>
      </c>
      <c r="AF11" s="162">
        <v>0</v>
      </c>
      <c r="AG11" s="162">
        <v>0</v>
      </c>
      <c r="AH11" s="162">
        <v>0</v>
      </c>
      <c r="AI11" s="162">
        <v>0</v>
      </c>
      <c r="AJ11" s="162">
        <v>0</v>
      </c>
      <c r="AK11" s="162">
        <v>0</v>
      </c>
      <c r="AL11" s="162">
        <v>0</v>
      </c>
      <c r="AM11" s="162">
        <v>96755</v>
      </c>
      <c r="AN11" s="162">
        <v>0</v>
      </c>
      <c r="AO11" s="162">
        <v>0</v>
      </c>
      <c r="AP11" s="162">
        <v>0</v>
      </c>
      <c r="AQ11" s="162">
        <v>0</v>
      </c>
      <c r="AR11" s="162">
        <v>199096</v>
      </c>
      <c r="AS11" s="162">
        <v>0</v>
      </c>
      <c r="AT11" s="162">
        <v>0</v>
      </c>
      <c r="AU11" s="162">
        <v>0</v>
      </c>
      <c r="AV11" s="162">
        <v>0</v>
      </c>
      <c r="AW11" s="162">
        <v>0</v>
      </c>
    </row>
    <row r="12" spans="1:49" x14ac:dyDescent="0.3">
      <c r="A12" s="162" t="s">
        <v>97</v>
      </c>
      <c r="B12" s="187">
        <v>9</v>
      </c>
      <c r="C12" s="162">
        <v>56</v>
      </c>
      <c r="D12" s="162">
        <v>2</v>
      </c>
      <c r="E12" s="162">
        <v>9</v>
      </c>
      <c r="F12" s="162">
        <v>10600</v>
      </c>
      <c r="G12" s="162">
        <v>0</v>
      </c>
      <c r="H12" s="162">
        <v>0</v>
      </c>
      <c r="I12" s="162">
        <v>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8600</v>
      </c>
      <c r="Q12" s="162">
        <v>0</v>
      </c>
      <c r="R12" s="162">
        <v>0</v>
      </c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62">
        <v>0</v>
      </c>
      <c r="Y12" s="162">
        <v>0</v>
      </c>
      <c r="Z12" s="162">
        <v>0</v>
      </c>
      <c r="AA12" s="162">
        <v>0</v>
      </c>
      <c r="AB12" s="162">
        <v>0</v>
      </c>
      <c r="AC12" s="162">
        <v>0</v>
      </c>
      <c r="AD12" s="162">
        <v>0</v>
      </c>
      <c r="AE12" s="162">
        <v>0</v>
      </c>
      <c r="AF12" s="162">
        <v>0</v>
      </c>
      <c r="AG12" s="162">
        <v>0</v>
      </c>
      <c r="AH12" s="162">
        <v>0</v>
      </c>
      <c r="AI12" s="162">
        <v>0</v>
      </c>
      <c r="AJ12" s="162">
        <v>0</v>
      </c>
      <c r="AK12" s="162">
        <v>0</v>
      </c>
      <c r="AL12" s="162">
        <v>0</v>
      </c>
      <c r="AM12" s="162">
        <v>2000</v>
      </c>
      <c r="AN12" s="162">
        <v>0</v>
      </c>
      <c r="AO12" s="162">
        <v>0</v>
      </c>
      <c r="AP12" s="162">
        <v>0</v>
      </c>
      <c r="AQ12" s="162">
        <v>0</v>
      </c>
      <c r="AR12" s="162">
        <v>0</v>
      </c>
      <c r="AS12" s="162">
        <v>0</v>
      </c>
      <c r="AT12" s="162">
        <v>0</v>
      </c>
      <c r="AU12" s="162">
        <v>0</v>
      </c>
      <c r="AV12" s="162">
        <v>0</v>
      </c>
      <c r="AW12" s="162">
        <v>0</v>
      </c>
    </row>
    <row r="13" spans="1:49" x14ac:dyDescent="0.3">
      <c r="A13" s="162" t="s">
        <v>98</v>
      </c>
      <c r="B13" s="187">
        <v>10</v>
      </c>
      <c r="C13" s="162">
        <v>56</v>
      </c>
      <c r="D13" s="162">
        <v>3</v>
      </c>
      <c r="E13" s="162">
        <v>1</v>
      </c>
      <c r="F13" s="162">
        <v>32.25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15.25</v>
      </c>
      <c r="Q13" s="162">
        <v>0</v>
      </c>
      <c r="R13" s="162">
        <v>0</v>
      </c>
      <c r="S13" s="162">
        <v>0</v>
      </c>
      <c r="T13" s="162">
        <v>0</v>
      </c>
      <c r="U13" s="162">
        <v>0</v>
      </c>
      <c r="V13" s="162">
        <v>0</v>
      </c>
      <c r="W13" s="162">
        <v>0</v>
      </c>
      <c r="X13" s="162">
        <v>0</v>
      </c>
      <c r="Y13" s="162">
        <v>0</v>
      </c>
      <c r="Z13" s="162">
        <v>0</v>
      </c>
      <c r="AA13" s="162">
        <v>0</v>
      </c>
      <c r="AB13" s="162">
        <v>0</v>
      </c>
      <c r="AC13" s="162">
        <v>0</v>
      </c>
      <c r="AD13" s="162">
        <v>0</v>
      </c>
      <c r="AE13" s="162">
        <v>0</v>
      </c>
      <c r="AF13" s="162">
        <v>0</v>
      </c>
      <c r="AG13" s="162">
        <v>0</v>
      </c>
      <c r="AH13" s="162">
        <v>0</v>
      </c>
      <c r="AI13" s="162">
        <v>0</v>
      </c>
      <c r="AJ13" s="162">
        <v>0</v>
      </c>
      <c r="AK13" s="162">
        <v>0</v>
      </c>
      <c r="AL13" s="162">
        <v>0</v>
      </c>
      <c r="AM13" s="162">
        <v>5</v>
      </c>
      <c r="AN13" s="162">
        <v>0</v>
      </c>
      <c r="AO13" s="162">
        <v>0</v>
      </c>
      <c r="AP13" s="162">
        <v>0</v>
      </c>
      <c r="AQ13" s="162">
        <v>0</v>
      </c>
      <c r="AR13" s="162">
        <v>12</v>
      </c>
      <c r="AS13" s="162">
        <v>0</v>
      </c>
      <c r="AT13" s="162">
        <v>0</v>
      </c>
      <c r="AU13" s="162">
        <v>0</v>
      </c>
      <c r="AV13" s="162">
        <v>0</v>
      </c>
      <c r="AW13" s="162">
        <v>0</v>
      </c>
    </row>
    <row r="14" spans="1:49" x14ac:dyDescent="0.3">
      <c r="A14" s="162" t="s">
        <v>99</v>
      </c>
      <c r="B14" s="187">
        <v>11</v>
      </c>
      <c r="C14" s="162">
        <v>56</v>
      </c>
      <c r="D14" s="162">
        <v>3</v>
      </c>
      <c r="E14" s="162">
        <v>2</v>
      </c>
      <c r="F14" s="162">
        <v>4759</v>
      </c>
      <c r="G14" s="162">
        <v>0</v>
      </c>
      <c r="H14" s="162">
        <v>0</v>
      </c>
      <c r="I14" s="162">
        <v>0</v>
      </c>
      <c r="J14" s="162">
        <v>0</v>
      </c>
      <c r="K14" s="162">
        <v>0</v>
      </c>
      <c r="L14" s="162">
        <v>0</v>
      </c>
      <c r="M14" s="162">
        <v>0</v>
      </c>
      <c r="N14" s="162">
        <v>0</v>
      </c>
      <c r="O14" s="162">
        <v>0</v>
      </c>
      <c r="P14" s="162">
        <v>2205.75</v>
      </c>
      <c r="Q14" s="162">
        <v>0</v>
      </c>
      <c r="R14" s="162">
        <v>0</v>
      </c>
      <c r="S14" s="162">
        <v>0</v>
      </c>
      <c r="T14" s="162">
        <v>0</v>
      </c>
      <c r="U14" s="162">
        <v>0</v>
      </c>
      <c r="V14" s="162">
        <v>0</v>
      </c>
      <c r="W14" s="162">
        <v>0</v>
      </c>
      <c r="X14" s="162">
        <v>0</v>
      </c>
      <c r="Y14" s="162">
        <v>0</v>
      </c>
      <c r="Z14" s="162">
        <v>0</v>
      </c>
      <c r="AA14" s="162">
        <v>0</v>
      </c>
      <c r="AB14" s="162">
        <v>0</v>
      </c>
      <c r="AC14" s="162">
        <v>0</v>
      </c>
      <c r="AD14" s="162">
        <v>0</v>
      </c>
      <c r="AE14" s="162">
        <v>0</v>
      </c>
      <c r="AF14" s="162">
        <v>0</v>
      </c>
      <c r="AG14" s="162">
        <v>0</v>
      </c>
      <c r="AH14" s="162">
        <v>0</v>
      </c>
      <c r="AI14" s="162">
        <v>0</v>
      </c>
      <c r="AJ14" s="162">
        <v>0</v>
      </c>
      <c r="AK14" s="162">
        <v>0</v>
      </c>
      <c r="AL14" s="162">
        <v>0</v>
      </c>
      <c r="AM14" s="162">
        <v>602</v>
      </c>
      <c r="AN14" s="162">
        <v>0</v>
      </c>
      <c r="AO14" s="162">
        <v>0</v>
      </c>
      <c r="AP14" s="162">
        <v>0</v>
      </c>
      <c r="AQ14" s="162">
        <v>0</v>
      </c>
      <c r="AR14" s="162">
        <v>1951.25</v>
      </c>
      <c r="AS14" s="162">
        <v>0</v>
      </c>
      <c r="AT14" s="162">
        <v>0</v>
      </c>
      <c r="AU14" s="162">
        <v>0</v>
      </c>
      <c r="AV14" s="162">
        <v>0</v>
      </c>
      <c r="AW14" s="162">
        <v>0</v>
      </c>
    </row>
    <row r="15" spans="1:49" x14ac:dyDescent="0.3">
      <c r="A15" s="162" t="s">
        <v>100</v>
      </c>
      <c r="B15" s="187">
        <v>12</v>
      </c>
      <c r="C15" s="162">
        <v>56</v>
      </c>
      <c r="D15" s="162">
        <v>3</v>
      </c>
      <c r="E15" s="162">
        <v>6</v>
      </c>
      <c r="F15" s="162">
        <v>727589</v>
      </c>
      <c r="G15" s="162">
        <v>0</v>
      </c>
      <c r="H15" s="162">
        <v>0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2">
        <v>0</v>
      </c>
      <c r="P15" s="162">
        <v>426993</v>
      </c>
      <c r="Q15" s="162">
        <v>0</v>
      </c>
      <c r="R15" s="162">
        <v>0</v>
      </c>
      <c r="S15" s="162">
        <v>0</v>
      </c>
      <c r="T15" s="162">
        <v>0</v>
      </c>
      <c r="U15" s="162">
        <v>0</v>
      </c>
      <c r="V15" s="162">
        <v>0</v>
      </c>
      <c r="W15" s="162">
        <v>0</v>
      </c>
      <c r="X15" s="162">
        <v>0</v>
      </c>
      <c r="Y15" s="162">
        <v>0</v>
      </c>
      <c r="Z15" s="162">
        <v>0</v>
      </c>
      <c r="AA15" s="162">
        <v>0</v>
      </c>
      <c r="AB15" s="162">
        <v>0</v>
      </c>
      <c r="AC15" s="162">
        <v>0</v>
      </c>
      <c r="AD15" s="162">
        <v>0</v>
      </c>
      <c r="AE15" s="162">
        <v>0</v>
      </c>
      <c r="AF15" s="162">
        <v>0</v>
      </c>
      <c r="AG15" s="162">
        <v>0</v>
      </c>
      <c r="AH15" s="162">
        <v>0</v>
      </c>
      <c r="AI15" s="162">
        <v>0</v>
      </c>
      <c r="AJ15" s="162">
        <v>0</v>
      </c>
      <c r="AK15" s="162">
        <v>0</v>
      </c>
      <c r="AL15" s="162">
        <v>0</v>
      </c>
      <c r="AM15" s="162">
        <v>90596</v>
      </c>
      <c r="AN15" s="162">
        <v>0</v>
      </c>
      <c r="AO15" s="162">
        <v>0</v>
      </c>
      <c r="AP15" s="162">
        <v>0</v>
      </c>
      <c r="AQ15" s="162">
        <v>0</v>
      </c>
      <c r="AR15" s="162">
        <v>210000</v>
      </c>
      <c r="AS15" s="162">
        <v>0</v>
      </c>
      <c r="AT15" s="162">
        <v>0</v>
      </c>
      <c r="AU15" s="162">
        <v>0</v>
      </c>
      <c r="AV15" s="162">
        <v>0</v>
      </c>
      <c r="AW15" s="162">
        <v>0</v>
      </c>
    </row>
    <row r="16" spans="1:49" x14ac:dyDescent="0.3">
      <c r="A16" s="162" t="s">
        <v>88</v>
      </c>
      <c r="B16" s="187">
        <v>2016</v>
      </c>
      <c r="C16" s="162">
        <v>56</v>
      </c>
      <c r="D16" s="162">
        <v>3</v>
      </c>
      <c r="E16" s="162">
        <v>9</v>
      </c>
      <c r="F16" s="162">
        <v>10600</v>
      </c>
      <c r="G16" s="162">
        <v>0</v>
      </c>
      <c r="H16" s="162">
        <v>0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7600</v>
      </c>
      <c r="Q16" s="162">
        <v>0</v>
      </c>
      <c r="R16" s="162">
        <v>0</v>
      </c>
      <c r="S16" s="162">
        <v>0</v>
      </c>
      <c r="T16" s="162">
        <v>0</v>
      </c>
      <c r="U16" s="162">
        <v>0</v>
      </c>
      <c r="V16" s="162">
        <v>0</v>
      </c>
      <c r="W16" s="162">
        <v>0</v>
      </c>
      <c r="X16" s="162">
        <v>0</v>
      </c>
      <c r="Y16" s="162">
        <v>0</v>
      </c>
      <c r="Z16" s="162">
        <v>0</v>
      </c>
      <c r="AA16" s="162">
        <v>0</v>
      </c>
      <c r="AB16" s="162">
        <v>0</v>
      </c>
      <c r="AC16" s="162">
        <v>0</v>
      </c>
      <c r="AD16" s="162">
        <v>0</v>
      </c>
      <c r="AE16" s="162">
        <v>0</v>
      </c>
      <c r="AF16" s="162">
        <v>0</v>
      </c>
      <c r="AG16" s="162">
        <v>0</v>
      </c>
      <c r="AH16" s="162">
        <v>0</v>
      </c>
      <c r="AI16" s="162">
        <v>0</v>
      </c>
      <c r="AJ16" s="162">
        <v>0</v>
      </c>
      <c r="AK16" s="162">
        <v>0</v>
      </c>
      <c r="AL16" s="162">
        <v>0</v>
      </c>
      <c r="AM16" s="162">
        <v>2000</v>
      </c>
      <c r="AN16" s="162">
        <v>0</v>
      </c>
      <c r="AO16" s="162">
        <v>0</v>
      </c>
      <c r="AP16" s="162">
        <v>0</v>
      </c>
      <c r="AQ16" s="162">
        <v>0</v>
      </c>
      <c r="AR16" s="162">
        <v>1000</v>
      </c>
      <c r="AS16" s="162">
        <v>0</v>
      </c>
      <c r="AT16" s="162">
        <v>0</v>
      </c>
      <c r="AU16" s="162">
        <v>0</v>
      </c>
      <c r="AV16" s="162">
        <v>0</v>
      </c>
      <c r="AW16" s="162">
        <v>0</v>
      </c>
    </row>
    <row r="17" spans="3:49" x14ac:dyDescent="0.3">
      <c r="C17" s="162">
        <v>56</v>
      </c>
      <c r="D17" s="162">
        <v>4</v>
      </c>
      <c r="E17" s="162">
        <v>1</v>
      </c>
      <c r="F17" s="162">
        <v>31.25</v>
      </c>
      <c r="G17" s="162">
        <v>0</v>
      </c>
      <c r="H17" s="162">
        <v>0</v>
      </c>
      <c r="I17" s="162">
        <v>0</v>
      </c>
      <c r="J17" s="162">
        <v>0</v>
      </c>
      <c r="K17" s="162">
        <v>0</v>
      </c>
      <c r="L17" s="162">
        <v>0</v>
      </c>
      <c r="M17" s="162">
        <v>0</v>
      </c>
      <c r="N17" s="162">
        <v>0</v>
      </c>
      <c r="O17" s="162">
        <v>0</v>
      </c>
      <c r="P17" s="162">
        <v>11.25</v>
      </c>
      <c r="Q17" s="162">
        <v>4</v>
      </c>
      <c r="R17" s="162">
        <v>0</v>
      </c>
      <c r="S17" s="162">
        <v>0</v>
      </c>
      <c r="T17" s="162">
        <v>0</v>
      </c>
      <c r="U17" s="162">
        <v>0</v>
      </c>
      <c r="V17" s="162">
        <v>0</v>
      </c>
      <c r="W17" s="162">
        <v>0</v>
      </c>
      <c r="X17" s="162">
        <v>0</v>
      </c>
      <c r="Y17" s="162">
        <v>0</v>
      </c>
      <c r="Z17" s="162">
        <v>0</v>
      </c>
      <c r="AA17" s="162">
        <v>0</v>
      </c>
      <c r="AB17" s="162">
        <v>0</v>
      </c>
      <c r="AC17" s="162">
        <v>0</v>
      </c>
      <c r="AD17" s="162">
        <v>0</v>
      </c>
      <c r="AE17" s="162">
        <v>0</v>
      </c>
      <c r="AF17" s="162">
        <v>0</v>
      </c>
      <c r="AG17" s="162">
        <v>0</v>
      </c>
      <c r="AH17" s="162">
        <v>0</v>
      </c>
      <c r="AI17" s="162">
        <v>0</v>
      </c>
      <c r="AJ17" s="162">
        <v>0</v>
      </c>
      <c r="AK17" s="162">
        <v>0</v>
      </c>
      <c r="AL17" s="162">
        <v>0</v>
      </c>
      <c r="AM17" s="162">
        <v>4</v>
      </c>
      <c r="AN17" s="162">
        <v>0</v>
      </c>
      <c r="AO17" s="162">
        <v>0</v>
      </c>
      <c r="AP17" s="162">
        <v>0</v>
      </c>
      <c r="AQ17" s="162">
        <v>0</v>
      </c>
      <c r="AR17" s="162">
        <v>12</v>
      </c>
      <c r="AS17" s="162">
        <v>0</v>
      </c>
      <c r="AT17" s="162">
        <v>0</v>
      </c>
      <c r="AU17" s="162">
        <v>0</v>
      </c>
      <c r="AV17" s="162">
        <v>0</v>
      </c>
      <c r="AW17" s="162">
        <v>0</v>
      </c>
    </row>
    <row r="18" spans="3:49" x14ac:dyDescent="0.3">
      <c r="C18" s="162">
        <v>56</v>
      </c>
      <c r="D18" s="162">
        <v>4</v>
      </c>
      <c r="E18" s="162">
        <v>2</v>
      </c>
      <c r="F18" s="162">
        <v>4684.5</v>
      </c>
      <c r="G18" s="162">
        <v>0</v>
      </c>
      <c r="H18" s="162">
        <v>0</v>
      </c>
      <c r="I18" s="162">
        <v>0</v>
      </c>
      <c r="J18" s="162">
        <v>0</v>
      </c>
      <c r="K18" s="162">
        <v>0</v>
      </c>
      <c r="L18" s="162">
        <v>0</v>
      </c>
      <c r="M18" s="162">
        <v>0</v>
      </c>
      <c r="N18" s="162">
        <v>0</v>
      </c>
      <c r="O18" s="162">
        <v>0</v>
      </c>
      <c r="P18" s="162">
        <v>1687.75</v>
      </c>
      <c r="Q18" s="162">
        <v>504</v>
      </c>
      <c r="R18" s="162">
        <v>0</v>
      </c>
      <c r="S18" s="162">
        <v>0</v>
      </c>
      <c r="T18" s="162">
        <v>0</v>
      </c>
      <c r="U18" s="162">
        <v>0</v>
      </c>
      <c r="V18" s="162">
        <v>0</v>
      </c>
      <c r="W18" s="162">
        <v>0</v>
      </c>
      <c r="X18" s="162">
        <v>0</v>
      </c>
      <c r="Y18" s="162">
        <v>0</v>
      </c>
      <c r="Z18" s="162">
        <v>0</v>
      </c>
      <c r="AA18" s="162">
        <v>0</v>
      </c>
      <c r="AB18" s="162">
        <v>0</v>
      </c>
      <c r="AC18" s="162">
        <v>0</v>
      </c>
      <c r="AD18" s="162">
        <v>0</v>
      </c>
      <c r="AE18" s="162">
        <v>0</v>
      </c>
      <c r="AF18" s="162">
        <v>0</v>
      </c>
      <c r="AG18" s="162">
        <v>0</v>
      </c>
      <c r="AH18" s="162">
        <v>0</v>
      </c>
      <c r="AI18" s="162">
        <v>0</v>
      </c>
      <c r="AJ18" s="162">
        <v>0</v>
      </c>
      <c r="AK18" s="162">
        <v>0</v>
      </c>
      <c r="AL18" s="162">
        <v>0</v>
      </c>
      <c r="AM18" s="162">
        <v>617</v>
      </c>
      <c r="AN18" s="162">
        <v>0</v>
      </c>
      <c r="AO18" s="162">
        <v>0</v>
      </c>
      <c r="AP18" s="162">
        <v>0</v>
      </c>
      <c r="AQ18" s="162">
        <v>0</v>
      </c>
      <c r="AR18" s="162">
        <v>1875.75</v>
      </c>
      <c r="AS18" s="162">
        <v>0</v>
      </c>
      <c r="AT18" s="162">
        <v>0</v>
      </c>
      <c r="AU18" s="162">
        <v>0</v>
      </c>
      <c r="AV18" s="162">
        <v>0</v>
      </c>
      <c r="AW18" s="162">
        <v>0</v>
      </c>
    </row>
    <row r="19" spans="3:49" x14ac:dyDescent="0.3">
      <c r="C19" s="162">
        <v>56</v>
      </c>
      <c r="D19" s="162">
        <v>4</v>
      </c>
      <c r="E19" s="162">
        <v>6</v>
      </c>
      <c r="F19" s="162">
        <v>734106</v>
      </c>
      <c r="G19" s="162">
        <v>0</v>
      </c>
      <c r="H19" s="162">
        <v>0</v>
      </c>
      <c r="I19" s="162">
        <v>0</v>
      </c>
      <c r="J19" s="162">
        <v>0</v>
      </c>
      <c r="K19" s="162">
        <v>0</v>
      </c>
      <c r="L19" s="162">
        <v>0</v>
      </c>
      <c r="M19" s="162">
        <v>0</v>
      </c>
      <c r="N19" s="162">
        <v>0</v>
      </c>
      <c r="O19" s="162">
        <v>0</v>
      </c>
      <c r="P19" s="162">
        <v>317710</v>
      </c>
      <c r="Q19" s="162">
        <v>115650</v>
      </c>
      <c r="R19" s="162">
        <v>0</v>
      </c>
      <c r="S19" s="162">
        <v>0</v>
      </c>
      <c r="T19" s="162">
        <v>0</v>
      </c>
      <c r="U19" s="162">
        <v>0</v>
      </c>
      <c r="V19" s="162">
        <v>0</v>
      </c>
      <c r="W19" s="162">
        <v>0</v>
      </c>
      <c r="X19" s="162">
        <v>0</v>
      </c>
      <c r="Y19" s="162">
        <v>0</v>
      </c>
      <c r="Z19" s="162">
        <v>0</v>
      </c>
      <c r="AA19" s="162">
        <v>0</v>
      </c>
      <c r="AB19" s="162">
        <v>0</v>
      </c>
      <c r="AC19" s="162">
        <v>0</v>
      </c>
      <c r="AD19" s="162">
        <v>0</v>
      </c>
      <c r="AE19" s="162">
        <v>0</v>
      </c>
      <c r="AF19" s="162">
        <v>0</v>
      </c>
      <c r="AG19" s="162">
        <v>0</v>
      </c>
      <c r="AH19" s="162">
        <v>0</v>
      </c>
      <c r="AI19" s="162">
        <v>0</v>
      </c>
      <c r="AJ19" s="162">
        <v>0</v>
      </c>
      <c r="AK19" s="162">
        <v>0</v>
      </c>
      <c r="AL19" s="162">
        <v>0</v>
      </c>
      <c r="AM19" s="162">
        <v>88848</v>
      </c>
      <c r="AN19" s="162">
        <v>0</v>
      </c>
      <c r="AO19" s="162">
        <v>0</v>
      </c>
      <c r="AP19" s="162">
        <v>0</v>
      </c>
      <c r="AQ19" s="162">
        <v>0</v>
      </c>
      <c r="AR19" s="162">
        <v>211898</v>
      </c>
      <c r="AS19" s="162">
        <v>0</v>
      </c>
      <c r="AT19" s="162">
        <v>0</v>
      </c>
      <c r="AU19" s="162">
        <v>0</v>
      </c>
      <c r="AV19" s="162">
        <v>0</v>
      </c>
      <c r="AW19" s="162">
        <v>0</v>
      </c>
    </row>
    <row r="20" spans="3:49" x14ac:dyDescent="0.3">
      <c r="C20" s="162">
        <v>56</v>
      </c>
      <c r="D20" s="162">
        <v>4</v>
      </c>
      <c r="E20" s="162">
        <v>9</v>
      </c>
      <c r="F20" s="162">
        <v>10600</v>
      </c>
      <c r="G20" s="162">
        <v>0</v>
      </c>
      <c r="H20" s="162">
        <v>0</v>
      </c>
      <c r="I20" s="162">
        <v>0</v>
      </c>
      <c r="J20" s="162">
        <v>0</v>
      </c>
      <c r="K20" s="162">
        <v>0</v>
      </c>
      <c r="L20" s="162">
        <v>0</v>
      </c>
      <c r="M20" s="162">
        <v>0</v>
      </c>
      <c r="N20" s="162">
        <v>0</v>
      </c>
      <c r="O20" s="162">
        <v>0</v>
      </c>
      <c r="P20" s="162">
        <v>6600</v>
      </c>
      <c r="Q20" s="162">
        <v>0</v>
      </c>
      <c r="R20" s="162">
        <v>0</v>
      </c>
      <c r="S20" s="162">
        <v>0</v>
      </c>
      <c r="T20" s="162">
        <v>0</v>
      </c>
      <c r="U20" s="162">
        <v>0</v>
      </c>
      <c r="V20" s="162">
        <v>0</v>
      </c>
      <c r="W20" s="162">
        <v>0</v>
      </c>
      <c r="X20" s="162">
        <v>0</v>
      </c>
      <c r="Y20" s="162">
        <v>0</v>
      </c>
      <c r="Z20" s="162">
        <v>0</v>
      </c>
      <c r="AA20" s="162">
        <v>0</v>
      </c>
      <c r="AB20" s="162">
        <v>0</v>
      </c>
      <c r="AC20" s="162">
        <v>0</v>
      </c>
      <c r="AD20" s="162">
        <v>0</v>
      </c>
      <c r="AE20" s="162">
        <v>0</v>
      </c>
      <c r="AF20" s="162">
        <v>0</v>
      </c>
      <c r="AG20" s="162">
        <v>0</v>
      </c>
      <c r="AH20" s="162">
        <v>0</v>
      </c>
      <c r="AI20" s="162">
        <v>0</v>
      </c>
      <c r="AJ20" s="162">
        <v>0</v>
      </c>
      <c r="AK20" s="162">
        <v>0</v>
      </c>
      <c r="AL20" s="162">
        <v>0</v>
      </c>
      <c r="AM20" s="162">
        <v>4000</v>
      </c>
      <c r="AN20" s="162">
        <v>0</v>
      </c>
      <c r="AO20" s="162">
        <v>0</v>
      </c>
      <c r="AP20" s="162">
        <v>0</v>
      </c>
      <c r="AQ20" s="162">
        <v>0</v>
      </c>
      <c r="AR20" s="162">
        <v>0</v>
      </c>
      <c r="AS20" s="162">
        <v>0</v>
      </c>
      <c r="AT20" s="162">
        <v>0</v>
      </c>
      <c r="AU20" s="162">
        <v>0</v>
      </c>
      <c r="AV20" s="162">
        <v>0</v>
      </c>
      <c r="AW20" s="162">
        <v>0</v>
      </c>
    </row>
    <row r="21" spans="3:49" x14ac:dyDescent="0.3">
      <c r="C21" s="162">
        <v>56</v>
      </c>
      <c r="D21" s="162">
        <v>5</v>
      </c>
      <c r="E21" s="162">
        <v>1</v>
      </c>
      <c r="F21" s="162">
        <v>31.25</v>
      </c>
      <c r="G21" s="162">
        <v>0</v>
      </c>
      <c r="H21" s="162">
        <v>0</v>
      </c>
      <c r="I21" s="162">
        <v>0</v>
      </c>
      <c r="J21" s="162">
        <v>0</v>
      </c>
      <c r="K21" s="162">
        <v>0</v>
      </c>
      <c r="L21" s="162">
        <v>0</v>
      </c>
      <c r="M21" s="162">
        <v>0</v>
      </c>
      <c r="N21" s="162">
        <v>0</v>
      </c>
      <c r="O21" s="162">
        <v>0</v>
      </c>
      <c r="P21" s="162">
        <v>11.25</v>
      </c>
      <c r="Q21" s="162">
        <v>4</v>
      </c>
      <c r="R21" s="162">
        <v>0</v>
      </c>
      <c r="S21" s="162">
        <v>0</v>
      </c>
      <c r="T21" s="162">
        <v>0</v>
      </c>
      <c r="U21" s="162">
        <v>0</v>
      </c>
      <c r="V21" s="162">
        <v>0</v>
      </c>
      <c r="W21" s="162">
        <v>0</v>
      </c>
      <c r="X21" s="162">
        <v>0</v>
      </c>
      <c r="Y21" s="162">
        <v>0</v>
      </c>
      <c r="Z21" s="162">
        <v>0</v>
      </c>
      <c r="AA21" s="162">
        <v>0</v>
      </c>
      <c r="AB21" s="162">
        <v>0</v>
      </c>
      <c r="AC21" s="162">
        <v>0</v>
      </c>
      <c r="AD21" s="162">
        <v>0</v>
      </c>
      <c r="AE21" s="162">
        <v>0</v>
      </c>
      <c r="AF21" s="162">
        <v>0</v>
      </c>
      <c r="AG21" s="162">
        <v>0</v>
      </c>
      <c r="AH21" s="162">
        <v>0</v>
      </c>
      <c r="AI21" s="162">
        <v>0</v>
      </c>
      <c r="AJ21" s="162">
        <v>0</v>
      </c>
      <c r="AK21" s="162">
        <v>0</v>
      </c>
      <c r="AL21" s="162">
        <v>0</v>
      </c>
      <c r="AM21" s="162">
        <v>4</v>
      </c>
      <c r="AN21" s="162">
        <v>0</v>
      </c>
      <c r="AO21" s="162">
        <v>0</v>
      </c>
      <c r="AP21" s="162">
        <v>0</v>
      </c>
      <c r="AQ21" s="162">
        <v>0</v>
      </c>
      <c r="AR21" s="162">
        <v>12</v>
      </c>
      <c r="AS21" s="162">
        <v>0</v>
      </c>
      <c r="AT21" s="162">
        <v>0</v>
      </c>
      <c r="AU21" s="162">
        <v>0</v>
      </c>
      <c r="AV21" s="162">
        <v>0</v>
      </c>
      <c r="AW21" s="162">
        <v>0</v>
      </c>
    </row>
    <row r="22" spans="3:49" x14ac:dyDescent="0.3">
      <c r="C22" s="162">
        <v>56</v>
      </c>
      <c r="D22" s="162">
        <v>5</v>
      </c>
      <c r="E22" s="162">
        <v>2</v>
      </c>
      <c r="F22" s="162">
        <v>4710.25</v>
      </c>
      <c r="G22" s="162">
        <v>0</v>
      </c>
      <c r="H22" s="162">
        <v>0</v>
      </c>
      <c r="I22" s="162">
        <v>0</v>
      </c>
      <c r="J22" s="162">
        <v>0</v>
      </c>
      <c r="K22" s="162">
        <v>0</v>
      </c>
      <c r="L22" s="162">
        <v>0</v>
      </c>
      <c r="M22" s="162">
        <v>0</v>
      </c>
      <c r="N22" s="162">
        <v>0</v>
      </c>
      <c r="O22" s="162">
        <v>0</v>
      </c>
      <c r="P22" s="162">
        <v>1726.5</v>
      </c>
      <c r="Q22" s="162">
        <v>541.75</v>
      </c>
      <c r="R22" s="162">
        <v>0</v>
      </c>
      <c r="S22" s="162">
        <v>0</v>
      </c>
      <c r="T22" s="162">
        <v>0</v>
      </c>
      <c r="U22" s="162">
        <v>0</v>
      </c>
      <c r="V22" s="162">
        <v>0</v>
      </c>
      <c r="W22" s="162">
        <v>0</v>
      </c>
      <c r="X22" s="162">
        <v>0</v>
      </c>
      <c r="Y22" s="162">
        <v>0</v>
      </c>
      <c r="Z22" s="162">
        <v>0</v>
      </c>
      <c r="AA22" s="162">
        <v>0</v>
      </c>
      <c r="AB22" s="162">
        <v>0</v>
      </c>
      <c r="AC22" s="162">
        <v>0</v>
      </c>
      <c r="AD22" s="162">
        <v>0</v>
      </c>
      <c r="AE22" s="162">
        <v>0</v>
      </c>
      <c r="AF22" s="162">
        <v>0</v>
      </c>
      <c r="AG22" s="162">
        <v>0</v>
      </c>
      <c r="AH22" s="162">
        <v>0</v>
      </c>
      <c r="AI22" s="162">
        <v>0</v>
      </c>
      <c r="AJ22" s="162">
        <v>0</v>
      </c>
      <c r="AK22" s="162">
        <v>0</v>
      </c>
      <c r="AL22" s="162">
        <v>0</v>
      </c>
      <c r="AM22" s="162">
        <v>589.5</v>
      </c>
      <c r="AN22" s="162">
        <v>0</v>
      </c>
      <c r="AO22" s="162">
        <v>0</v>
      </c>
      <c r="AP22" s="162">
        <v>0</v>
      </c>
      <c r="AQ22" s="162">
        <v>0</v>
      </c>
      <c r="AR22" s="162">
        <v>1852.5</v>
      </c>
      <c r="AS22" s="162">
        <v>0</v>
      </c>
      <c r="AT22" s="162">
        <v>0</v>
      </c>
      <c r="AU22" s="162">
        <v>0</v>
      </c>
      <c r="AV22" s="162">
        <v>0</v>
      </c>
      <c r="AW22" s="162">
        <v>0</v>
      </c>
    </row>
    <row r="23" spans="3:49" x14ac:dyDescent="0.3">
      <c r="C23" s="162">
        <v>56</v>
      </c>
      <c r="D23" s="162">
        <v>5</v>
      </c>
      <c r="E23" s="162">
        <v>6</v>
      </c>
      <c r="F23" s="162">
        <v>770561</v>
      </c>
      <c r="G23" s="162">
        <v>0</v>
      </c>
      <c r="H23" s="162">
        <v>0</v>
      </c>
      <c r="I23" s="162">
        <v>0</v>
      </c>
      <c r="J23" s="162">
        <v>0</v>
      </c>
      <c r="K23" s="162">
        <v>0</v>
      </c>
      <c r="L23" s="162">
        <v>0</v>
      </c>
      <c r="M23" s="162">
        <v>0</v>
      </c>
      <c r="N23" s="162">
        <v>0</v>
      </c>
      <c r="O23" s="162">
        <v>0</v>
      </c>
      <c r="P23" s="162">
        <v>325440</v>
      </c>
      <c r="Q23" s="162">
        <v>138564</v>
      </c>
      <c r="R23" s="162">
        <v>0</v>
      </c>
      <c r="S23" s="162">
        <v>0</v>
      </c>
      <c r="T23" s="162">
        <v>0</v>
      </c>
      <c r="U23" s="162">
        <v>0</v>
      </c>
      <c r="V23" s="162">
        <v>0</v>
      </c>
      <c r="W23" s="162">
        <v>0</v>
      </c>
      <c r="X23" s="162">
        <v>0</v>
      </c>
      <c r="Y23" s="162">
        <v>0</v>
      </c>
      <c r="Z23" s="162">
        <v>0</v>
      </c>
      <c r="AA23" s="162">
        <v>0</v>
      </c>
      <c r="AB23" s="162">
        <v>0</v>
      </c>
      <c r="AC23" s="162">
        <v>0</v>
      </c>
      <c r="AD23" s="162">
        <v>0</v>
      </c>
      <c r="AE23" s="162">
        <v>0</v>
      </c>
      <c r="AF23" s="162">
        <v>0</v>
      </c>
      <c r="AG23" s="162">
        <v>0</v>
      </c>
      <c r="AH23" s="162">
        <v>0</v>
      </c>
      <c r="AI23" s="162">
        <v>0</v>
      </c>
      <c r="AJ23" s="162">
        <v>0</v>
      </c>
      <c r="AK23" s="162">
        <v>0</v>
      </c>
      <c r="AL23" s="162">
        <v>0</v>
      </c>
      <c r="AM23" s="162">
        <v>87707</v>
      </c>
      <c r="AN23" s="162">
        <v>0</v>
      </c>
      <c r="AO23" s="162">
        <v>0</v>
      </c>
      <c r="AP23" s="162">
        <v>0</v>
      </c>
      <c r="AQ23" s="162">
        <v>0</v>
      </c>
      <c r="AR23" s="162">
        <v>218850</v>
      </c>
      <c r="AS23" s="162">
        <v>0</v>
      </c>
      <c r="AT23" s="162">
        <v>0</v>
      </c>
      <c r="AU23" s="162">
        <v>0</v>
      </c>
      <c r="AV23" s="162">
        <v>0</v>
      </c>
      <c r="AW23" s="162">
        <v>0</v>
      </c>
    </row>
    <row r="24" spans="3:49" x14ac:dyDescent="0.3">
      <c r="C24" s="162">
        <v>56</v>
      </c>
      <c r="D24" s="162">
        <v>6</v>
      </c>
      <c r="E24" s="162">
        <v>1</v>
      </c>
      <c r="F24" s="162">
        <v>31.25</v>
      </c>
      <c r="G24" s="162"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11.25</v>
      </c>
      <c r="Q24" s="162">
        <v>4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0</v>
      </c>
      <c r="AD24" s="162">
        <v>0</v>
      </c>
      <c r="AE24" s="162">
        <v>0</v>
      </c>
      <c r="AF24" s="162">
        <v>0</v>
      </c>
      <c r="AG24" s="162">
        <v>0</v>
      </c>
      <c r="AH24" s="162">
        <v>0</v>
      </c>
      <c r="AI24" s="162">
        <v>0</v>
      </c>
      <c r="AJ24" s="162">
        <v>0</v>
      </c>
      <c r="AK24" s="162">
        <v>0</v>
      </c>
      <c r="AL24" s="162">
        <v>0</v>
      </c>
      <c r="AM24" s="162">
        <v>4</v>
      </c>
      <c r="AN24" s="162">
        <v>0</v>
      </c>
      <c r="AO24" s="162">
        <v>0</v>
      </c>
      <c r="AP24" s="162">
        <v>0</v>
      </c>
      <c r="AQ24" s="162">
        <v>0</v>
      </c>
      <c r="AR24" s="162">
        <v>12</v>
      </c>
      <c r="AS24" s="162">
        <v>0</v>
      </c>
      <c r="AT24" s="162">
        <v>0</v>
      </c>
      <c r="AU24" s="162">
        <v>0</v>
      </c>
      <c r="AV24" s="162">
        <v>0</v>
      </c>
      <c r="AW24" s="162">
        <v>0</v>
      </c>
    </row>
    <row r="25" spans="3:49" x14ac:dyDescent="0.3">
      <c r="C25" s="162">
        <v>56</v>
      </c>
      <c r="D25" s="162">
        <v>6</v>
      </c>
      <c r="E25" s="162">
        <v>2</v>
      </c>
      <c r="F25" s="162">
        <v>4695.25</v>
      </c>
      <c r="G25" s="162">
        <v>0</v>
      </c>
      <c r="H25" s="162">
        <v>0</v>
      </c>
      <c r="I25" s="162">
        <v>0</v>
      </c>
      <c r="J25" s="162">
        <v>0</v>
      </c>
      <c r="K25" s="162">
        <v>0</v>
      </c>
      <c r="L25" s="162">
        <v>0</v>
      </c>
      <c r="M25" s="162">
        <v>0</v>
      </c>
      <c r="N25" s="162">
        <v>0</v>
      </c>
      <c r="O25" s="162">
        <v>0</v>
      </c>
      <c r="P25" s="162">
        <v>1655.25</v>
      </c>
      <c r="Q25" s="162">
        <v>627.5</v>
      </c>
      <c r="R25" s="162">
        <v>0</v>
      </c>
      <c r="S25" s="162">
        <v>0</v>
      </c>
      <c r="T25" s="162">
        <v>0</v>
      </c>
      <c r="U25" s="162">
        <v>0</v>
      </c>
      <c r="V25" s="162">
        <v>0</v>
      </c>
      <c r="W25" s="162">
        <v>0</v>
      </c>
      <c r="X25" s="162">
        <v>0</v>
      </c>
      <c r="Y25" s="162">
        <v>0</v>
      </c>
      <c r="Z25" s="162">
        <v>0</v>
      </c>
      <c r="AA25" s="162">
        <v>0</v>
      </c>
      <c r="AB25" s="162">
        <v>0</v>
      </c>
      <c r="AC25" s="162">
        <v>0</v>
      </c>
      <c r="AD25" s="162">
        <v>0</v>
      </c>
      <c r="AE25" s="162">
        <v>0</v>
      </c>
      <c r="AF25" s="162">
        <v>0</v>
      </c>
      <c r="AG25" s="162">
        <v>0</v>
      </c>
      <c r="AH25" s="162">
        <v>0</v>
      </c>
      <c r="AI25" s="162">
        <v>0</v>
      </c>
      <c r="AJ25" s="162">
        <v>0</v>
      </c>
      <c r="AK25" s="162">
        <v>0</v>
      </c>
      <c r="AL25" s="162">
        <v>0</v>
      </c>
      <c r="AM25" s="162">
        <v>654.5</v>
      </c>
      <c r="AN25" s="162">
        <v>0</v>
      </c>
      <c r="AO25" s="162">
        <v>0</v>
      </c>
      <c r="AP25" s="162">
        <v>0</v>
      </c>
      <c r="AQ25" s="162">
        <v>0</v>
      </c>
      <c r="AR25" s="162">
        <v>1758</v>
      </c>
      <c r="AS25" s="162">
        <v>0</v>
      </c>
      <c r="AT25" s="162">
        <v>0</v>
      </c>
      <c r="AU25" s="162">
        <v>0</v>
      </c>
      <c r="AV25" s="162">
        <v>0</v>
      </c>
      <c r="AW25" s="162">
        <v>0</v>
      </c>
    </row>
    <row r="26" spans="3:49" x14ac:dyDescent="0.3">
      <c r="C26" s="162">
        <v>56</v>
      </c>
      <c r="D26" s="162">
        <v>6</v>
      </c>
      <c r="E26" s="162">
        <v>6</v>
      </c>
      <c r="F26" s="162">
        <v>750306</v>
      </c>
      <c r="G26" s="162">
        <v>0</v>
      </c>
      <c r="H26" s="162">
        <v>0</v>
      </c>
      <c r="I26" s="162">
        <v>0</v>
      </c>
      <c r="J26" s="162">
        <v>0</v>
      </c>
      <c r="K26" s="162">
        <v>0</v>
      </c>
      <c r="L26" s="162">
        <v>0</v>
      </c>
      <c r="M26" s="162">
        <v>0</v>
      </c>
      <c r="N26" s="162">
        <v>0</v>
      </c>
      <c r="O26" s="162">
        <v>0</v>
      </c>
      <c r="P26" s="162">
        <v>308823</v>
      </c>
      <c r="Q26" s="162">
        <v>153643</v>
      </c>
      <c r="R26" s="162">
        <v>0</v>
      </c>
      <c r="S26" s="162">
        <v>0</v>
      </c>
      <c r="T26" s="162">
        <v>0</v>
      </c>
      <c r="U26" s="162">
        <v>0</v>
      </c>
      <c r="V26" s="162">
        <v>0</v>
      </c>
      <c r="W26" s="162">
        <v>0</v>
      </c>
      <c r="X26" s="162">
        <v>0</v>
      </c>
      <c r="Y26" s="162">
        <v>0</v>
      </c>
      <c r="Z26" s="162">
        <v>0</v>
      </c>
      <c r="AA26" s="162">
        <v>0</v>
      </c>
      <c r="AB26" s="162">
        <v>0</v>
      </c>
      <c r="AC26" s="162">
        <v>0</v>
      </c>
      <c r="AD26" s="162">
        <v>0</v>
      </c>
      <c r="AE26" s="162">
        <v>0</v>
      </c>
      <c r="AF26" s="162">
        <v>0</v>
      </c>
      <c r="AG26" s="162">
        <v>0</v>
      </c>
      <c r="AH26" s="162">
        <v>0</v>
      </c>
      <c r="AI26" s="162">
        <v>0</v>
      </c>
      <c r="AJ26" s="162">
        <v>0</v>
      </c>
      <c r="AK26" s="162">
        <v>0</v>
      </c>
      <c r="AL26" s="162">
        <v>0</v>
      </c>
      <c r="AM26" s="162">
        <v>83024</v>
      </c>
      <c r="AN26" s="162">
        <v>0</v>
      </c>
      <c r="AO26" s="162">
        <v>0</v>
      </c>
      <c r="AP26" s="162">
        <v>0</v>
      </c>
      <c r="AQ26" s="162">
        <v>0</v>
      </c>
      <c r="AR26" s="162">
        <v>204816</v>
      </c>
      <c r="AS26" s="162">
        <v>0</v>
      </c>
      <c r="AT26" s="162">
        <v>0</v>
      </c>
      <c r="AU26" s="162">
        <v>0</v>
      </c>
      <c r="AV26" s="162">
        <v>0</v>
      </c>
      <c r="AW26" s="16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Obsah</vt:lpstr>
      <vt:lpstr>Motivace</vt:lpstr>
      <vt:lpstr>HI</vt:lpstr>
      <vt:lpstr>Man Tab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2016-07-27T14:30:12Z</dcterms:modified>
</cp:coreProperties>
</file>