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C26" i="419"/>
  <c r="H28" i="419" l="1"/>
  <c r="H27" i="419"/>
  <c r="C25" i="419"/>
  <c r="H20" i="419"/>
  <c r="G20" i="419"/>
  <c r="H19" i="419"/>
  <c r="G19" i="419"/>
  <c r="H17" i="419"/>
  <c r="G17" i="419"/>
  <c r="H16" i="419"/>
  <c r="G16" i="419"/>
  <c r="H14" i="419"/>
  <c r="G14" i="419"/>
  <c r="H13" i="419"/>
  <c r="G13" i="419"/>
  <c r="H12" i="419"/>
  <c r="G12" i="419"/>
  <c r="H11" i="419"/>
  <c r="G11" i="419"/>
  <c r="AW3" i="418"/>
  <c r="AV3" i="418"/>
  <c r="AU3" i="418"/>
  <c r="AT3" i="418"/>
  <c r="AS3" i="418"/>
  <c r="AR3" i="418"/>
  <c r="AQ3" i="418"/>
  <c r="AP3" i="418"/>
  <c r="G18" i="419" l="1"/>
  <c r="H18" i="419"/>
  <c r="B25" i="419"/>
  <c r="C27" i="419" l="1"/>
  <c r="B26" i="419"/>
  <c r="B27" i="419" s="1"/>
  <c r="C28" i="419"/>
  <c r="A8" i="414"/>
  <c r="A7" i="414"/>
  <c r="F21" i="419" l="1"/>
  <c r="E21" i="419"/>
  <c r="D21" i="419"/>
  <c r="C21" i="419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C18" i="419" l="1"/>
  <c r="F18" i="419"/>
  <c r="C23" i="419"/>
  <c r="F23" i="419"/>
  <c r="E18" i="419"/>
  <c r="D23" i="419"/>
  <c r="F22" i="419"/>
  <c r="E23" i="419"/>
  <c r="D18" i="419"/>
  <c r="C22" i="419"/>
  <c r="D22" i="419"/>
  <c r="E22" i="419"/>
  <c r="M3" i="418"/>
  <c r="B21" i="419" l="1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H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<sst xmlns="http://schemas.openxmlformats.org/spreadsheetml/2006/main" count="730" uniqueCount="346">
  <si>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</si>
  <si>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</si>
  <si>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</si>
  <si>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</si>
  <si>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</si>
  <si>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</si>
  <si>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</si>
  <si>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</si>
  <si>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</si>
  <si>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</si>
  <si>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</si>
  <si>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</si>
  <si>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</si>
  <si>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</si>
  <si>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</si>
  <si>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</si>
  <si>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</si>
  <si>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</si>
  <si>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</si>
  <si>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</si>
  <si>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</si>
  <si>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</si>
  <si>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</si>
  <si>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</si>
  <si>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</si>
  <si>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</si>
  <si>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</si>
  <si>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</si>
  <si>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</si>
  <si>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</si>
  <si>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</si>
  <si>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</si>
  <si>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</si>
  <si>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</si>
  <si>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</si>
  <si>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</si>
  <si>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</si>
  <si>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</si>
  <si>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</si>
  <si>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</si>
  <si>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</si>
  <si>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</si>
  <si>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</si>
  <si>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</si>
  <si>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</si>
  <si>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</si>
  <si>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</si>
  <si>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</si>
  <si>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</si>
  <si>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</si>
  <si>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</si>
  <si>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</si>
  <si>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</si>
  <si>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</si>
  <si>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</si>
  <si>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</si>
  <si>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</si>
  <si>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</si>
  <si>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</si>
  <si>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</si>
  <si>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</si>
  <si>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</si>
  <si>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</si>
  <si>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</si>
  <si>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</si>
  <si>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</si>
  <si>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</si>
  <si>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</si>
  <si>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</si>
  <si>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</si>
  <si>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</si>
  <si>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</si>
  <si>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</si>
  <si>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</si>
  <si>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</si>
  <si>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</si>
  <si>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</si>
  <si>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</si>
  <si>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</si>
  <si>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</si>
  <si>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</si>
  <si>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</si>
  <si>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</si>
  <si>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</si>
  <si>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</si>
  <si>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</si>
  <si>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</si>
  <si>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</si>
  <si>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</si>
  <si>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</si>
  <si>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</si>
  <si>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</si>
  <si>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</si>
  <si>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</si>
  <si>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</si>
  <si>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</si>
  <si>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</si>
  <si>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</si>
  <si>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</si>
  <si>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</si>
  <si>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</si>
  <si>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</si>
  <si>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</si>
  <si>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</si>
  <si>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</si>
  <si>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</si>
  <si>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</si>
  <si>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</si>
  <si>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</si>
  <si>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</si>
  <si>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</si>
  <si>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</si>
  <si>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</si>
  <si>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</si>
  <si>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</si>
  <si>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</si>
  <si>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</si>
  <si>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</si>
  <si>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</si>
  <si>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</si>
  <si>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</si>
  <si>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</si>
  <si>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</si>
  <si>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</si>
  <si>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</si>
  <si>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</si>
  <si>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</si>
  <si>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</si>
  <si>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</si>
  <si>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</si>
  <si>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</si>
  <si>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</si>
  <si>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</si>
  <si>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</si>
  <si>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</si>
  <si>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</si>
  <si>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</si>
  <si>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</si>
  <si>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</si>
  <si>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</si>
  <si>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</si>
  <si>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</si>
  <si>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</si>
  <si>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</si>
  <si>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</si>
  <si>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</si>
  <si>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</si>
  <si>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</si>
  <si>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</si>
  <si>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</si>
  <si>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</si>
  <si>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</si>
  <si>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</si>
  <si>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</si>
  <si>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</si>
  <si>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</si>
  <si>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</si>
  <si>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</si>
  <si>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</si>
  <si>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</si>
  <si>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</si>
  <si>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</si>
  <si>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</si>
  <si>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</si>
  <si>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</si>
  <si>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</si>
  <si>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</si>
  <si>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</si>
  <si>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</si>
  <si>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</si>
  <si>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</si>
  <si>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</si>
  <si>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</si>
  <si>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</si>
  <si>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</si>
  <si>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</si>
  <si>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</si>
  <si>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</si>
  <si>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</si>
  <si>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</si>
  <si>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</si>
  <si>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</si>
  <si>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</si>
  <si>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</si>
  <si>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</si>
  <si>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</si>
  <si>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</si>
  <si>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</si>
  <si>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</si>
  <si>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</si>
  <si>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</si>
  <si>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</si>
  <si>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</si>
  <si>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</si>
  <si>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</si>
  <si>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</si>
  <si>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</si>
  <si>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</si>
  <si>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</si>
  <si>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</si>
  <si>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</si>
  <si>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</si>
  <si>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</si>
  <si>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</si>
  <si>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</si>
  <si>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</si>
  <si>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</si>
  <si>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</si>
  <si>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</si>
  <si>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</si>
  <si>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</si>
  <si>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</si>
  <si>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</si>
  <si>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</si>
  <si>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</si>
  <si>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</si>
  <si>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</si>
  <si>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</si>
  <si>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</si>
  <si>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</si>
  <si>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</si>
  <si>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</si>
  <si>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</si>
  <si>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</si>
  <si>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</si>
  <si>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</si>
  <si>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</si>
  <si>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</si>
  <si>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</si>
  <si>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</si>
  <si>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</si>
  <si>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</si>
  <si>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</si>
  <si>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</si>
  <si>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</si>
  <si>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</si>
  <si>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</si>
  <si>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</si>
  <si>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</si>
  <si>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</si>
  <si>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</si>
  <si>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</si>
  <si>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</si>
  <si>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</si>
  <si>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</si>
  <si>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</si>
  <si>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</si>
  <si>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</si>
  <si>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</si>
  <si>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</si>
  <si>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</si>
  <si>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</si>
  <si>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</si>
  <si>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</si>
  <si>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</si>
  <si>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</si>
  <si>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</si>
  <si>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</si>
  <si>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</si>
  <si>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</si>
  <si>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</si>
  <si>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</si>
  <si>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</si>
  <si>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</si>
  <si>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</si>
  <si>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</si>
  <si>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</si>
  <si>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</si>
  <si>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</si>
  <si>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</si>
  <si>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</si>
  <si>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</si>
  <si>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</si>
  <si>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</si>
  <si>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</si>
  <si>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</si>
  <si>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</si>
  <si>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</si>
  <si>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</si>
  <si>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</si>
  <si>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</si>
  <si>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</si>
  <si>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</si>
  <si>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</si>
  <si>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</si>
  <si>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</si>
  <si>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</si>
  <si>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</si>
  <si>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</si>
  <si>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</si>
  <si>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</si>
  <si>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</si>
  <si>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</si>
  <si>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</si>
  <si>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</si>
  <si>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</si>
  <si>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</si>
  <si>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</si>
  <si>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</si>
  <si>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</si>
  <si>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</si>
  <si>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</si>
  <si>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</si>
  <si>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</si>
  <si>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</si>
  <si>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</si>
  <si>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</si>
  <si>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</si>
  <si>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</si>
  <si>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50113001</t>
  </si>
  <si>
    <t>O</t>
  </si>
  <si>
    <t>900503</t>
  </si>
  <si>
    <t>0</t>
  </si>
  <si>
    <t>KL AQUA PURIF. 1000G</t>
  </si>
  <si>
    <t>841498</t>
  </si>
  <si>
    <t>Carbosorb tbl.20-blistr</t>
  </si>
  <si>
    <t>930759</t>
  </si>
  <si>
    <t>MS BENZINUM  900 ml  FA , KU</t>
  </si>
  <si>
    <t>DPH 21%</t>
  </si>
  <si>
    <t>192414</t>
  </si>
  <si>
    <t>92414</t>
  </si>
  <si>
    <t>SEPTONEX</t>
  </si>
  <si>
    <t>SPR 1X45ML</t>
  </si>
  <si>
    <t>930224</t>
  </si>
  <si>
    <t>KL BENZINUM 900ml/ 600g</t>
  </si>
  <si>
    <t>UN 3295</t>
  </si>
  <si>
    <t>920294</t>
  </si>
  <si>
    <t>KL SOL.FORMALDEHYDI 3% 1 KG</t>
  </si>
  <si>
    <t>901176</t>
  </si>
  <si>
    <t>IR AC.BORICI AQ.OPHTAL.50 ML</t>
  </si>
  <si>
    <t>IR OČNI VODA 50 ml</t>
  </si>
  <si>
    <t>COSS: oddělení centrální sterilizace</t>
  </si>
  <si>
    <t>COSS: OCS - detašované pracoviště Ortopedie</t>
  </si>
  <si>
    <t>Lékárna - léčiva</t>
  </si>
  <si>
    <t>56 - Oddělení centrální sterilizace</t>
  </si>
  <si>
    <t>5693 - oddělení centrální sterilizace</t>
  </si>
  <si>
    <t>5695 - OCS - detašované pracoviště Ortopedie</t>
  </si>
  <si>
    <t>5696</t>
  </si>
  <si>
    <t>OCS - detašované pracoviště  DK</t>
  </si>
  <si>
    <t>OCS - detašované pracoviště  DK Celkem</t>
  </si>
  <si>
    <t>ZM292</t>
  </si>
  <si>
    <t>Rukavice nitril sempercare bez p. M bal. á 200 ks 30803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</si>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</sst>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0" borderId="70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6" xfId="0" applyFont="1" applyFill="1" applyBorder="1"/>
    <xf numFmtId="0" fontId="39" fillId="0" borderId="84" xfId="0" applyFont="1" applyFill="1" applyBorder="1" applyAlignment="1">
      <alignment horizontal="left" indent="1"/>
    </xf>
    <xf numFmtId="0" fontId="39" fillId="0" borderId="85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6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65" xfId="0" applyNumberFormat="1" applyFont="1" applyFill="1" applyBorder="1"/>
    <xf numFmtId="3" fontId="32" fillId="0" borderId="58" xfId="0" applyNumberFormat="1" applyFont="1" applyFill="1" applyBorder="1"/>
    <xf numFmtId="9" fontId="32" fillId="0" borderId="82" xfId="0" applyNumberFormat="1" applyFont="1" applyFill="1" applyBorder="1"/>
    <xf numFmtId="9" fontId="32" fillId="0" borderId="80" xfId="0" applyNumberFormat="1" applyFont="1" applyFill="1" applyBorder="1"/>
    <xf numFmtId="9" fontId="32" fillId="0" borderId="81" xfId="0" applyNumberFormat="1" applyFont="1" applyFill="1" applyBorder="1"/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0" fontId="0" fillId="0" borderId="107" xfId="0" applyBorder="1"/>
    <xf numFmtId="0" fontId="0" fillId="0" borderId="108" xfId="0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8" xfId="0" applyBorder="1" applyAlignment="1">
      <alignment horizontal="right" wrapText="1"/>
    </xf>
    <xf numFmtId="0" fontId="0" fillId="0" borderId="109" xfId="0" applyBorder="1" applyAlignment="1">
      <alignment horizontal="right" wrapText="1"/>
    </xf>
    <xf numFmtId="175" fontId="32" fillId="0" borderId="109" xfId="0" applyNumberFormat="1" applyFont="1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111" xfId="0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0" fontId="0" fillId="0" borderId="113" xfId="0" applyBorder="1"/>
    <xf numFmtId="0" fontId="0" fillId="0" borderId="112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3" fontId="32" fillId="0" borderId="63" xfId="0" applyNumberFormat="1" applyFont="1" applyBorder="1" applyAlignment="1">
      <alignment horizontal="right" wrapText="1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58" t="s">
        <v>63</v>
      </c>
      <c r="B1" s="258"/>
    </row>
    <row r="2" spans="1:3" ht="14.4" customHeight="1" thickBot="1" x14ac:dyDescent="0.35">
      <c r="A2" s="174" t="s">
        <v>175</v>
      </c>
      <c r="B2" s="41"/>
    </row>
    <row r="3" spans="1:3" ht="14.4" customHeight="1" thickBot="1" x14ac:dyDescent="0.35">
      <c r="A3" s="254" t="s">
        <v>79</v>
      </c>
      <c r="B3" s="255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6" t="s">
        <v>64</v>
      </c>
      <c r="B9" s="255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7" t="s">
        <v>135</v>
      </c>
      <c r="C12" s="42" t="s">
        <v>145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344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7" t="s">
        <v>65</v>
      </c>
      <c r="B17" s="255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4" t="s">
        <v>344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4" customHeight="1" thickBot="1" x14ac:dyDescent="0.35">
      <c r="A2" s="174" t="s">
        <v>175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8" t="s">
        <v>75</v>
      </c>
      <c r="I3" s="71">
        <f>IF(J3&lt;&gt;0,K3/J3,0)</f>
        <v>0.71</v>
      </c>
      <c r="J3" s="71">
        <f>SUBTOTAL(9,J5:J1048576)</f>
        <v>9800</v>
      </c>
      <c r="K3" s="72">
        <f>SUBTOTAL(9,K5:K1048576)</f>
        <v>6958</v>
      </c>
    </row>
    <row r="4" spans="1:11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54</v>
      </c>
      <c r="H4" s="340" t="s">
        <v>10</v>
      </c>
      <c r="I4" s="341" t="s">
        <v>81</v>
      </c>
      <c r="J4" s="341" t="s">
        <v>12</v>
      </c>
      <c r="K4" s="342" t="s">
        <v>89</v>
      </c>
    </row>
    <row r="5" spans="1:11" ht="14.4" customHeight="1" thickBot="1" x14ac:dyDescent="0.35">
      <c r="A5" s="385" t="s">
        <v>296</v>
      </c>
      <c r="B5" s="386" t="s">
        <v>297</v>
      </c>
      <c r="C5" s="387" t="s">
        <v>301</v>
      </c>
      <c r="D5" s="388" t="s">
        <v>331</v>
      </c>
      <c r="E5" s="387" t="s">
        <v>342</v>
      </c>
      <c r="F5" s="388" t="s">
        <v>343</v>
      </c>
      <c r="G5" s="387" t="s">
        <v>340</v>
      </c>
      <c r="H5" s="387" t="s">
        <v>341</v>
      </c>
      <c r="I5" s="389">
        <v>0.71</v>
      </c>
      <c r="J5" s="389">
        <v>9800</v>
      </c>
      <c r="K5" s="390">
        <v>6958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7" width="13.109375" customWidth="1"/>
    <col min="8" max="8" width="13.109375" hidden="1" customWidth="1"/>
  </cols>
  <sheetData>
    <row r="1" spans="1:46" ht="18.600000000000001" thickBot="1" x14ac:dyDescent="0.4">
      <c r="A1" s="304" t="s">
        <v>61</v>
      </c>
      <c r="B1" s="289"/>
      <c r="C1" s="289"/>
      <c r="D1" s="289"/>
      <c r="E1" s="289"/>
      <c r="F1" s="289"/>
      <c r="G1" s="289"/>
      <c r="H1" s="289"/>
    </row>
    <row r="2" spans="1:46" ht="15" thickBot="1" x14ac:dyDescent="0.35">
      <c r="A2" s="174" t="s">
        <v>175</v>
      </c>
      <c r="B2" s="175"/>
      <c r="C2" s="175"/>
      <c r="D2" s="175"/>
      <c r="E2" s="175"/>
      <c r="F2" s="175"/>
    </row>
    <row r="3" spans="1:46" x14ac:dyDescent="0.3">
      <c r="A3" s="193" t="s">
        <v>124</v>
      </c>
      <c r="B3" s="302" t="s">
        <v>108</v>
      </c>
      <c r="C3" s="196">
        <v>302</v>
      </c>
      <c r="D3" s="196">
        <v>303</v>
      </c>
      <c r="E3" s="196">
        <v>304</v>
      </c>
      <c r="F3" s="176">
        <v>629</v>
      </c>
      <c r="G3" s="176">
        <v>642</v>
      </c>
      <c r="H3" s="177">
        <v>930</v>
      </c>
      <c r="AT3" s="405"/>
    </row>
    <row r="4" spans="1:46" ht="24.6" outlineLevel="1" thickBot="1" x14ac:dyDescent="0.35">
      <c r="A4" s="194">
        <v>2016</v>
      </c>
      <c r="B4" s="303"/>
      <c r="C4" s="197" t="s">
        <v>148</v>
      </c>
      <c r="D4" s="197" t="s">
        <v>149</v>
      </c>
      <c r="E4" s="197" t="s">
        <v>150</v>
      </c>
      <c r="F4" s="178" t="s">
        <v>132</v>
      </c>
      <c r="G4" s="178" t="s">
        <v>133</v>
      </c>
      <c r="H4" s="179" t="s">
        <v>126</v>
      </c>
      <c r="AT4" s="405"/>
    </row>
    <row r="5" spans="1:46" x14ac:dyDescent="0.3">
      <c r="A5" s="180" t="s">
        <v>109</v>
      </c>
      <c r="B5" s="216"/>
      <c r="C5" s="217"/>
      <c r="D5" s="217"/>
      <c r="E5" s="217"/>
      <c r="F5" s="217"/>
      <c r="G5" s="217"/>
      <c r="H5" s="218"/>
      <c r="AT5" s="405"/>
    </row>
    <row r="6" spans="1:46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31.8</v>
      </c>
      <c r="C6" s="220">
        <f xml:space="preserve">
TRUNC(IF($A$4&lt;=12,SUMIFS('ON Data'!O:O,'ON Data'!$D:$D,$A$4,'ON Data'!$E:$E,1),SUMIFS('ON Data'!O:O,'ON Data'!$E:$E,1)/'ON Data'!$D$3),1)</f>
        <v>0</v>
      </c>
      <c r="D6" s="220">
        <f xml:space="preserve">
TRUNC(IF($A$4&lt;=12,SUMIFS('ON Data'!P:P,'ON Data'!$D:$D,$A$4,'ON Data'!$E:$E,1),SUMIFS('ON Data'!P:P,'ON Data'!$E:$E,1)/'ON Data'!$D$3),1)</f>
        <v>12.9</v>
      </c>
      <c r="E6" s="220">
        <f xml:space="preserve">
TRUNC(IF($A$4&lt;=12,SUMIFS('ON Data'!Q:Q,'ON Data'!$D:$D,$A$4,'ON Data'!$E:$E,1),SUMIFS('ON Data'!Q:Q,'ON Data'!$E:$E,1)/'ON Data'!$D$3),1)</f>
        <v>2.4</v>
      </c>
      <c r="F6" s="220">
        <f xml:space="preserve">
TRUNC(IF($A$4&lt;=12,SUMIFS('ON Data'!AM:AM,'ON Data'!$D:$D,$A$4,'ON Data'!$E:$E,1),SUMIFS('ON Data'!AM:AM,'ON Data'!$E:$E,1)/'ON Data'!$D$3),1)</f>
        <v>4.4000000000000004</v>
      </c>
      <c r="G6" s="220">
        <f xml:space="preserve">
TRUNC(IF($A$4&lt;=12,SUMIFS('ON Data'!AR:AR,'ON Data'!$D:$D,$A$4,'ON Data'!$E:$E,1),SUMIFS('ON Data'!AR:AR,'ON Data'!$E:$E,1)/'ON Data'!$D$3),1)</f>
        <v>12</v>
      </c>
      <c r="H6" s="221">
        <f xml:space="preserve">
TRUNC(IF($A$4&lt;=12,SUMIFS('ON Data'!AW:AW,'ON Data'!$D:$D,$A$4,'ON Data'!$E:$E,1),SUMIFS('ON Data'!AW:AW,'ON Data'!$E:$E,1)/'ON Data'!$D$3),1)</f>
        <v>0</v>
      </c>
      <c r="AT6" s="405"/>
    </row>
    <row r="7" spans="1:46" ht="15" hidden="1" outlineLevel="1" thickBot="1" x14ac:dyDescent="0.35">
      <c r="A7" s="181" t="s">
        <v>62</v>
      </c>
      <c r="B7" s="219"/>
      <c r="C7" s="220"/>
      <c r="D7" s="220"/>
      <c r="E7" s="220"/>
      <c r="F7" s="220"/>
      <c r="G7" s="220"/>
      <c r="H7" s="221"/>
      <c r="AT7" s="405"/>
    </row>
    <row r="8" spans="1:46" ht="15" hidden="1" outlineLevel="1" thickBot="1" x14ac:dyDescent="0.35">
      <c r="A8" s="181" t="s">
        <v>57</v>
      </c>
      <c r="B8" s="219"/>
      <c r="C8" s="220"/>
      <c r="D8" s="220"/>
      <c r="E8" s="220"/>
      <c r="F8" s="220"/>
      <c r="G8" s="220"/>
      <c r="H8" s="221"/>
      <c r="AT8" s="405"/>
    </row>
    <row r="9" spans="1:46" ht="15" hidden="1" outlineLevel="1" thickBot="1" x14ac:dyDescent="0.35">
      <c r="A9" s="182" t="s">
        <v>52</v>
      </c>
      <c r="B9" s="222"/>
      <c r="C9" s="223"/>
      <c r="D9" s="223"/>
      <c r="E9" s="223"/>
      <c r="F9" s="223"/>
      <c r="G9" s="223"/>
      <c r="H9" s="224"/>
      <c r="AT9" s="405"/>
    </row>
    <row r="10" spans="1:46" x14ac:dyDescent="0.3">
      <c r="A10" s="183" t="s">
        <v>110</v>
      </c>
      <c r="B10" s="198"/>
      <c r="C10" s="199"/>
      <c r="D10" s="199"/>
      <c r="E10" s="199"/>
      <c r="F10" s="199"/>
      <c r="G10" s="199"/>
      <c r="H10" s="200"/>
      <c r="AT10" s="405"/>
    </row>
    <row r="11" spans="1:46" x14ac:dyDescent="0.3">
      <c r="A11" s="184" t="s">
        <v>111</v>
      </c>
      <c r="B11" s="201">
        <f xml:space="preserve">
IF($A$4&lt;=12,SUMIFS('ON Data'!F:F,'ON Data'!$D:$D,$A$4,'ON Data'!$E:$E,2),SUMIFS('ON Data'!F:F,'ON Data'!$E:$E,2))</f>
        <v>32339.5</v>
      </c>
      <c r="C11" s="202">
        <f xml:space="preserve">
IF($A$4&lt;=12,SUMIFS('ON Data'!O:O,'ON Data'!$D:$D,$A$4,'ON Data'!$E:$E,2),SUMIFS('ON Data'!O:O,'ON Data'!$E:$E,2))</f>
        <v>0</v>
      </c>
      <c r="D11" s="202">
        <f xml:space="preserve">
IF($A$4&lt;=12,SUMIFS('ON Data'!P:P,'ON Data'!$D:$D,$A$4,'ON Data'!$E:$E,2),SUMIFS('ON Data'!P:P,'ON Data'!$E:$E,2))</f>
        <v>13113.25</v>
      </c>
      <c r="E11" s="202">
        <f xml:space="preserve">
IF($A$4&lt;=12,SUMIFS('ON Data'!Q:Q,'ON Data'!$D:$D,$A$4,'ON Data'!$E:$E,2),SUMIFS('ON Data'!Q:Q,'ON Data'!$E:$E,2))</f>
        <v>2182.25</v>
      </c>
      <c r="F11" s="202">
        <f xml:space="preserve">
IF($A$4&lt;=12,SUMIFS('ON Data'!AM:AM,'ON Data'!$D:$D,$A$4,'ON Data'!$E:$E,2),SUMIFS('ON Data'!AM:AM,'ON Data'!$E:$E,2))</f>
        <v>4472.5</v>
      </c>
      <c r="G11" s="202">
        <f xml:space="preserve">
IF($A$4&lt;=12,SUMIFS('ON Data'!AR:AR,'ON Data'!$D:$D,$A$4,'ON Data'!$E:$E,2),SUMIFS('ON Data'!AR:AR,'ON Data'!$E:$E,2))</f>
        <v>12571.5</v>
      </c>
      <c r="H11" s="203">
        <f xml:space="preserve">
IF($A$4&lt;=12,SUMIFS('ON Data'!AW:AW,'ON Data'!$D:$D,$A$4,'ON Data'!$E:$E,2),SUMIFS('ON Data'!AW:AW,'ON Data'!$E:$E,2))</f>
        <v>0</v>
      </c>
      <c r="AT11" s="405"/>
    </row>
    <row r="12" spans="1:46" x14ac:dyDescent="0.3">
      <c r="A12" s="184" t="s">
        <v>112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Data'!O:O,'ON Data'!$D:$D,$A$4,'ON Data'!$E:$E,3),SUMIFS('ON Data'!O:O,'ON Data'!$E:$E,3))</f>
        <v>0</v>
      </c>
      <c r="D12" s="202">
        <f xml:space="preserve">
IF($A$4&lt;=12,SUMIFS('ON Data'!P:P,'ON Data'!$D:$D,$A$4,'ON Data'!$E:$E,3),SUMIFS('ON Data'!P:P,'ON Data'!$E:$E,3))</f>
        <v>0</v>
      </c>
      <c r="E12" s="202">
        <f xml:space="preserve">
IF($A$4&lt;=12,SUMIFS('ON Data'!Q:Q,'ON Data'!$D:$D,$A$4,'ON Data'!$E:$E,3),SUMIFS('ON Data'!Q:Q,'ON Data'!$E:$E,3))</f>
        <v>0</v>
      </c>
      <c r="F12" s="202">
        <f xml:space="preserve">
IF($A$4&lt;=12,SUMIFS('ON Data'!AM:AM,'ON Data'!$D:$D,$A$4,'ON Data'!$E:$E,3),SUMIFS('ON Data'!AM:AM,'ON Data'!$E:$E,3))</f>
        <v>0</v>
      </c>
      <c r="G12" s="202">
        <f xml:space="preserve">
IF($A$4&lt;=12,SUMIFS('ON Data'!AR:AR,'ON Data'!$D:$D,$A$4,'ON Data'!$E:$E,3),SUMIFS('ON Data'!AR:AR,'ON Data'!$E:$E,3))</f>
        <v>0</v>
      </c>
      <c r="H12" s="203">
        <f xml:space="preserve">
IF($A$4&lt;=12,SUMIFS('ON Data'!AW:AW,'ON Data'!$D:$D,$A$4,'ON Data'!$E:$E,3),SUMIFS('ON Data'!AW:AW,'ON Data'!$E:$E,3))</f>
        <v>0</v>
      </c>
      <c r="AT12" s="405"/>
    </row>
    <row r="13" spans="1:46" x14ac:dyDescent="0.3">
      <c r="A13" s="184" t="s">
        <v>119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Data'!O:O,'ON Data'!$D:$D,$A$4,'ON Data'!$E:$E,4),SUMIFS('ON Data'!O:O,'ON Data'!$E:$E,4))</f>
        <v>0</v>
      </c>
      <c r="D13" s="202">
        <f xml:space="preserve">
IF($A$4&lt;=12,SUMIFS('ON Data'!P:P,'ON Data'!$D:$D,$A$4,'ON Data'!$E:$E,4),SUMIFS('ON Data'!P:P,'ON Data'!$E:$E,4))</f>
        <v>0</v>
      </c>
      <c r="E13" s="202">
        <f xml:space="preserve">
IF($A$4&lt;=12,SUMIFS('ON Data'!Q:Q,'ON Data'!$D:$D,$A$4,'ON Data'!$E:$E,4),SUMIFS('ON Data'!Q:Q,'ON Data'!$E:$E,4))</f>
        <v>0</v>
      </c>
      <c r="F13" s="202">
        <f xml:space="preserve">
IF($A$4&lt;=12,SUMIFS('ON Data'!AM:AM,'ON Data'!$D:$D,$A$4,'ON Data'!$E:$E,4),SUMIFS('ON Data'!AM:AM,'ON Data'!$E:$E,4))</f>
        <v>0</v>
      </c>
      <c r="G13" s="202">
        <f xml:space="preserve">
IF($A$4&lt;=12,SUMIFS('ON Data'!AR:AR,'ON Data'!$D:$D,$A$4,'ON Data'!$E:$E,4),SUMIFS('ON Data'!AR:AR,'ON Data'!$E:$E,4))</f>
        <v>0</v>
      </c>
      <c r="H13" s="203">
        <f xml:space="preserve">
IF($A$4&lt;=12,SUMIFS('ON Data'!AW:AW,'ON Data'!$D:$D,$A$4,'ON Data'!$E:$E,4),SUMIFS('ON Data'!AW:AW,'ON Data'!$E:$E,4))</f>
        <v>0</v>
      </c>
      <c r="AT13" s="405"/>
    </row>
    <row r="14" spans="1:46" ht="15" thickBot="1" x14ac:dyDescent="0.35">
      <c r="A14" s="185" t="s">
        <v>113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Data'!O:O,'ON Data'!$D:$D,$A$4,'ON Data'!$E:$E,5),SUMIFS('ON Data'!O:O,'ON Data'!$E:$E,5))</f>
        <v>0</v>
      </c>
      <c r="D14" s="205">
        <f xml:space="preserve">
IF($A$4&lt;=12,SUMIFS('ON Data'!P:P,'ON Data'!$D:$D,$A$4,'ON Data'!$E:$E,5),SUMIFS('ON Data'!P:P,'ON Data'!$E:$E,5))</f>
        <v>0</v>
      </c>
      <c r="E14" s="205">
        <f xml:space="preserve">
IF($A$4&lt;=12,SUMIFS('ON Data'!Q:Q,'ON Data'!$D:$D,$A$4,'ON Data'!$E:$E,5),SUMIFS('ON Data'!Q:Q,'ON Data'!$E:$E,5))</f>
        <v>0</v>
      </c>
      <c r="F14" s="205">
        <f xml:space="preserve">
IF($A$4&lt;=12,SUMIFS('ON Data'!AM:AM,'ON Data'!$D:$D,$A$4,'ON Data'!$E:$E,5),SUMIFS('ON Data'!AM:AM,'ON Data'!$E:$E,5))</f>
        <v>0</v>
      </c>
      <c r="G14" s="205">
        <f xml:space="preserve">
IF($A$4&lt;=12,SUMIFS('ON Data'!AR:AR,'ON Data'!$D:$D,$A$4,'ON Data'!$E:$E,5),SUMIFS('ON Data'!AR:AR,'ON Data'!$E:$E,5))</f>
        <v>0</v>
      </c>
      <c r="H14" s="206">
        <f xml:space="preserve">
IF($A$4&lt;=12,SUMIFS('ON Data'!AW:AW,'ON Data'!$D:$D,$A$4,'ON Data'!$E:$E,5),SUMIFS('ON Data'!AW:AW,'ON Data'!$E:$E,5))</f>
        <v>0</v>
      </c>
      <c r="AT14" s="405"/>
    </row>
    <row r="15" spans="1:46" x14ac:dyDescent="0.3">
      <c r="A15" s="126" t="s">
        <v>123</v>
      </c>
      <c r="B15" s="207"/>
      <c r="C15" s="208"/>
      <c r="D15" s="208"/>
      <c r="E15" s="208"/>
      <c r="F15" s="208"/>
      <c r="G15" s="208"/>
      <c r="H15" s="209"/>
      <c r="AT15" s="405"/>
    </row>
    <row r="16" spans="1:46" x14ac:dyDescent="0.3">
      <c r="A16" s="186" t="s">
        <v>114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Data'!O:O,'ON Data'!$D:$D,$A$4,'ON Data'!$E:$E,7),SUMIFS('ON Data'!O:O,'ON Data'!$E:$E,7))</f>
        <v>0</v>
      </c>
      <c r="D16" s="202">
        <f xml:space="preserve">
IF($A$4&lt;=12,SUMIFS('ON Data'!P:P,'ON Data'!$D:$D,$A$4,'ON Data'!$E:$E,7),SUMIFS('ON Data'!P:P,'ON Data'!$E:$E,7))</f>
        <v>0</v>
      </c>
      <c r="E16" s="202">
        <f xml:space="preserve">
IF($A$4&lt;=12,SUMIFS('ON Data'!Q:Q,'ON Data'!$D:$D,$A$4,'ON Data'!$E:$E,7),SUMIFS('ON Data'!Q:Q,'ON Data'!$E:$E,7))</f>
        <v>0</v>
      </c>
      <c r="F16" s="202">
        <f xml:space="preserve">
IF($A$4&lt;=12,SUMIFS('ON Data'!AM:AM,'ON Data'!$D:$D,$A$4,'ON Data'!$E:$E,7),SUMIFS('ON Data'!AM:AM,'ON Data'!$E:$E,7))</f>
        <v>0</v>
      </c>
      <c r="G16" s="202">
        <f xml:space="preserve">
IF($A$4&lt;=12,SUMIFS('ON Data'!AR:AR,'ON Data'!$D:$D,$A$4,'ON Data'!$E:$E,7),SUMIFS('ON Data'!AR:AR,'ON Data'!$E:$E,7))</f>
        <v>0</v>
      </c>
      <c r="H16" s="203">
        <f xml:space="preserve">
IF($A$4&lt;=12,SUMIFS('ON Data'!AW:AW,'ON Data'!$D:$D,$A$4,'ON Data'!$E:$E,7),SUMIFS('ON Data'!AW:AW,'ON Data'!$E:$E,7))</f>
        <v>0</v>
      </c>
      <c r="AT16" s="405"/>
    </row>
    <row r="17" spans="1:46" x14ac:dyDescent="0.3">
      <c r="A17" s="186" t="s">
        <v>115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Data'!O:O,'ON Data'!$D:$D,$A$4,'ON Data'!$E:$E,8),SUMIFS('ON Data'!O:O,'ON Data'!$E:$E,8))</f>
        <v>0</v>
      </c>
      <c r="D17" s="202">
        <f xml:space="preserve">
IF($A$4&lt;=12,SUMIFS('ON Data'!P:P,'ON Data'!$D:$D,$A$4,'ON Data'!$E:$E,8),SUMIFS('ON Data'!P:P,'ON Data'!$E:$E,8))</f>
        <v>0</v>
      </c>
      <c r="E17" s="202">
        <f xml:space="preserve">
IF($A$4&lt;=12,SUMIFS('ON Data'!Q:Q,'ON Data'!$D:$D,$A$4,'ON Data'!$E:$E,8),SUMIFS('ON Data'!Q:Q,'ON Data'!$E:$E,8))</f>
        <v>0</v>
      </c>
      <c r="F17" s="202">
        <f xml:space="preserve">
IF($A$4&lt;=12,SUMIFS('ON Data'!AM:AM,'ON Data'!$D:$D,$A$4,'ON Data'!$E:$E,8),SUMIFS('ON Data'!AM:AM,'ON Data'!$E:$E,8))</f>
        <v>0</v>
      </c>
      <c r="G17" s="202">
        <f xml:space="preserve">
IF($A$4&lt;=12,SUMIFS('ON Data'!AR:AR,'ON Data'!$D:$D,$A$4,'ON Data'!$E:$E,8),SUMIFS('ON Data'!AR:AR,'ON Data'!$E:$E,8))</f>
        <v>0</v>
      </c>
      <c r="H17" s="203">
        <f xml:space="preserve">
IF($A$4&lt;=12,SUMIFS('ON Data'!AW:AW,'ON Data'!$D:$D,$A$4,'ON Data'!$E:$E,8),SUMIFS('ON Data'!AW:AW,'ON Data'!$E:$E,8))</f>
        <v>0</v>
      </c>
      <c r="AT17" s="405"/>
    </row>
    <row r="18" spans="1:46" x14ac:dyDescent="0.3">
      <c r="A18" s="186" t="s">
        <v>116</v>
      </c>
      <c r="B18" s="201">
        <f xml:space="preserve">
B19-B16-B17</f>
        <v>289399</v>
      </c>
      <c r="C18" s="202">
        <f t="shared" ref="C18:F18" si="0" xml:space="preserve">
C19-C16-C17</f>
        <v>0</v>
      </c>
      <c r="D18" s="202">
        <f t="shared" si="0"/>
        <v>117575</v>
      </c>
      <c r="E18" s="202">
        <f t="shared" si="0"/>
        <v>72190</v>
      </c>
      <c r="F18" s="202">
        <f t="shared" si="0"/>
        <v>37009</v>
      </c>
      <c r="G18" s="202">
        <f t="shared" ref="G18:H18" si="1" xml:space="preserve">
G19-G16-G17</f>
        <v>62625</v>
      </c>
      <c r="H18" s="203">
        <f t="shared" si="1"/>
        <v>0</v>
      </c>
      <c r="AT18" s="405"/>
    </row>
    <row r="19" spans="1:46" ht="15" thickBot="1" x14ac:dyDescent="0.35">
      <c r="A19" s="187" t="s">
        <v>117</v>
      </c>
      <c r="B19" s="210">
        <f xml:space="preserve">
IF($A$4&lt;=12,SUMIFS('ON Data'!F:F,'ON Data'!$D:$D,$A$4,'ON Data'!$E:$E,9),SUMIFS('ON Data'!F:F,'ON Data'!$E:$E,9))</f>
        <v>289399</v>
      </c>
      <c r="C19" s="211">
        <f xml:space="preserve">
IF($A$4&lt;=12,SUMIFS('ON Data'!O:O,'ON Data'!$D:$D,$A$4,'ON Data'!$E:$E,9),SUMIFS('ON Data'!O:O,'ON Data'!$E:$E,9))</f>
        <v>0</v>
      </c>
      <c r="D19" s="211">
        <f xml:space="preserve">
IF($A$4&lt;=12,SUMIFS('ON Data'!P:P,'ON Data'!$D:$D,$A$4,'ON Data'!$E:$E,9),SUMIFS('ON Data'!P:P,'ON Data'!$E:$E,9))</f>
        <v>117575</v>
      </c>
      <c r="E19" s="211">
        <f xml:space="preserve">
IF($A$4&lt;=12,SUMIFS('ON Data'!Q:Q,'ON Data'!$D:$D,$A$4,'ON Data'!$E:$E,9),SUMIFS('ON Data'!Q:Q,'ON Data'!$E:$E,9))</f>
        <v>72190</v>
      </c>
      <c r="F19" s="211">
        <f xml:space="preserve">
IF($A$4&lt;=12,SUMIFS('ON Data'!AM:AM,'ON Data'!$D:$D,$A$4,'ON Data'!$E:$E,9),SUMIFS('ON Data'!AM:AM,'ON Data'!$E:$E,9))</f>
        <v>37009</v>
      </c>
      <c r="G19" s="211">
        <f xml:space="preserve">
IF($A$4&lt;=12,SUMIFS('ON Data'!AR:AR,'ON Data'!$D:$D,$A$4,'ON Data'!$E:$E,9),SUMIFS('ON Data'!AR:AR,'ON Data'!$E:$E,9))</f>
        <v>62625</v>
      </c>
      <c r="H19" s="212">
        <f xml:space="preserve">
IF($A$4&lt;=12,SUMIFS('ON Data'!AW:AW,'ON Data'!$D:$D,$A$4,'ON Data'!$E:$E,9),SUMIFS('ON Data'!AW:AW,'ON Data'!$E:$E,9))</f>
        <v>0</v>
      </c>
      <c r="AT19" s="405"/>
    </row>
    <row r="20" spans="1:46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5477346</v>
      </c>
      <c r="C20" s="214">
        <f xml:space="preserve">
IF($A$4&lt;=12,SUMIFS('ON Data'!O:O,'ON Data'!$D:$D,$A$4,'ON Data'!$E:$E,6),SUMIFS('ON Data'!O:O,'ON Data'!$E:$E,6))</f>
        <v>0</v>
      </c>
      <c r="D20" s="214">
        <f xml:space="preserve">
IF($A$4&lt;=12,SUMIFS('ON Data'!P:P,'ON Data'!$D:$D,$A$4,'ON Data'!$E:$E,6),SUMIFS('ON Data'!P:P,'ON Data'!$E:$E,6))</f>
        <v>2645976</v>
      </c>
      <c r="E20" s="214">
        <f xml:space="preserve">
IF($A$4&lt;=12,SUMIFS('ON Data'!Q:Q,'ON Data'!$D:$D,$A$4,'ON Data'!$E:$E,6),SUMIFS('ON Data'!Q:Q,'ON Data'!$E:$E,6))</f>
        <v>650281</v>
      </c>
      <c r="F20" s="214">
        <f xml:space="preserve">
IF($A$4&lt;=12,SUMIFS('ON Data'!AM:AM,'ON Data'!$D:$D,$A$4,'ON Data'!$E:$E,6),SUMIFS('ON Data'!AM:AM,'ON Data'!$E:$E,6))</f>
        <v>652318</v>
      </c>
      <c r="G20" s="214">
        <f xml:space="preserve">
IF($A$4&lt;=12,SUMIFS('ON Data'!AR:AR,'ON Data'!$D:$D,$A$4,'ON Data'!$E:$E,6),SUMIFS('ON Data'!AR:AR,'ON Data'!$E:$E,6))</f>
        <v>1528771</v>
      </c>
      <c r="H20" s="215">
        <f xml:space="preserve">
IF($A$4&lt;=12,SUMIFS('ON Data'!AW:AW,'ON Data'!$D:$D,$A$4,'ON Data'!$E:$E,6),SUMIFS('ON Data'!AW:AW,'ON Data'!$E:$E,6))</f>
        <v>0</v>
      </c>
      <c r="AT20" s="405"/>
    </row>
    <row r="21" spans="1:46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Data'!O:O,'ON Data'!$D:$D,$A$4,'ON Data'!$E:$E,12),SUMIFS('ON Data'!O:O,'ON Data'!$E:$E,12))</f>
        <v>0</v>
      </c>
      <c r="D21" s="202">
        <f xml:space="preserve">
IF($A$4&lt;=12,SUMIFS('ON Data'!P:P,'ON Data'!$D:$D,$A$4,'ON Data'!$E:$E,12),SUMIFS('ON Data'!P:P,'ON Data'!$E:$E,12))</f>
        <v>0</v>
      </c>
      <c r="E21" s="202">
        <f xml:space="preserve">
IF($A$4&lt;=12,SUMIFS('ON Data'!Q:Q,'ON Data'!$D:$D,$A$4,'ON Data'!$E:$E,12),SUMIFS('ON Data'!Q:Q,'ON Data'!$E:$E,12))</f>
        <v>0</v>
      </c>
      <c r="F21" s="202">
        <f xml:space="preserve">
IF($A$4&lt;=12,SUMIFS('ON Data'!AM:AM,'ON Data'!$D:$D,$A$4,'ON Data'!$E:$E,12),SUMIFS('ON Data'!AM:AM,'ON Data'!$E:$E,12))</f>
        <v>0</v>
      </c>
      <c r="AT21" s="405"/>
    </row>
    <row r="22" spans="1:46" ht="15" hidden="1" outlineLevel="1" thickBot="1" x14ac:dyDescent="0.35">
      <c r="A22" s="181" t="s">
        <v>57</v>
      </c>
      <c r="B22" s="252" t="str">
        <f xml:space="preserve">
IF(OR(B21="",B21=0),"",B20/B21)</f>
        <v/>
      </c>
      <c r="C22" s="253" t="str">
        <f t="shared" ref="C22:F22" si="2" xml:space="preserve">
IF(OR(C21="",C21=0),"",C20/C21)</f>
        <v/>
      </c>
      <c r="D22" s="253" t="str">
        <f t="shared" si="2"/>
        <v/>
      </c>
      <c r="E22" s="253" t="str">
        <f t="shared" si="2"/>
        <v/>
      </c>
      <c r="F22" s="253" t="str">
        <f t="shared" si="2"/>
        <v/>
      </c>
      <c r="AT22" s="405"/>
    </row>
    <row r="23" spans="1:46" ht="15" hidden="1" outlineLevel="1" thickBot="1" x14ac:dyDescent="0.35">
      <c r="A23" s="189" t="s">
        <v>52</v>
      </c>
      <c r="B23" s="204">
        <f xml:space="preserve">
IF(B21="","",B20-B21)</f>
        <v>5477346</v>
      </c>
      <c r="C23" s="205">
        <f t="shared" ref="C23:F23" si="3" xml:space="preserve">
IF(C21="","",C20-C21)</f>
        <v>0</v>
      </c>
      <c r="D23" s="205">
        <f t="shared" si="3"/>
        <v>2645976</v>
      </c>
      <c r="E23" s="205">
        <f t="shared" si="3"/>
        <v>650281</v>
      </c>
      <c r="F23" s="205">
        <f t="shared" si="3"/>
        <v>652318</v>
      </c>
      <c r="AT23" s="405"/>
    </row>
    <row r="24" spans="1:46" x14ac:dyDescent="0.3">
      <c r="A24" s="183" t="s">
        <v>118</v>
      </c>
      <c r="B24" s="229" t="s">
        <v>2</v>
      </c>
      <c r="C24" s="406" t="s">
        <v>129</v>
      </c>
      <c r="D24" s="391"/>
      <c r="E24" s="392"/>
      <c r="F24" s="392"/>
      <c r="G24" s="392"/>
      <c r="H24" s="393" t="s">
        <v>130</v>
      </c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404"/>
      <c r="AT24" s="405"/>
    </row>
    <row r="25" spans="1:46" x14ac:dyDescent="0.3">
      <c r="A25" s="184" t="s">
        <v>55</v>
      </c>
      <c r="B25" s="201">
        <f xml:space="preserve">
SUM(C25:H25)</f>
        <v>0</v>
      </c>
      <c r="C25" s="407">
        <f xml:space="preserve">
IF($A$4&lt;=12,SUMIFS('ON Data'!O:O,'ON Data'!$D:$D,$A$4,'ON Data'!$E:$E,10),SUMIFS('ON Data'!O:O,'ON Data'!$E:$E,10))</f>
        <v>0</v>
      </c>
      <c r="D25" s="395"/>
      <c r="E25" s="396"/>
      <c r="F25" s="396"/>
      <c r="G25" s="396"/>
      <c r="H25" s="397">
        <f xml:space="preserve">
IF($A$4&lt;=12,SUMIFS('ON Data'!AW:AW,'ON Data'!$D:$D,$A$4,'ON Data'!$E:$E,10),SUMIFS('ON Data'!AW:AW,'ON Data'!$E:$E,10))</f>
        <v>0</v>
      </c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404"/>
      <c r="AT25" s="405"/>
    </row>
    <row r="26" spans="1:46" x14ac:dyDescent="0.3">
      <c r="A26" s="190" t="s">
        <v>128</v>
      </c>
      <c r="B26" s="210">
        <f xml:space="preserve">
SUM(C26:H26)</f>
        <v>0</v>
      </c>
      <c r="C26" s="408">
        <f xml:space="preserve">
IF($A$4&lt;=12,SUMIFS('ON Data'!O:O,'ON Data'!$D:$D,$A$4,'ON Data'!$E:$E,11),SUMIFS('ON Data'!O:O,'ON Data'!$E:$E,11))</f>
        <v>0</v>
      </c>
      <c r="D26" s="398"/>
      <c r="E26" s="399"/>
      <c r="F26" s="399"/>
      <c r="G26" s="399"/>
      <c r="H26" s="397">
        <f xml:space="preserve">
IF($A$4&lt;=12,SUMIFS('ON Data'!AW:AW,'ON Data'!$D:$D,$A$4,'ON Data'!$E:$E,11),SUMIFS('ON Data'!AW:AW,'ON Data'!$E:$E,11))</f>
        <v>0</v>
      </c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404"/>
      <c r="AT26" s="405"/>
    </row>
    <row r="27" spans="1:46" x14ac:dyDescent="0.3">
      <c r="A27" s="190" t="s">
        <v>57</v>
      </c>
      <c r="B27" s="230">
        <f xml:space="preserve">
IF(B26=0,0,B25/B26)</f>
        <v>0</v>
      </c>
      <c r="C27" s="409">
        <f xml:space="preserve">
IF(C26=0,0,C25/C26)</f>
        <v>0</v>
      </c>
      <c r="D27" s="395"/>
      <c r="E27" s="396"/>
      <c r="F27" s="396"/>
      <c r="G27" s="396"/>
      <c r="H27" s="400">
        <f xml:space="preserve">
IF(H26=0,0,H25/H26)</f>
        <v>0</v>
      </c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394"/>
      <c r="AI27" s="394"/>
      <c r="AJ27" s="394"/>
      <c r="AK27" s="394"/>
      <c r="AL27" s="394"/>
      <c r="AM27" s="394"/>
      <c r="AN27" s="394"/>
      <c r="AO27" s="394"/>
      <c r="AP27" s="394"/>
      <c r="AQ27" s="394"/>
      <c r="AR27" s="394"/>
      <c r="AS27" s="404"/>
      <c r="AT27" s="405"/>
    </row>
    <row r="28" spans="1:46" ht="15" thickBot="1" x14ac:dyDescent="0.35">
      <c r="A28" s="190" t="s">
        <v>127</v>
      </c>
      <c r="B28" s="210">
        <f xml:space="preserve">
SUM(C28:H28)</f>
        <v>0</v>
      </c>
      <c r="C28" s="410">
        <f xml:space="preserve">
C26-C25</f>
        <v>0</v>
      </c>
      <c r="D28" s="401"/>
      <c r="E28" s="402"/>
      <c r="F28" s="402"/>
      <c r="G28" s="402"/>
      <c r="H28" s="403">
        <f xml:space="preserve">
H26-H25</f>
        <v>0</v>
      </c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394"/>
      <c r="Z28" s="394"/>
      <c r="AA28" s="394"/>
      <c r="AB28" s="394"/>
      <c r="AC28" s="394"/>
      <c r="AD28" s="394"/>
      <c r="AE28" s="394"/>
      <c r="AF28" s="394"/>
      <c r="AG28" s="394"/>
      <c r="AH28" s="394"/>
      <c r="AI28" s="394"/>
      <c r="AJ28" s="394"/>
      <c r="AK28" s="394"/>
      <c r="AL28" s="394"/>
      <c r="AM28" s="394"/>
      <c r="AN28" s="394"/>
      <c r="AO28" s="394"/>
      <c r="AP28" s="394"/>
      <c r="AQ28" s="394"/>
      <c r="AR28" s="394"/>
      <c r="AS28" s="404"/>
      <c r="AT28" s="405"/>
    </row>
    <row r="29" spans="1:46" x14ac:dyDescent="0.3">
      <c r="A29" s="191"/>
      <c r="B29" s="191"/>
      <c r="C29" s="192"/>
      <c r="D29" s="192"/>
      <c r="E29" s="192"/>
      <c r="F29" s="191"/>
    </row>
    <row r="30" spans="1:46" x14ac:dyDescent="0.3">
      <c r="A30" s="79" t="s">
        <v>90</v>
      </c>
      <c r="B30" s="96"/>
      <c r="C30" s="96"/>
      <c r="D30" s="96"/>
      <c r="E30" s="96"/>
      <c r="F30" s="114"/>
    </row>
    <row r="31" spans="1:46" x14ac:dyDescent="0.3">
      <c r="A31" s="80" t="s">
        <v>125</v>
      </c>
      <c r="B31" s="96"/>
      <c r="C31" s="96"/>
      <c r="D31" s="96"/>
      <c r="E31" s="96"/>
      <c r="F31" s="114"/>
    </row>
    <row r="32" spans="1:46" ht="14.4" customHeight="1" x14ac:dyDescent="0.3">
      <c r="A32" s="226" t="s">
        <v>122</v>
      </c>
      <c r="B32" s="227"/>
      <c r="C32" s="227"/>
      <c r="D32" s="227"/>
      <c r="E32" s="227"/>
    </row>
    <row r="33" spans="1:1" x14ac:dyDescent="0.3">
      <c r="A33" s="228" t="s">
        <v>151</v>
      </c>
    </row>
    <row r="34" spans="1:1" x14ac:dyDescent="0.3">
      <c r="A34" s="228" t="s">
        <v>152</v>
      </c>
    </row>
    <row r="35" spans="1:1" x14ac:dyDescent="0.3">
      <c r="A35" s="228" t="s">
        <v>153</v>
      </c>
    </row>
    <row r="36" spans="1:1" x14ac:dyDescent="0.3">
      <c r="A36" s="228" t="s">
        <v>131</v>
      </c>
    </row>
  </sheetData>
  <mergeCells count="7">
    <mergeCell ref="B3:B4"/>
    <mergeCell ref="A1:H1"/>
    <mergeCell ref="C27:G27"/>
    <mergeCell ref="C28:G28"/>
    <mergeCell ref="C24:G24"/>
    <mergeCell ref="C25:G25"/>
    <mergeCell ref="C26:G26"/>
  </mergeCells>
  <conditionalFormatting sqref="B22:F22">
    <cfRule type="cellIs" dxfId="5" priority="6" operator="greaterThan">
      <formula>1</formula>
    </cfRule>
  </conditionalFormatting>
  <conditionalFormatting sqref="B23:F23">
    <cfRule type="cellIs" dxfId="4" priority="5" operator="greaterThan">
      <formula>0</formula>
    </cfRule>
  </conditionalFormatting>
  <conditionalFormatting sqref="H27">
    <cfRule type="cellIs" dxfId="3" priority="4" operator="greaterThan">
      <formula>1</formula>
    </cfRule>
  </conditionalFormatting>
  <conditionalFormatting sqref="H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0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345</v>
      </c>
    </row>
    <row r="2" spans="1:49" x14ac:dyDescent="0.3">
      <c r="A2" s="174" t="s">
        <v>175</v>
      </c>
    </row>
    <row r="3" spans="1:49" x14ac:dyDescent="0.3">
      <c r="A3" s="170" t="s">
        <v>95</v>
      </c>
      <c r="B3" s="195">
        <v>2016</v>
      </c>
      <c r="D3" s="171">
        <f>MAX(D5:D1048576)</f>
        <v>7</v>
      </c>
      <c r="F3" s="171">
        <f>SUMIF($E5:$E1048576,"&lt;10",F5:F1048576)</f>
        <v>5799307.25</v>
      </c>
      <c r="G3" s="171">
        <f t="shared" ref="G3:AW3" si="0">SUMIF($E5:$E1048576,"&lt;10",G5:G1048576)</f>
        <v>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2776755</v>
      </c>
      <c r="Q3" s="171">
        <f t="shared" si="0"/>
        <v>724670.25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693830.5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1604051.5</v>
      </c>
      <c r="AS3" s="171">
        <f t="shared" si="0"/>
        <v>0</v>
      </c>
      <c r="AT3" s="171">
        <f t="shared" si="0"/>
        <v>0</v>
      </c>
      <c r="AU3" s="171">
        <f t="shared" si="0"/>
        <v>0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5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5">
        <v>2</v>
      </c>
      <c r="C5" s="170">
        <v>56</v>
      </c>
      <c r="D5" s="170">
        <v>1</v>
      </c>
      <c r="E5" s="170">
        <v>1</v>
      </c>
      <c r="F5" s="170">
        <v>32.25</v>
      </c>
      <c r="G5" s="170">
        <v>0</v>
      </c>
      <c r="H5" s="170">
        <v>0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15.25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5</v>
      </c>
      <c r="AN5" s="170">
        <v>0</v>
      </c>
      <c r="AO5" s="170">
        <v>0</v>
      </c>
      <c r="AP5" s="170">
        <v>0</v>
      </c>
      <c r="AQ5" s="170">
        <v>0</v>
      </c>
      <c r="AR5" s="170">
        <v>12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5">
        <v>3</v>
      </c>
      <c r="C6" s="170">
        <v>56</v>
      </c>
      <c r="D6" s="170">
        <v>1</v>
      </c>
      <c r="E6" s="170">
        <v>2</v>
      </c>
      <c r="F6" s="170">
        <v>4878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2241.25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739.5</v>
      </c>
      <c r="AN6" s="170">
        <v>0</v>
      </c>
      <c r="AO6" s="170">
        <v>0</v>
      </c>
      <c r="AP6" s="170">
        <v>0</v>
      </c>
      <c r="AQ6" s="170">
        <v>0</v>
      </c>
      <c r="AR6" s="170">
        <v>1897.25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5">
        <v>4</v>
      </c>
      <c r="C7" s="170">
        <v>56</v>
      </c>
      <c r="D7" s="170">
        <v>1</v>
      </c>
      <c r="E7" s="170">
        <v>6</v>
      </c>
      <c r="F7" s="170">
        <v>731577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431533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93371</v>
      </c>
      <c r="AN7" s="170">
        <v>0</v>
      </c>
      <c r="AO7" s="170">
        <v>0</v>
      </c>
      <c r="AP7" s="170">
        <v>0</v>
      </c>
      <c r="AQ7" s="170">
        <v>0</v>
      </c>
      <c r="AR7" s="170">
        <v>206673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5">
        <v>5</v>
      </c>
      <c r="C8" s="170">
        <v>56</v>
      </c>
      <c r="D8" s="170">
        <v>1</v>
      </c>
      <c r="E8" s="170">
        <v>9</v>
      </c>
      <c r="F8" s="170">
        <v>10600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5600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4000</v>
      </c>
      <c r="AN8" s="170">
        <v>0</v>
      </c>
      <c r="AO8" s="170">
        <v>0</v>
      </c>
      <c r="AP8" s="170">
        <v>0</v>
      </c>
      <c r="AQ8" s="170">
        <v>0</v>
      </c>
      <c r="AR8" s="170">
        <v>1000</v>
      </c>
      <c r="AS8" s="170">
        <v>0</v>
      </c>
      <c r="AT8" s="170">
        <v>0</v>
      </c>
      <c r="AU8" s="170">
        <v>0</v>
      </c>
      <c r="AV8" s="170">
        <v>0</v>
      </c>
      <c r="AW8" s="170">
        <v>0</v>
      </c>
    </row>
    <row r="9" spans="1:49" x14ac:dyDescent="0.3">
      <c r="A9" s="170" t="s">
        <v>101</v>
      </c>
      <c r="B9" s="195">
        <v>6</v>
      </c>
      <c r="C9" s="170">
        <v>56</v>
      </c>
      <c r="D9" s="170">
        <v>2</v>
      </c>
      <c r="E9" s="170">
        <v>1</v>
      </c>
      <c r="F9" s="170">
        <v>32.25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15.25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5</v>
      </c>
      <c r="AN9" s="170">
        <v>0</v>
      </c>
      <c r="AO9" s="170">
        <v>0</v>
      </c>
      <c r="AP9" s="170">
        <v>0</v>
      </c>
      <c r="AQ9" s="170">
        <v>0</v>
      </c>
      <c r="AR9" s="170">
        <v>12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5">
        <v>7</v>
      </c>
      <c r="C10" s="170">
        <v>56</v>
      </c>
      <c r="D10" s="170">
        <v>2</v>
      </c>
      <c r="E10" s="170">
        <v>2</v>
      </c>
      <c r="F10" s="170">
        <v>4739.25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2186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779</v>
      </c>
      <c r="AN10" s="170">
        <v>0</v>
      </c>
      <c r="AO10" s="170">
        <v>0</v>
      </c>
      <c r="AP10" s="170">
        <v>0</v>
      </c>
      <c r="AQ10" s="170">
        <v>0</v>
      </c>
      <c r="AR10" s="170">
        <v>1774.25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5">
        <v>8</v>
      </c>
      <c r="C11" s="170">
        <v>56</v>
      </c>
      <c r="D11" s="170">
        <v>2</v>
      </c>
      <c r="E11" s="170">
        <v>6</v>
      </c>
      <c r="F11" s="170">
        <v>719208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423357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96755</v>
      </c>
      <c r="AN11" s="170">
        <v>0</v>
      </c>
      <c r="AO11" s="170">
        <v>0</v>
      </c>
      <c r="AP11" s="170">
        <v>0</v>
      </c>
      <c r="AQ11" s="170">
        <v>0</v>
      </c>
      <c r="AR11" s="170">
        <v>199096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5">
        <v>9</v>
      </c>
      <c r="C12" s="170">
        <v>56</v>
      </c>
      <c r="D12" s="170">
        <v>2</v>
      </c>
      <c r="E12" s="170">
        <v>9</v>
      </c>
      <c r="F12" s="170">
        <v>10600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8600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2000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5">
        <v>10</v>
      </c>
      <c r="C13" s="170">
        <v>56</v>
      </c>
      <c r="D13" s="170">
        <v>3</v>
      </c>
      <c r="E13" s="170">
        <v>1</v>
      </c>
      <c r="F13" s="170">
        <v>32.25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15.25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5</v>
      </c>
      <c r="AN13" s="170">
        <v>0</v>
      </c>
      <c r="AO13" s="170">
        <v>0</v>
      </c>
      <c r="AP13" s="170">
        <v>0</v>
      </c>
      <c r="AQ13" s="170">
        <v>0</v>
      </c>
      <c r="AR13" s="170">
        <v>12</v>
      </c>
      <c r="AS13" s="170">
        <v>0</v>
      </c>
      <c r="AT13" s="170">
        <v>0</v>
      </c>
      <c r="AU13" s="170">
        <v>0</v>
      </c>
      <c r="AV13" s="170">
        <v>0</v>
      </c>
      <c r="AW13" s="170">
        <v>0</v>
      </c>
    </row>
    <row r="14" spans="1:49" x14ac:dyDescent="0.3">
      <c r="A14" s="170" t="s">
        <v>106</v>
      </c>
      <c r="B14" s="195">
        <v>11</v>
      </c>
      <c r="C14" s="170">
        <v>56</v>
      </c>
      <c r="D14" s="170">
        <v>3</v>
      </c>
      <c r="E14" s="170">
        <v>2</v>
      </c>
      <c r="F14" s="170">
        <v>4759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2205.75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602</v>
      </c>
      <c r="AN14" s="170">
        <v>0</v>
      </c>
      <c r="AO14" s="170">
        <v>0</v>
      </c>
      <c r="AP14" s="170">
        <v>0</v>
      </c>
      <c r="AQ14" s="170">
        <v>0</v>
      </c>
      <c r="AR14" s="170">
        <v>1951.25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5">
        <v>12</v>
      </c>
      <c r="C15" s="170">
        <v>56</v>
      </c>
      <c r="D15" s="170">
        <v>3</v>
      </c>
      <c r="E15" s="170">
        <v>6</v>
      </c>
      <c r="F15" s="170">
        <v>727589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426993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90596</v>
      </c>
      <c r="AN15" s="170">
        <v>0</v>
      </c>
      <c r="AO15" s="170">
        <v>0</v>
      </c>
      <c r="AP15" s="170">
        <v>0</v>
      </c>
      <c r="AQ15" s="170">
        <v>0</v>
      </c>
      <c r="AR15" s="170">
        <v>210000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5">
        <v>2016</v>
      </c>
      <c r="C16" s="170">
        <v>56</v>
      </c>
      <c r="D16" s="170">
        <v>3</v>
      </c>
      <c r="E16" s="170">
        <v>9</v>
      </c>
      <c r="F16" s="170">
        <v>10600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7600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2000</v>
      </c>
      <c r="AN16" s="170">
        <v>0</v>
      </c>
      <c r="AO16" s="170">
        <v>0</v>
      </c>
      <c r="AP16" s="170">
        <v>0</v>
      </c>
      <c r="AQ16" s="170">
        <v>0</v>
      </c>
      <c r="AR16" s="170">
        <v>1000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56</v>
      </c>
      <c r="D17" s="170">
        <v>4</v>
      </c>
      <c r="E17" s="170">
        <v>1</v>
      </c>
      <c r="F17" s="170">
        <v>31.25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11.25</v>
      </c>
      <c r="Q17" s="170">
        <v>4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4</v>
      </c>
      <c r="AN17" s="170">
        <v>0</v>
      </c>
      <c r="AO17" s="170">
        <v>0</v>
      </c>
      <c r="AP17" s="170">
        <v>0</v>
      </c>
      <c r="AQ17" s="170">
        <v>0</v>
      </c>
      <c r="AR17" s="170">
        <v>12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56</v>
      </c>
      <c r="D18" s="170">
        <v>4</v>
      </c>
      <c r="E18" s="170">
        <v>2</v>
      </c>
      <c r="F18" s="170">
        <v>4684.5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1687.75</v>
      </c>
      <c r="Q18" s="170">
        <v>504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0</v>
      </c>
      <c r="AM18" s="170">
        <v>617</v>
      </c>
      <c r="AN18" s="170">
        <v>0</v>
      </c>
      <c r="AO18" s="170">
        <v>0</v>
      </c>
      <c r="AP18" s="170">
        <v>0</v>
      </c>
      <c r="AQ18" s="170">
        <v>0</v>
      </c>
      <c r="AR18" s="170">
        <v>1875.75</v>
      </c>
      <c r="AS18" s="170">
        <v>0</v>
      </c>
      <c r="AT18" s="170">
        <v>0</v>
      </c>
      <c r="AU18" s="170">
        <v>0</v>
      </c>
      <c r="AV18" s="170">
        <v>0</v>
      </c>
      <c r="AW18" s="170">
        <v>0</v>
      </c>
    </row>
    <row r="19" spans="3:49" x14ac:dyDescent="0.3">
      <c r="C19" s="170">
        <v>56</v>
      </c>
      <c r="D19" s="170">
        <v>4</v>
      </c>
      <c r="E19" s="170">
        <v>6</v>
      </c>
      <c r="F19" s="170">
        <v>734106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317710</v>
      </c>
      <c r="Q19" s="170">
        <v>115650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88848</v>
      </c>
      <c r="AN19" s="170">
        <v>0</v>
      </c>
      <c r="AO19" s="170">
        <v>0</v>
      </c>
      <c r="AP19" s="170">
        <v>0</v>
      </c>
      <c r="AQ19" s="170">
        <v>0</v>
      </c>
      <c r="AR19" s="170">
        <v>211898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56</v>
      </c>
      <c r="D20" s="170">
        <v>4</v>
      </c>
      <c r="E20" s="170">
        <v>9</v>
      </c>
      <c r="F20" s="170">
        <v>10600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6600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4000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  <row r="21" spans="3:49" x14ac:dyDescent="0.3">
      <c r="C21" s="170">
        <v>56</v>
      </c>
      <c r="D21" s="170">
        <v>5</v>
      </c>
      <c r="E21" s="170">
        <v>1</v>
      </c>
      <c r="F21" s="170">
        <v>31.25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11.25</v>
      </c>
      <c r="Q21" s="170">
        <v>4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4</v>
      </c>
      <c r="AN21" s="170">
        <v>0</v>
      </c>
      <c r="AO21" s="170">
        <v>0</v>
      </c>
      <c r="AP21" s="170">
        <v>0</v>
      </c>
      <c r="AQ21" s="170">
        <v>0</v>
      </c>
      <c r="AR21" s="170">
        <v>12</v>
      </c>
      <c r="AS21" s="170">
        <v>0</v>
      </c>
      <c r="AT21" s="170">
        <v>0</v>
      </c>
      <c r="AU21" s="170">
        <v>0</v>
      </c>
      <c r="AV21" s="170">
        <v>0</v>
      </c>
      <c r="AW21" s="170">
        <v>0</v>
      </c>
    </row>
    <row r="22" spans="3:49" x14ac:dyDescent="0.3">
      <c r="C22" s="170">
        <v>56</v>
      </c>
      <c r="D22" s="170">
        <v>5</v>
      </c>
      <c r="E22" s="170">
        <v>2</v>
      </c>
      <c r="F22" s="170">
        <v>4710.25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1726.5</v>
      </c>
      <c r="Q22" s="170">
        <v>541.75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589.5</v>
      </c>
      <c r="AN22" s="170">
        <v>0</v>
      </c>
      <c r="AO22" s="170">
        <v>0</v>
      </c>
      <c r="AP22" s="170">
        <v>0</v>
      </c>
      <c r="AQ22" s="170">
        <v>0</v>
      </c>
      <c r="AR22" s="170">
        <v>1852.5</v>
      </c>
      <c r="AS22" s="170">
        <v>0</v>
      </c>
      <c r="AT22" s="170">
        <v>0</v>
      </c>
      <c r="AU22" s="170">
        <v>0</v>
      </c>
      <c r="AV22" s="170">
        <v>0</v>
      </c>
      <c r="AW22" s="170">
        <v>0</v>
      </c>
    </row>
    <row r="23" spans="3:49" x14ac:dyDescent="0.3">
      <c r="C23" s="170">
        <v>56</v>
      </c>
      <c r="D23" s="170">
        <v>5</v>
      </c>
      <c r="E23" s="170">
        <v>6</v>
      </c>
      <c r="F23" s="170">
        <v>770561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325440</v>
      </c>
      <c r="Q23" s="170">
        <v>138564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87707</v>
      </c>
      <c r="AN23" s="170">
        <v>0</v>
      </c>
      <c r="AO23" s="170">
        <v>0</v>
      </c>
      <c r="AP23" s="170">
        <v>0</v>
      </c>
      <c r="AQ23" s="170">
        <v>0</v>
      </c>
      <c r="AR23" s="170">
        <v>218850</v>
      </c>
      <c r="AS23" s="170">
        <v>0</v>
      </c>
      <c r="AT23" s="170">
        <v>0</v>
      </c>
      <c r="AU23" s="170">
        <v>0</v>
      </c>
      <c r="AV23" s="170">
        <v>0</v>
      </c>
      <c r="AW23" s="170">
        <v>0</v>
      </c>
    </row>
    <row r="24" spans="3:49" x14ac:dyDescent="0.3">
      <c r="C24" s="170">
        <v>56</v>
      </c>
      <c r="D24" s="170">
        <v>6</v>
      </c>
      <c r="E24" s="170">
        <v>1</v>
      </c>
      <c r="F24" s="170">
        <v>31.25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11.25</v>
      </c>
      <c r="Q24" s="170">
        <v>4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0</v>
      </c>
      <c r="AM24" s="170">
        <v>4</v>
      </c>
      <c r="AN24" s="170">
        <v>0</v>
      </c>
      <c r="AO24" s="170">
        <v>0</v>
      </c>
      <c r="AP24" s="170">
        <v>0</v>
      </c>
      <c r="AQ24" s="170">
        <v>0</v>
      </c>
      <c r="AR24" s="170">
        <v>12</v>
      </c>
      <c r="AS24" s="170">
        <v>0</v>
      </c>
      <c r="AT24" s="170">
        <v>0</v>
      </c>
      <c r="AU24" s="170">
        <v>0</v>
      </c>
      <c r="AV24" s="170">
        <v>0</v>
      </c>
      <c r="AW24" s="170">
        <v>0</v>
      </c>
    </row>
    <row r="25" spans="3:49" x14ac:dyDescent="0.3">
      <c r="C25" s="170">
        <v>56</v>
      </c>
      <c r="D25" s="170">
        <v>6</v>
      </c>
      <c r="E25" s="170">
        <v>2</v>
      </c>
      <c r="F25" s="170">
        <v>4695.25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1655.25</v>
      </c>
      <c r="Q25" s="170">
        <v>627.5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654.5</v>
      </c>
      <c r="AN25" s="170">
        <v>0</v>
      </c>
      <c r="AO25" s="170">
        <v>0</v>
      </c>
      <c r="AP25" s="170">
        <v>0</v>
      </c>
      <c r="AQ25" s="170">
        <v>0</v>
      </c>
      <c r="AR25" s="170">
        <v>1758</v>
      </c>
      <c r="AS25" s="170">
        <v>0</v>
      </c>
      <c r="AT25" s="170">
        <v>0</v>
      </c>
      <c r="AU25" s="170">
        <v>0</v>
      </c>
      <c r="AV25" s="170">
        <v>0</v>
      </c>
      <c r="AW25" s="170">
        <v>0</v>
      </c>
    </row>
    <row r="26" spans="3:49" x14ac:dyDescent="0.3">
      <c r="C26" s="170">
        <v>56</v>
      </c>
      <c r="D26" s="170">
        <v>6</v>
      </c>
      <c r="E26" s="170">
        <v>6</v>
      </c>
      <c r="F26" s="170">
        <v>750306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  <c r="P26" s="170">
        <v>308823</v>
      </c>
      <c r="Q26" s="170">
        <v>153643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83024</v>
      </c>
      <c r="AN26" s="170">
        <v>0</v>
      </c>
      <c r="AO26" s="170">
        <v>0</v>
      </c>
      <c r="AP26" s="170">
        <v>0</v>
      </c>
      <c r="AQ26" s="170">
        <v>0</v>
      </c>
      <c r="AR26" s="170">
        <v>204816</v>
      </c>
      <c r="AS26" s="170">
        <v>0</v>
      </c>
      <c r="AT26" s="170">
        <v>0</v>
      </c>
      <c r="AU26" s="170">
        <v>0</v>
      </c>
      <c r="AV26" s="170">
        <v>0</v>
      </c>
      <c r="AW26" s="170">
        <v>0</v>
      </c>
    </row>
    <row r="27" spans="3:49" x14ac:dyDescent="0.3">
      <c r="C27" s="170">
        <v>56</v>
      </c>
      <c r="D27" s="170">
        <v>7</v>
      </c>
      <c r="E27" s="170">
        <v>1</v>
      </c>
      <c r="F27" s="170">
        <v>32.25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11.25</v>
      </c>
      <c r="Q27" s="170">
        <v>5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4</v>
      </c>
      <c r="AN27" s="170">
        <v>0</v>
      </c>
      <c r="AO27" s="170">
        <v>0</v>
      </c>
      <c r="AP27" s="170">
        <v>0</v>
      </c>
      <c r="AQ27" s="170">
        <v>0</v>
      </c>
      <c r="AR27" s="170">
        <v>12</v>
      </c>
      <c r="AS27" s="170">
        <v>0</v>
      </c>
      <c r="AT27" s="170">
        <v>0</v>
      </c>
      <c r="AU27" s="170">
        <v>0</v>
      </c>
      <c r="AV27" s="170">
        <v>0</v>
      </c>
      <c r="AW27" s="170">
        <v>0</v>
      </c>
    </row>
    <row r="28" spans="3:49" x14ac:dyDescent="0.3">
      <c r="C28" s="170">
        <v>56</v>
      </c>
      <c r="D28" s="170">
        <v>7</v>
      </c>
      <c r="E28" s="170">
        <v>2</v>
      </c>
      <c r="F28" s="170">
        <v>3873.25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1410.75</v>
      </c>
      <c r="Q28" s="170">
        <v>509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491</v>
      </c>
      <c r="AN28" s="170">
        <v>0</v>
      </c>
      <c r="AO28" s="170">
        <v>0</v>
      </c>
      <c r="AP28" s="170">
        <v>0</v>
      </c>
      <c r="AQ28" s="170">
        <v>0</v>
      </c>
      <c r="AR28" s="170">
        <v>1462.5</v>
      </c>
      <c r="AS28" s="170">
        <v>0</v>
      </c>
      <c r="AT28" s="170">
        <v>0</v>
      </c>
      <c r="AU28" s="170">
        <v>0</v>
      </c>
      <c r="AV28" s="170">
        <v>0</v>
      </c>
      <c r="AW28" s="170">
        <v>0</v>
      </c>
    </row>
    <row r="29" spans="3:49" x14ac:dyDescent="0.3">
      <c r="C29" s="170">
        <v>56</v>
      </c>
      <c r="D29" s="170">
        <v>7</v>
      </c>
      <c r="E29" s="170">
        <v>6</v>
      </c>
      <c r="F29" s="170">
        <v>1043999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412120</v>
      </c>
      <c r="Q29" s="170">
        <v>242424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112017</v>
      </c>
      <c r="AN29" s="170">
        <v>0</v>
      </c>
      <c r="AO29" s="170">
        <v>0</v>
      </c>
      <c r="AP29" s="170">
        <v>0</v>
      </c>
      <c r="AQ29" s="170">
        <v>0</v>
      </c>
      <c r="AR29" s="170">
        <v>277438</v>
      </c>
      <c r="AS29" s="170">
        <v>0</v>
      </c>
      <c r="AT29" s="170">
        <v>0</v>
      </c>
      <c r="AU29" s="170">
        <v>0</v>
      </c>
      <c r="AV29" s="170">
        <v>0</v>
      </c>
      <c r="AW29" s="170">
        <v>0</v>
      </c>
    </row>
    <row r="30" spans="3:49" x14ac:dyDescent="0.3">
      <c r="C30" s="170">
        <v>56</v>
      </c>
      <c r="D30" s="170">
        <v>7</v>
      </c>
      <c r="E30" s="170">
        <v>9</v>
      </c>
      <c r="F30" s="170">
        <v>246999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89175</v>
      </c>
      <c r="Q30" s="170">
        <v>72190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25009</v>
      </c>
      <c r="AN30" s="170">
        <v>0</v>
      </c>
      <c r="AO30" s="170">
        <v>0</v>
      </c>
      <c r="AP30" s="170">
        <v>0</v>
      </c>
      <c r="AQ30" s="170">
        <v>0</v>
      </c>
      <c r="AR30" s="170">
        <v>60625</v>
      </c>
      <c r="AS30" s="170">
        <v>0</v>
      </c>
      <c r="AT30" s="170">
        <v>0</v>
      </c>
      <c r="AU30" s="170">
        <v>0</v>
      </c>
      <c r="AV30" s="170">
        <v>0</v>
      </c>
      <c r="AW30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58" t="s">
        <v>73</v>
      </c>
      <c r="B1" s="258"/>
      <c r="C1" s="259"/>
      <c r="D1" s="259"/>
      <c r="E1" s="259"/>
    </row>
    <row r="2" spans="1:5" ht="14.4" customHeight="1" thickBot="1" x14ac:dyDescent="0.35">
      <c r="A2" s="174" t="s">
        <v>175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14987.285816995582</v>
      </c>
      <c r="D4" s="124">
        <f ca="1">IF(ISERROR(VLOOKUP("Náklady celkem",INDIRECT("HI!$A:$G"),5,0)),0,VLOOKUP("Náklady celkem",INDIRECT("HI!$A:$G"),5,0))</f>
        <v>15466.704949999999</v>
      </c>
      <c r="E4" s="125">
        <f ca="1">IF(C4=0,0,D4/C4)</f>
        <v>1.0319883892826516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32.083336229799748</v>
      </c>
      <c r="D7" s="132">
        <f>IF(ISERROR(HI!E5),"",HI!E5)</f>
        <v>38.909530000000004</v>
      </c>
      <c r="E7" s="129">
        <f t="shared" ref="E7:E12" si="0">IF(C7=0,0,D7/C7)</f>
        <v>1.2127644619408355</v>
      </c>
    </row>
    <row r="8" spans="1:5" ht="14.4" customHeight="1" x14ac:dyDescent="0.3">
      <c r="A8" s="250" t="str">
        <f>HYPERLINK("#'LŽ Statim'!A1","Podíl statimových žádanek (max. 30%)")</f>
        <v>Podíl statimových žádanek (max. 30%)</v>
      </c>
      <c r="B8" s="248" t="s">
        <v>145</v>
      </c>
      <c r="C8" s="249">
        <v>0.3</v>
      </c>
      <c r="D8" s="249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12.249999497932585</v>
      </c>
      <c r="D12" s="132">
        <f>IF(ISERROR(HI!E6),"",HI!E6)</f>
        <v>6.9580000000000002</v>
      </c>
      <c r="E12" s="129">
        <f t="shared" si="0"/>
        <v>0.56800002327953503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7128.9173102616624</v>
      </c>
      <c r="D13" s="128">
        <f ca="1">IF(ISERROR(VLOOKUP("Osobní náklady (Kč) *",INDIRECT("HI!$A:$G"),5,0)),0,VLOOKUP("Osobní náklady (Kč) *",INDIRECT("HI!$A:$G"),5,0))</f>
        <v>7414.861350000001</v>
      </c>
      <c r="E13" s="129">
        <f ca="1">IF(C13=0,0,D13/C13)</f>
        <v>1.0401104441661484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20" operator="lessThan">
      <formula>1</formula>
    </cfRule>
  </conditionalFormatting>
  <conditionalFormatting sqref="E8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58" t="s">
        <v>76</v>
      </c>
      <c r="B1" s="258"/>
      <c r="C1" s="258"/>
      <c r="D1" s="258"/>
      <c r="E1" s="258"/>
      <c r="F1" s="258"/>
      <c r="G1" s="259"/>
      <c r="H1" s="259"/>
    </row>
    <row r="2" spans="1:8" ht="14.4" customHeight="1" thickBot="1" x14ac:dyDescent="0.35">
      <c r="A2" s="174" t="s">
        <v>175</v>
      </c>
      <c r="B2" s="77"/>
      <c r="C2" s="77"/>
      <c r="D2" s="77"/>
      <c r="E2" s="77"/>
      <c r="F2" s="77"/>
    </row>
    <row r="3" spans="1:8" ht="14.4" customHeight="1" x14ac:dyDescent="0.3">
      <c r="A3" s="260"/>
      <c r="B3" s="73">
        <v>2014</v>
      </c>
      <c r="C3" s="40">
        <v>2015</v>
      </c>
      <c r="D3" s="7"/>
      <c r="E3" s="264">
        <v>2016</v>
      </c>
      <c r="F3" s="265"/>
      <c r="G3" s="265"/>
      <c r="H3" s="266"/>
    </row>
    <row r="4" spans="1:8" ht="14.4" customHeight="1" thickBot="1" x14ac:dyDescent="0.35">
      <c r="A4" s="261"/>
      <c r="B4" s="262" t="s">
        <v>55</v>
      </c>
      <c r="C4" s="263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32.783079999999998</v>
      </c>
      <c r="C5" s="29">
        <v>32.224699999999999</v>
      </c>
      <c r="D5" s="8"/>
      <c r="E5" s="83">
        <v>38.909530000000004</v>
      </c>
      <c r="F5" s="28">
        <v>32.083336229799748</v>
      </c>
      <c r="G5" s="82">
        <f>E5-F5</f>
        <v>6.8261937702002555</v>
      </c>
      <c r="H5" s="88">
        <f>IF(F5&lt;0.00000001,"",E5/F5)</f>
        <v>1.2127644619408355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5.2519999999999998</v>
      </c>
      <c r="C6" s="31">
        <v>2.84</v>
      </c>
      <c r="D6" s="8"/>
      <c r="E6" s="84">
        <v>6.9580000000000002</v>
      </c>
      <c r="F6" s="30">
        <v>12.249999497932585</v>
      </c>
      <c r="G6" s="85">
        <f>E6-F6</f>
        <v>-5.2919994979325846</v>
      </c>
      <c r="H6" s="89">
        <f>IF(F6&lt;0.00000001,"",E6/F6)</f>
        <v>0.56800002327953503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6634.5203000000047</v>
      </c>
      <c r="C7" s="31">
        <v>7177.921580000002</v>
      </c>
      <c r="D7" s="8"/>
      <c r="E7" s="84">
        <v>7414.861350000001</v>
      </c>
      <c r="F7" s="30">
        <v>7128.9173102616624</v>
      </c>
      <c r="G7" s="85">
        <f>E7-F7</f>
        <v>285.94403973833869</v>
      </c>
      <c r="H7" s="89">
        <f>IF(F7&lt;0.00000001,"",E7/F7)</f>
        <v>1.0401104441661484</v>
      </c>
    </row>
    <row r="8" spans="1:8" ht="14.4" customHeight="1" thickBot="1" x14ac:dyDescent="0.35">
      <c r="A8" s="1" t="s">
        <v>58</v>
      </c>
      <c r="B8" s="11">
        <v>8083.022410000005</v>
      </c>
      <c r="C8" s="33">
        <v>8164.1303799999978</v>
      </c>
      <c r="D8" s="8"/>
      <c r="E8" s="86">
        <v>8005.9760699999988</v>
      </c>
      <c r="F8" s="32">
        <v>7814.0351710061868</v>
      </c>
      <c r="G8" s="87">
        <f>E8-F8</f>
        <v>191.94089899381197</v>
      </c>
      <c r="H8" s="90">
        <f>IF(F8&lt;0.00000001,"",E8/F8)</f>
        <v>1.0245636082757863</v>
      </c>
    </row>
    <row r="9" spans="1:8" ht="14.4" customHeight="1" thickBot="1" x14ac:dyDescent="0.35">
      <c r="A9" s="2" t="s">
        <v>59</v>
      </c>
      <c r="B9" s="3">
        <v>14755.57779000001</v>
      </c>
      <c r="C9" s="35">
        <v>15377.11666</v>
      </c>
      <c r="D9" s="8"/>
      <c r="E9" s="3">
        <v>15466.704949999999</v>
      </c>
      <c r="F9" s="34">
        <v>14987.285816995582</v>
      </c>
      <c r="G9" s="34">
        <f>E9-F9</f>
        <v>479.41913300441774</v>
      </c>
      <c r="H9" s="91">
        <f>IF(F9&lt;0.00000001,"",E9/F9)</f>
        <v>1.0319883892826516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121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120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146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174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7" t="s">
        <v>177</v>
      </c>
      <c r="B1" s="267"/>
      <c r="C1" s="267"/>
      <c r="D1" s="267"/>
      <c r="E1" s="267"/>
      <c r="F1" s="267"/>
      <c r="G1" s="267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159" customFormat="1" ht="14.4" customHeight="1" thickBot="1" x14ac:dyDescent="0.3">
      <c r="A2" s="174" t="s">
        <v>175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68" t="s">
        <v>13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154</v>
      </c>
      <c r="E4" s="95" t="s">
        <v>155</v>
      </c>
      <c r="F4" s="95" t="s">
        <v>156</v>
      </c>
      <c r="G4" s="95" t="s">
        <v>157</v>
      </c>
      <c r="H4" s="95" t="s">
        <v>158</v>
      </c>
      <c r="I4" s="95" t="s">
        <v>159</v>
      </c>
      <c r="J4" s="95" t="s">
        <v>160</v>
      </c>
      <c r="K4" s="95" t="s">
        <v>161</v>
      </c>
      <c r="L4" s="95" t="s">
        <v>162</v>
      </c>
      <c r="M4" s="95" t="s">
        <v>163</v>
      </c>
      <c r="N4" s="95" t="s">
        <v>164</v>
      </c>
      <c r="O4" s="95" t="s">
        <v>165</v>
      </c>
      <c r="P4" s="270" t="s">
        <v>2</v>
      </c>
      <c r="Q4" s="271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176</v>
      </c>
    </row>
    <row r="7" spans="1:17" ht="14.4" customHeight="1" x14ac:dyDescent="0.3">
      <c r="A7" s="15" t="s">
        <v>19</v>
      </c>
      <c r="B7" s="46">
        <v>55.000004965370998</v>
      </c>
      <c r="C7" s="47">
        <v>4.5833337471139997</v>
      </c>
      <c r="D7" s="47">
        <v>5.7298099999999996</v>
      </c>
      <c r="E7" s="47">
        <v>2.6545700000000001</v>
      </c>
      <c r="F7" s="47">
        <v>6.1855700000000002</v>
      </c>
      <c r="G7" s="47">
        <v>6.3331099999999996</v>
      </c>
      <c r="H7" s="47">
        <v>6.1721899999999996</v>
      </c>
      <c r="I7" s="47">
        <v>6.5296099999999999</v>
      </c>
      <c r="J7" s="47">
        <v>5.3046699999999998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38.909529999999997</v>
      </c>
      <c r="Q7" s="68">
        <v>1.21276446194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176</v>
      </c>
    </row>
    <row r="9" spans="1:17" ht="14.4" customHeight="1" x14ac:dyDescent="0.3">
      <c r="A9" s="15" t="s">
        <v>21</v>
      </c>
      <c r="B9" s="46">
        <v>20.999999139313001</v>
      </c>
      <c r="C9" s="47">
        <v>1.7499999282759999</v>
      </c>
      <c r="D9" s="47">
        <v>0</v>
      </c>
      <c r="E9" s="47">
        <v>1.704</v>
      </c>
      <c r="F9" s="47">
        <v>0.99399999999999999</v>
      </c>
      <c r="G9" s="47">
        <v>1.42</v>
      </c>
      <c r="H9" s="47">
        <v>1.42</v>
      </c>
      <c r="I9" s="47">
        <v>0</v>
      </c>
      <c r="J9" s="47">
        <v>1.42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6.9580000000000002</v>
      </c>
      <c r="Q9" s="68">
        <v>0.56800002327900001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176</v>
      </c>
    </row>
    <row r="11" spans="1:17" ht="14.4" customHeight="1" x14ac:dyDescent="0.3">
      <c r="A11" s="15" t="s">
        <v>23</v>
      </c>
      <c r="B11" s="46">
        <v>2692.1090662463498</v>
      </c>
      <c r="C11" s="47">
        <v>224.34242218719601</v>
      </c>
      <c r="D11" s="47">
        <v>114.3432</v>
      </c>
      <c r="E11" s="47">
        <v>179.86623</v>
      </c>
      <c r="F11" s="47">
        <v>165.18136999999999</v>
      </c>
      <c r="G11" s="47">
        <v>164.61393000000001</v>
      </c>
      <c r="H11" s="47">
        <v>190.3484</v>
      </c>
      <c r="I11" s="47">
        <v>319.781280000001</v>
      </c>
      <c r="J11" s="47">
        <v>150.57023000000001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1284.7046399999999</v>
      </c>
      <c r="Q11" s="68">
        <v>0.81807636957999996</v>
      </c>
    </row>
    <row r="12" spans="1:17" ht="14.4" customHeight="1" x14ac:dyDescent="0.3">
      <c r="A12" s="15" t="s">
        <v>24</v>
      </c>
      <c r="B12" s="46">
        <v>9.3898256564979992</v>
      </c>
      <c r="C12" s="47">
        <v>0.78248547137400004</v>
      </c>
      <c r="D12" s="47">
        <v>2.9905499999999998</v>
      </c>
      <c r="E12" s="47">
        <v>0</v>
      </c>
      <c r="F12" s="47">
        <v>0.158</v>
      </c>
      <c r="G12" s="47">
        <v>0.1452</v>
      </c>
      <c r="H12" s="47">
        <v>0</v>
      </c>
      <c r="I12" s="47">
        <v>18.3</v>
      </c>
      <c r="J12" s="47">
        <v>2.1829999999999998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23.77675</v>
      </c>
      <c r="Q12" s="68">
        <v>4.3408838830710001</v>
      </c>
    </row>
    <row r="13" spans="1:17" ht="14.4" customHeight="1" x14ac:dyDescent="0.3">
      <c r="A13" s="15" t="s">
        <v>25</v>
      </c>
      <c r="B13" s="46">
        <v>127.067152919542</v>
      </c>
      <c r="C13" s="47">
        <v>10.588929409961001</v>
      </c>
      <c r="D13" s="47">
        <v>6.9668299999999999</v>
      </c>
      <c r="E13" s="47">
        <v>9.5062800000000003</v>
      </c>
      <c r="F13" s="47">
        <v>16.748419999999999</v>
      </c>
      <c r="G13" s="47">
        <v>12.50751</v>
      </c>
      <c r="H13" s="47">
        <v>12.251849999999999</v>
      </c>
      <c r="I13" s="47">
        <v>8.6835400000000007</v>
      </c>
      <c r="J13" s="47">
        <v>9.0540199999999995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75.718450000000004</v>
      </c>
      <c r="Q13" s="68">
        <v>1.021531168051</v>
      </c>
    </row>
    <row r="14" spans="1:17" ht="14.4" customHeight="1" x14ac:dyDescent="0.3">
      <c r="A14" s="15" t="s">
        <v>26</v>
      </c>
      <c r="B14" s="46">
        <v>6056.8321348599302</v>
      </c>
      <c r="C14" s="47">
        <v>504.73601123832702</v>
      </c>
      <c r="D14" s="47">
        <v>890.34699999999998</v>
      </c>
      <c r="E14" s="47">
        <v>662.66099999999994</v>
      </c>
      <c r="F14" s="47">
        <v>713.05799999999999</v>
      </c>
      <c r="G14" s="47">
        <v>524.89200000000005</v>
      </c>
      <c r="H14" s="47">
        <v>377.887</v>
      </c>
      <c r="I14" s="47">
        <v>309.07600000000099</v>
      </c>
      <c r="J14" s="47">
        <v>275.80099999999999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3753.7220000000002</v>
      </c>
      <c r="Q14" s="68">
        <v>1.062428651929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176</v>
      </c>
    </row>
    <row r="17" spans="1:17" ht="14.4" customHeight="1" x14ac:dyDescent="0.3">
      <c r="A17" s="15" t="s">
        <v>29</v>
      </c>
      <c r="B17" s="46">
        <v>443.544766645359</v>
      </c>
      <c r="C17" s="47">
        <v>36.962063887112997</v>
      </c>
      <c r="D17" s="47">
        <v>6.6936</v>
      </c>
      <c r="E17" s="47">
        <v>16.386800000000001</v>
      </c>
      <c r="F17" s="47">
        <v>51.737450000000003</v>
      </c>
      <c r="G17" s="47">
        <v>58.666040000000002</v>
      </c>
      <c r="H17" s="47">
        <v>54.402630000000002</v>
      </c>
      <c r="I17" s="47">
        <v>43.629519999999999</v>
      </c>
      <c r="J17" s="47">
        <v>48.30838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279.82441999999998</v>
      </c>
      <c r="Q17" s="68">
        <v>1.0815120406950001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0.97399999999999998</v>
      </c>
      <c r="E18" s="47">
        <v>0</v>
      </c>
      <c r="F18" s="47">
        <v>0</v>
      </c>
      <c r="G18" s="47">
        <v>0</v>
      </c>
      <c r="H18" s="47">
        <v>0.17499999999999999</v>
      </c>
      <c r="I18" s="47">
        <v>2.4020000000000001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3.5510000000000002</v>
      </c>
      <c r="Q18" s="68" t="s">
        <v>176</v>
      </c>
    </row>
    <row r="19" spans="1:17" ht="14.4" customHeight="1" x14ac:dyDescent="0.3">
      <c r="A19" s="15" t="s">
        <v>31</v>
      </c>
      <c r="B19" s="46">
        <v>1480.2391138827099</v>
      </c>
      <c r="C19" s="47">
        <v>123.35325949022599</v>
      </c>
      <c r="D19" s="47">
        <v>39.927669999999999</v>
      </c>
      <c r="E19" s="47">
        <v>104.45747</v>
      </c>
      <c r="F19" s="47">
        <v>132.59844000000001</v>
      </c>
      <c r="G19" s="47">
        <v>94.213700000000003</v>
      </c>
      <c r="H19" s="47">
        <v>119.94531000000001</v>
      </c>
      <c r="I19" s="47">
        <v>478.93646000000098</v>
      </c>
      <c r="J19" s="47">
        <v>90.097759999999994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1060.1768099999999</v>
      </c>
      <c r="Q19" s="68">
        <v>1.2278056585279999</v>
      </c>
    </row>
    <row r="20" spans="1:17" ht="14.4" customHeight="1" x14ac:dyDescent="0.3">
      <c r="A20" s="15" t="s">
        <v>32</v>
      </c>
      <c r="B20" s="46">
        <v>12221.0011033057</v>
      </c>
      <c r="C20" s="47">
        <v>1018.41675860881</v>
      </c>
      <c r="D20" s="47">
        <v>991.28733999999997</v>
      </c>
      <c r="E20" s="47">
        <v>972.35649000000001</v>
      </c>
      <c r="F20" s="47">
        <v>983.52422999999999</v>
      </c>
      <c r="G20" s="47">
        <v>994.71626000000003</v>
      </c>
      <c r="H20" s="47">
        <v>1044.1115299999999</v>
      </c>
      <c r="I20" s="47">
        <v>1014.56902</v>
      </c>
      <c r="J20" s="47">
        <v>1414.29648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7414.8613500000001</v>
      </c>
      <c r="Q20" s="68">
        <v>1.0401104441660001</v>
      </c>
    </row>
    <row r="21" spans="1:17" ht="14.4" customHeight="1" x14ac:dyDescent="0.3">
      <c r="A21" s="16" t="s">
        <v>33</v>
      </c>
      <c r="B21" s="46">
        <v>2564.00592094175</v>
      </c>
      <c r="C21" s="47">
        <v>213.66716007847899</v>
      </c>
      <c r="D21" s="47">
        <v>225.76400000000001</v>
      </c>
      <c r="E21" s="47">
        <v>225.76300000000001</v>
      </c>
      <c r="F21" s="47">
        <v>211.209</v>
      </c>
      <c r="G21" s="47">
        <v>211.209</v>
      </c>
      <c r="H21" s="47">
        <v>211.208</v>
      </c>
      <c r="I21" s="47">
        <v>211.20699999999999</v>
      </c>
      <c r="J21" s="47">
        <v>211.20699999999999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1507.567</v>
      </c>
      <c r="Q21" s="68">
        <v>1.0079542134899999</v>
      </c>
    </row>
    <row r="22" spans="1:17" ht="14.4" customHeight="1" x14ac:dyDescent="0.3">
      <c r="A22" s="15" t="s">
        <v>34</v>
      </c>
      <c r="B22" s="46">
        <v>22.300883429864999</v>
      </c>
      <c r="C22" s="47">
        <v>1.858406952488</v>
      </c>
      <c r="D22" s="47">
        <v>0</v>
      </c>
      <c r="E22" s="47">
        <v>0</v>
      </c>
      <c r="F22" s="47">
        <v>0</v>
      </c>
      <c r="G22" s="47">
        <v>0</v>
      </c>
      <c r="H22" s="47">
        <v>7.26</v>
      </c>
      <c r="I22" s="47">
        <v>9.0749999999999993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16.335000000000001</v>
      </c>
      <c r="Q22" s="68">
        <v>1.255683759386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176</v>
      </c>
    </row>
    <row r="24" spans="1:17" ht="14.4" customHeight="1" x14ac:dyDescent="0.3">
      <c r="A24" s="16" t="s">
        <v>36</v>
      </c>
      <c r="B24" s="46">
        <v>-3.6379788070917101E-12</v>
      </c>
      <c r="C24" s="47">
        <v>-4.5474735088646402E-13</v>
      </c>
      <c r="D24" s="47">
        <v>0</v>
      </c>
      <c r="E24" s="47">
        <v>0</v>
      </c>
      <c r="F24" s="47">
        <v>-4.5474735088646402E-13</v>
      </c>
      <c r="G24" s="47">
        <v>0</v>
      </c>
      <c r="H24" s="47">
        <v>0</v>
      </c>
      <c r="I24" s="47">
        <v>0.6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0.599999999999</v>
      </c>
      <c r="Q24" s="68"/>
    </row>
    <row r="25" spans="1:17" ht="14.4" customHeight="1" x14ac:dyDescent="0.3">
      <c r="A25" s="17" t="s">
        <v>37</v>
      </c>
      <c r="B25" s="49">
        <v>25692.4899719924</v>
      </c>
      <c r="C25" s="50">
        <v>2141.04083099937</v>
      </c>
      <c r="D25" s="50">
        <v>2285.0239999999999</v>
      </c>
      <c r="E25" s="50">
        <v>2175.3558400000002</v>
      </c>
      <c r="F25" s="50">
        <v>2281.3944799999999</v>
      </c>
      <c r="G25" s="50">
        <v>2068.71675</v>
      </c>
      <c r="H25" s="50">
        <v>2025.18191</v>
      </c>
      <c r="I25" s="50">
        <v>2422.7894299999998</v>
      </c>
      <c r="J25" s="50">
        <v>2208.2425400000002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15466.704949999999</v>
      </c>
      <c r="Q25" s="69">
        <v>1.0319883892820001</v>
      </c>
    </row>
    <row r="26" spans="1:17" ht="14.4" customHeight="1" x14ac:dyDescent="0.3">
      <c r="A26" s="15" t="s">
        <v>38</v>
      </c>
      <c r="B26" s="46">
        <v>2237.4927831473701</v>
      </c>
      <c r="C26" s="47">
        <v>186.457731928947</v>
      </c>
      <c r="D26" s="47">
        <v>166.33368999999999</v>
      </c>
      <c r="E26" s="47">
        <v>159.08972</v>
      </c>
      <c r="F26" s="47">
        <v>162.19603000000001</v>
      </c>
      <c r="G26" s="47">
        <v>166.41173000000001</v>
      </c>
      <c r="H26" s="47">
        <v>160.82762</v>
      </c>
      <c r="I26" s="47">
        <v>246.08929000000001</v>
      </c>
      <c r="J26" s="47">
        <v>182.09460000000001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1243.04268</v>
      </c>
      <c r="Q26" s="68">
        <v>0.95237415942500003</v>
      </c>
    </row>
    <row r="27" spans="1:17" ht="14.4" customHeight="1" x14ac:dyDescent="0.3">
      <c r="A27" s="18" t="s">
        <v>39</v>
      </c>
      <c r="B27" s="49">
        <v>27929.982755139699</v>
      </c>
      <c r="C27" s="50">
        <v>2327.4985629283101</v>
      </c>
      <c r="D27" s="50">
        <v>2451.3576899999998</v>
      </c>
      <c r="E27" s="50">
        <v>2334.4455600000001</v>
      </c>
      <c r="F27" s="50">
        <v>2443.59051</v>
      </c>
      <c r="G27" s="50">
        <v>2235.1284799999999</v>
      </c>
      <c r="H27" s="50">
        <v>2186.0095299999998</v>
      </c>
      <c r="I27" s="50">
        <v>2668.8787200000002</v>
      </c>
      <c r="J27" s="50">
        <v>2390.3371400000001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16709.747630000002</v>
      </c>
      <c r="Q27" s="69">
        <v>1.0256104310030001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7" t="s">
        <v>45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4" t="s">
        <v>175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46</v>
      </c>
      <c r="C3" s="269"/>
      <c r="D3" s="269"/>
      <c r="E3" s="269"/>
      <c r="F3" s="275" t="s">
        <v>47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171</v>
      </c>
      <c r="G4" s="279" t="s">
        <v>48</v>
      </c>
      <c r="H4" s="107" t="s">
        <v>80</v>
      </c>
      <c r="I4" s="277" t="s">
        <v>49</v>
      </c>
      <c r="J4" s="279" t="s">
        <v>147</v>
      </c>
      <c r="K4" s="280" t="s">
        <v>173</v>
      </c>
    </row>
    <row r="5" spans="1:11" ht="42" thickBot="1" x14ac:dyDescent="0.35">
      <c r="A5" s="60"/>
      <c r="B5" s="24" t="s">
        <v>167</v>
      </c>
      <c r="C5" s="25" t="s">
        <v>168</v>
      </c>
      <c r="D5" s="26" t="s">
        <v>169</v>
      </c>
      <c r="E5" s="26" t="s">
        <v>170</v>
      </c>
      <c r="F5" s="278"/>
      <c r="G5" s="278"/>
      <c r="H5" s="25" t="s">
        <v>172</v>
      </c>
      <c r="I5" s="278"/>
      <c r="J5" s="278"/>
      <c r="K5" s="281"/>
    </row>
    <row r="6" spans="1:11" ht="14.4" customHeight="1" thickBot="1" x14ac:dyDescent="0.35">
      <c r="A6" s="323" t="s">
        <v>178</v>
      </c>
      <c r="B6" s="305">
        <v>26092.019686893698</v>
      </c>
      <c r="C6" s="305">
        <v>26210.938969999999</v>
      </c>
      <c r="D6" s="306">
        <v>118.919283106272</v>
      </c>
      <c r="E6" s="307">
        <v>1.0045576879260001</v>
      </c>
      <c r="F6" s="305">
        <v>25692.4899719924</v>
      </c>
      <c r="G6" s="306">
        <v>14987.2858169956</v>
      </c>
      <c r="H6" s="308">
        <v>2208.2425400000002</v>
      </c>
      <c r="I6" s="305">
        <v>15466.704949999999</v>
      </c>
      <c r="J6" s="306">
        <v>479.41913300444901</v>
      </c>
      <c r="K6" s="309">
        <v>0.601993227081</v>
      </c>
    </row>
    <row r="7" spans="1:11" ht="14.4" customHeight="1" thickBot="1" x14ac:dyDescent="0.35">
      <c r="A7" s="324" t="s">
        <v>179</v>
      </c>
      <c r="B7" s="305">
        <v>9075.5223166840005</v>
      </c>
      <c r="C7" s="305">
        <v>9178.5932699999994</v>
      </c>
      <c r="D7" s="306">
        <v>103.07095331599901</v>
      </c>
      <c r="E7" s="307">
        <v>1.011357027146</v>
      </c>
      <c r="F7" s="305">
        <v>8961.3981837869997</v>
      </c>
      <c r="G7" s="306">
        <v>5227.4822738757503</v>
      </c>
      <c r="H7" s="308">
        <v>444.33292</v>
      </c>
      <c r="I7" s="305">
        <v>5183.7893700000004</v>
      </c>
      <c r="J7" s="306">
        <v>-43.692903875749998</v>
      </c>
      <c r="K7" s="309">
        <v>0.57845765400500004</v>
      </c>
    </row>
    <row r="8" spans="1:11" ht="14.4" customHeight="1" thickBot="1" x14ac:dyDescent="0.35">
      <c r="A8" s="325" t="s">
        <v>180</v>
      </c>
      <c r="B8" s="305">
        <v>2996.4729752478002</v>
      </c>
      <c r="C8" s="305">
        <v>2949.8822500000001</v>
      </c>
      <c r="D8" s="306">
        <v>-46.590725247800002</v>
      </c>
      <c r="E8" s="307">
        <v>0.98445147824300006</v>
      </c>
      <c r="F8" s="305">
        <v>2904.5660489270799</v>
      </c>
      <c r="G8" s="306">
        <v>1694.3301952074601</v>
      </c>
      <c r="H8" s="308">
        <v>168.53192000000001</v>
      </c>
      <c r="I8" s="305">
        <v>1430.06737</v>
      </c>
      <c r="J8" s="306">
        <v>-264.26282520746201</v>
      </c>
      <c r="K8" s="309">
        <v>0.49235147209899999</v>
      </c>
    </row>
    <row r="9" spans="1:11" ht="14.4" customHeight="1" thickBot="1" x14ac:dyDescent="0.35">
      <c r="A9" s="326" t="s">
        <v>181</v>
      </c>
      <c r="B9" s="310">
        <v>54.521861176842997</v>
      </c>
      <c r="C9" s="310">
        <v>61.317900000000002</v>
      </c>
      <c r="D9" s="311">
        <v>6.7960388231559996</v>
      </c>
      <c r="E9" s="312">
        <v>1.1246479609540001</v>
      </c>
      <c r="F9" s="310">
        <v>55.000004965370998</v>
      </c>
      <c r="G9" s="311">
        <v>32.083336229799997</v>
      </c>
      <c r="H9" s="313">
        <v>5.3046699999999998</v>
      </c>
      <c r="I9" s="310">
        <v>38.909529999999997</v>
      </c>
      <c r="J9" s="311">
        <v>6.8261937701989996</v>
      </c>
      <c r="K9" s="314">
        <v>0.70744593613200002</v>
      </c>
    </row>
    <row r="10" spans="1:11" ht="14.4" customHeight="1" thickBot="1" x14ac:dyDescent="0.35">
      <c r="A10" s="327" t="s">
        <v>182</v>
      </c>
      <c r="B10" s="305">
        <v>54.521861176842997</v>
      </c>
      <c r="C10" s="305">
        <v>61.317900000000002</v>
      </c>
      <c r="D10" s="306">
        <v>6.7960388231559996</v>
      </c>
      <c r="E10" s="307">
        <v>1.1246479609540001</v>
      </c>
      <c r="F10" s="305">
        <v>55.000004965370998</v>
      </c>
      <c r="G10" s="306">
        <v>32.083336229799997</v>
      </c>
      <c r="H10" s="308">
        <v>5.3046699999999998</v>
      </c>
      <c r="I10" s="305">
        <v>38.909529999999997</v>
      </c>
      <c r="J10" s="306">
        <v>6.8261937701989996</v>
      </c>
      <c r="K10" s="309">
        <v>0.70744593613200002</v>
      </c>
    </row>
    <row r="11" spans="1:11" ht="14.4" customHeight="1" thickBot="1" x14ac:dyDescent="0.35">
      <c r="A11" s="326" t="s">
        <v>183</v>
      </c>
      <c r="B11" s="310">
        <v>10.999999653526</v>
      </c>
      <c r="C11" s="310">
        <v>10.933999999999999</v>
      </c>
      <c r="D11" s="311">
        <v>-6.5999653525999999E-2</v>
      </c>
      <c r="E11" s="312">
        <v>0.99400003130799996</v>
      </c>
      <c r="F11" s="310">
        <v>20.999999139313001</v>
      </c>
      <c r="G11" s="311">
        <v>12.249999497932</v>
      </c>
      <c r="H11" s="313">
        <v>1.42</v>
      </c>
      <c r="I11" s="310">
        <v>6.9580000000000002</v>
      </c>
      <c r="J11" s="311">
        <v>-5.2919994979320002</v>
      </c>
      <c r="K11" s="314">
        <v>0.33133334691299998</v>
      </c>
    </row>
    <row r="12" spans="1:11" ht="14.4" customHeight="1" thickBot="1" x14ac:dyDescent="0.35">
      <c r="A12" s="327" t="s">
        <v>184</v>
      </c>
      <c r="B12" s="305">
        <v>10.999999653526</v>
      </c>
      <c r="C12" s="305">
        <v>10.933999999999999</v>
      </c>
      <c r="D12" s="306">
        <v>-6.5999653525999999E-2</v>
      </c>
      <c r="E12" s="307">
        <v>0.99400003130799996</v>
      </c>
      <c r="F12" s="305">
        <v>20.999999139313001</v>
      </c>
      <c r="G12" s="306">
        <v>12.249999497932</v>
      </c>
      <c r="H12" s="308">
        <v>1.42</v>
      </c>
      <c r="I12" s="305">
        <v>6.9580000000000002</v>
      </c>
      <c r="J12" s="306">
        <v>-5.2919994979320002</v>
      </c>
      <c r="K12" s="309">
        <v>0.33133334691299998</v>
      </c>
    </row>
    <row r="13" spans="1:11" ht="14.4" customHeight="1" thickBot="1" x14ac:dyDescent="0.35">
      <c r="A13" s="326" t="s">
        <v>185</v>
      </c>
      <c r="B13" s="310">
        <v>2761.95111974052</v>
      </c>
      <c r="C13" s="310">
        <v>2701.8856799999999</v>
      </c>
      <c r="D13" s="311">
        <v>-60.065439740521001</v>
      </c>
      <c r="E13" s="312">
        <v>0.97825253339499996</v>
      </c>
      <c r="F13" s="310">
        <v>2692.1090662463498</v>
      </c>
      <c r="G13" s="311">
        <v>1570.39695531037</v>
      </c>
      <c r="H13" s="313">
        <v>150.57023000000001</v>
      </c>
      <c r="I13" s="310">
        <v>1284.7046399999999</v>
      </c>
      <c r="J13" s="311">
        <v>-285.69231531037201</v>
      </c>
      <c r="K13" s="314">
        <v>0.477211215588</v>
      </c>
    </row>
    <row r="14" spans="1:11" ht="14.4" customHeight="1" thickBot="1" x14ac:dyDescent="0.35">
      <c r="A14" s="327" t="s">
        <v>186</v>
      </c>
      <c r="B14" s="305">
        <v>2.454925499927</v>
      </c>
      <c r="C14" s="305">
        <v>-7.1054273576010003E-15</v>
      </c>
      <c r="D14" s="306">
        <v>-2.454925499927</v>
      </c>
      <c r="E14" s="307">
        <v>-2.89435559564213E-15</v>
      </c>
      <c r="F14" s="305">
        <v>0</v>
      </c>
      <c r="G14" s="306">
        <v>0</v>
      </c>
      <c r="H14" s="308">
        <v>1.99</v>
      </c>
      <c r="I14" s="305">
        <v>1.99</v>
      </c>
      <c r="J14" s="306">
        <v>1.99</v>
      </c>
      <c r="K14" s="315" t="s">
        <v>176</v>
      </c>
    </row>
    <row r="15" spans="1:11" ht="14.4" customHeight="1" thickBot="1" x14ac:dyDescent="0.35">
      <c r="A15" s="327" t="s">
        <v>187</v>
      </c>
      <c r="B15" s="305">
        <v>119.999996220291</v>
      </c>
      <c r="C15" s="305">
        <v>89.646140000000003</v>
      </c>
      <c r="D15" s="306">
        <v>-30.353856220290002</v>
      </c>
      <c r="E15" s="307">
        <v>0.74705119019599997</v>
      </c>
      <c r="F15" s="305">
        <v>92.000008305712001</v>
      </c>
      <c r="G15" s="306">
        <v>53.666671511665001</v>
      </c>
      <c r="H15" s="308">
        <v>2.5909599999999999</v>
      </c>
      <c r="I15" s="305">
        <v>11.30049</v>
      </c>
      <c r="J15" s="306">
        <v>-42.366181511664998</v>
      </c>
      <c r="K15" s="309">
        <v>0.122831401954</v>
      </c>
    </row>
    <row r="16" spans="1:11" ht="14.4" customHeight="1" thickBot="1" x14ac:dyDescent="0.35">
      <c r="A16" s="327" t="s">
        <v>188</v>
      </c>
      <c r="B16" s="305">
        <v>99.999996850241999</v>
      </c>
      <c r="C16" s="305">
        <v>143.83099999999999</v>
      </c>
      <c r="D16" s="306">
        <v>43.831003149757002</v>
      </c>
      <c r="E16" s="307">
        <v>1.438310045303</v>
      </c>
      <c r="F16" s="305">
        <v>141.249614967425</v>
      </c>
      <c r="G16" s="306">
        <v>82.395608730996997</v>
      </c>
      <c r="H16" s="308">
        <v>8.4274000000000004</v>
      </c>
      <c r="I16" s="305">
        <v>138.03357</v>
      </c>
      <c r="J16" s="306">
        <v>55.637961269001998</v>
      </c>
      <c r="K16" s="309">
        <v>0.97723147798900001</v>
      </c>
    </row>
    <row r="17" spans="1:11" ht="14.4" customHeight="1" thickBot="1" x14ac:dyDescent="0.35">
      <c r="A17" s="327" t="s">
        <v>189</v>
      </c>
      <c r="B17" s="305">
        <v>56.999998204637997</v>
      </c>
      <c r="C17" s="305">
        <v>28.452030000000001</v>
      </c>
      <c r="D17" s="306">
        <v>-28.547968204638</v>
      </c>
      <c r="E17" s="307">
        <v>0.49915843677400001</v>
      </c>
      <c r="F17" s="305">
        <v>29.522955257069999</v>
      </c>
      <c r="G17" s="306">
        <v>17.221723899956999</v>
      </c>
      <c r="H17" s="308">
        <v>3.0728499999999999</v>
      </c>
      <c r="I17" s="305">
        <v>24.786560000000001</v>
      </c>
      <c r="J17" s="306">
        <v>7.5648361000420001</v>
      </c>
      <c r="K17" s="309">
        <v>0.83956906699099998</v>
      </c>
    </row>
    <row r="18" spans="1:11" ht="14.4" customHeight="1" thickBot="1" x14ac:dyDescent="0.35">
      <c r="A18" s="327" t="s">
        <v>190</v>
      </c>
      <c r="B18" s="305">
        <v>4.9999998425119996</v>
      </c>
      <c r="C18" s="305">
        <v>8.5434999999999999</v>
      </c>
      <c r="D18" s="306">
        <v>3.5435001574870002</v>
      </c>
      <c r="E18" s="307">
        <v>1.708700053819</v>
      </c>
      <c r="F18" s="305">
        <v>13.439650414111</v>
      </c>
      <c r="G18" s="306">
        <v>7.8397960748979996</v>
      </c>
      <c r="H18" s="308">
        <v>0</v>
      </c>
      <c r="I18" s="305">
        <v>5.1314000000000002</v>
      </c>
      <c r="J18" s="306">
        <v>-2.7083960748979998</v>
      </c>
      <c r="K18" s="309">
        <v>0.381810526456</v>
      </c>
    </row>
    <row r="19" spans="1:11" ht="14.4" customHeight="1" thickBot="1" x14ac:dyDescent="0.35">
      <c r="A19" s="327" t="s">
        <v>191</v>
      </c>
      <c r="B19" s="305">
        <v>17.735198276706001</v>
      </c>
      <c r="C19" s="305">
        <v>15.86332</v>
      </c>
      <c r="D19" s="306">
        <v>-1.871878276706</v>
      </c>
      <c r="E19" s="307">
        <v>0.89445405416299995</v>
      </c>
      <c r="F19" s="305">
        <v>0</v>
      </c>
      <c r="G19" s="306">
        <v>0</v>
      </c>
      <c r="H19" s="308">
        <v>0</v>
      </c>
      <c r="I19" s="305">
        <v>7.9379099999999996</v>
      </c>
      <c r="J19" s="306">
        <v>7.9379099999999996</v>
      </c>
      <c r="K19" s="315" t="s">
        <v>176</v>
      </c>
    </row>
    <row r="20" spans="1:11" ht="14.4" customHeight="1" thickBot="1" x14ac:dyDescent="0.35">
      <c r="A20" s="327" t="s">
        <v>192</v>
      </c>
      <c r="B20" s="305">
        <v>0</v>
      </c>
      <c r="C20" s="305">
        <v>2.16317</v>
      </c>
      <c r="D20" s="306">
        <v>2.16317</v>
      </c>
      <c r="E20" s="316" t="s">
        <v>193</v>
      </c>
      <c r="F20" s="305">
        <v>3.8768614765349998</v>
      </c>
      <c r="G20" s="306">
        <v>2.2615025279780001</v>
      </c>
      <c r="H20" s="308">
        <v>0</v>
      </c>
      <c r="I20" s="305">
        <v>0</v>
      </c>
      <c r="J20" s="306">
        <v>-2.2615025279780001</v>
      </c>
      <c r="K20" s="309">
        <v>0</v>
      </c>
    </row>
    <row r="21" spans="1:11" ht="14.4" customHeight="1" thickBot="1" x14ac:dyDescent="0.35">
      <c r="A21" s="327" t="s">
        <v>194</v>
      </c>
      <c r="B21" s="305">
        <v>2383.99992490978</v>
      </c>
      <c r="C21" s="305">
        <v>2310.4193700000001</v>
      </c>
      <c r="D21" s="306">
        <v>-73.580554909775998</v>
      </c>
      <c r="E21" s="307">
        <v>0.96913567230300002</v>
      </c>
      <c r="F21" s="305">
        <v>2305.8927384783601</v>
      </c>
      <c r="G21" s="306">
        <v>1345.1040974457101</v>
      </c>
      <c r="H21" s="308">
        <v>129.06904</v>
      </c>
      <c r="I21" s="305">
        <v>1060.2756199999999</v>
      </c>
      <c r="J21" s="306">
        <v>-284.82847744570699</v>
      </c>
      <c r="K21" s="309">
        <v>0.45981133567299998</v>
      </c>
    </row>
    <row r="22" spans="1:11" ht="14.4" customHeight="1" thickBot="1" x14ac:dyDescent="0.35">
      <c r="A22" s="327" t="s">
        <v>195</v>
      </c>
      <c r="B22" s="305">
        <v>5.761082141258</v>
      </c>
      <c r="C22" s="305">
        <v>5.1722599999999996</v>
      </c>
      <c r="D22" s="306">
        <v>-0.58882214125800003</v>
      </c>
      <c r="E22" s="307">
        <v>0.89779313559100005</v>
      </c>
      <c r="F22" s="305">
        <v>7.8115606171319998</v>
      </c>
      <c r="G22" s="306">
        <v>4.5567436933270002</v>
      </c>
      <c r="H22" s="308">
        <v>0.57354000000000005</v>
      </c>
      <c r="I22" s="305">
        <v>2.4889700000000001</v>
      </c>
      <c r="J22" s="306">
        <v>-2.0677736933270001</v>
      </c>
      <c r="K22" s="309">
        <v>0.318626471967</v>
      </c>
    </row>
    <row r="23" spans="1:11" ht="14.4" customHeight="1" thickBot="1" x14ac:dyDescent="0.35">
      <c r="A23" s="327" t="s">
        <v>196</v>
      </c>
      <c r="B23" s="305">
        <v>69.999997795168994</v>
      </c>
      <c r="C23" s="305">
        <v>97.794889999999995</v>
      </c>
      <c r="D23" s="306">
        <v>27.794892204829999</v>
      </c>
      <c r="E23" s="307">
        <v>1.397069901147</v>
      </c>
      <c r="F23" s="305">
        <v>98.315676730011006</v>
      </c>
      <c r="G23" s="306">
        <v>57.350811425838998</v>
      </c>
      <c r="H23" s="308">
        <v>4.8464400000000003</v>
      </c>
      <c r="I23" s="305">
        <v>32.760120000000001</v>
      </c>
      <c r="J23" s="306">
        <v>-24.590691425839001</v>
      </c>
      <c r="K23" s="309">
        <v>0.33321359410399998</v>
      </c>
    </row>
    <row r="24" spans="1:11" ht="14.4" customHeight="1" thickBot="1" x14ac:dyDescent="0.35">
      <c r="A24" s="326" t="s">
        <v>197</v>
      </c>
      <c r="B24" s="310">
        <v>1.999999937004</v>
      </c>
      <c r="C24" s="310">
        <v>13.10937</v>
      </c>
      <c r="D24" s="311">
        <v>11.109370062995</v>
      </c>
      <c r="E24" s="312">
        <v>6.5546852064559999</v>
      </c>
      <c r="F24" s="310">
        <v>9.3898256564979992</v>
      </c>
      <c r="G24" s="311">
        <v>5.4773982996240003</v>
      </c>
      <c r="H24" s="313">
        <v>2.1829999999999998</v>
      </c>
      <c r="I24" s="310">
        <v>23.77675</v>
      </c>
      <c r="J24" s="311">
        <v>18.299351700374999</v>
      </c>
      <c r="K24" s="314">
        <v>2.5321822651239998</v>
      </c>
    </row>
    <row r="25" spans="1:11" ht="14.4" customHeight="1" thickBot="1" x14ac:dyDescent="0.35">
      <c r="A25" s="327" t="s">
        <v>198</v>
      </c>
      <c r="B25" s="305">
        <v>0</v>
      </c>
      <c r="C25" s="305">
        <v>3.7303700000000002</v>
      </c>
      <c r="D25" s="306">
        <v>3.7303700000000002</v>
      </c>
      <c r="E25" s="316" t="s">
        <v>193</v>
      </c>
      <c r="F25" s="305">
        <v>0</v>
      </c>
      <c r="G25" s="306">
        <v>0</v>
      </c>
      <c r="H25" s="308">
        <v>0</v>
      </c>
      <c r="I25" s="305">
        <v>0</v>
      </c>
      <c r="J25" s="306">
        <v>0</v>
      </c>
      <c r="K25" s="315" t="s">
        <v>176</v>
      </c>
    </row>
    <row r="26" spans="1:11" ht="14.4" customHeight="1" thickBot="1" x14ac:dyDescent="0.35">
      <c r="A26" s="327" t="s">
        <v>199</v>
      </c>
      <c r="B26" s="305">
        <v>0</v>
      </c>
      <c r="C26" s="305">
        <v>0</v>
      </c>
      <c r="D26" s="306">
        <v>0</v>
      </c>
      <c r="E26" s="307">
        <v>1</v>
      </c>
      <c r="F26" s="305">
        <v>0</v>
      </c>
      <c r="G26" s="306">
        <v>0</v>
      </c>
      <c r="H26" s="308">
        <v>0</v>
      </c>
      <c r="I26" s="305">
        <v>2.9312999999999998</v>
      </c>
      <c r="J26" s="306">
        <v>2.9312999999999998</v>
      </c>
      <c r="K26" s="315" t="s">
        <v>193</v>
      </c>
    </row>
    <row r="27" spans="1:11" ht="14.4" customHeight="1" thickBot="1" x14ac:dyDescent="0.35">
      <c r="A27" s="327" t="s">
        <v>200</v>
      </c>
      <c r="B27" s="305">
        <v>0</v>
      </c>
      <c r="C27" s="305">
        <v>0</v>
      </c>
      <c r="D27" s="306">
        <v>0</v>
      </c>
      <c r="E27" s="307">
        <v>1</v>
      </c>
      <c r="F27" s="305">
        <v>0</v>
      </c>
      <c r="G27" s="306">
        <v>0</v>
      </c>
      <c r="H27" s="308">
        <v>2.14</v>
      </c>
      <c r="I27" s="305">
        <v>20.440000000000001</v>
      </c>
      <c r="J27" s="306">
        <v>20.440000000000001</v>
      </c>
      <c r="K27" s="315" t="s">
        <v>193</v>
      </c>
    </row>
    <row r="28" spans="1:11" ht="14.4" customHeight="1" thickBot="1" x14ac:dyDescent="0.35">
      <c r="A28" s="327" t="s">
        <v>201</v>
      </c>
      <c r="B28" s="305">
        <v>0</v>
      </c>
      <c r="C28" s="305">
        <v>0.88600000000000001</v>
      </c>
      <c r="D28" s="306">
        <v>0.88600000000000001</v>
      </c>
      <c r="E28" s="316" t="s">
        <v>193</v>
      </c>
      <c r="F28" s="305">
        <v>0.90833615026799996</v>
      </c>
      <c r="G28" s="306">
        <v>0.52986275432300001</v>
      </c>
      <c r="H28" s="308">
        <v>0</v>
      </c>
      <c r="I28" s="305">
        <v>0</v>
      </c>
      <c r="J28" s="306">
        <v>-0.52986275432300001</v>
      </c>
      <c r="K28" s="309">
        <v>0</v>
      </c>
    </row>
    <row r="29" spans="1:11" ht="14.4" customHeight="1" thickBot="1" x14ac:dyDescent="0.35">
      <c r="A29" s="327" t="s">
        <v>202</v>
      </c>
      <c r="B29" s="305">
        <v>0</v>
      </c>
      <c r="C29" s="305">
        <v>0.496</v>
      </c>
      <c r="D29" s="306">
        <v>0.496</v>
      </c>
      <c r="E29" s="316" t="s">
        <v>193</v>
      </c>
      <c r="F29" s="305">
        <v>0</v>
      </c>
      <c r="G29" s="306">
        <v>0</v>
      </c>
      <c r="H29" s="308">
        <v>0</v>
      </c>
      <c r="I29" s="305">
        <v>0</v>
      </c>
      <c r="J29" s="306">
        <v>0</v>
      </c>
      <c r="K29" s="315" t="s">
        <v>176</v>
      </c>
    </row>
    <row r="30" spans="1:11" ht="14.4" customHeight="1" thickBot="1" x14ac:dyDescent="0.35">
      <c r="A30" s="327" t="s">
        <v>203</v>
      </c>
      <c r="B30" s="305">
        <v>1.999999937004</v>
      </c>
      <c r="C30" s="305">
        <v>7.9969999999999999</v>
      </c>
      <c r="D30" s="306">
        <v>5.9970000629950002</v>
      </c>
      <c r="E30" s="307">
        <v>3.998500125943</v>
      </c>
      <c r="F30" s="305">
        <v>8.48148950623</v>
      </c>
      <c r="G30" s="306">
        <v>4.9475355453010001</v>
      </c>
      <c r="H30" s="308">
        <v>4.2999999999999997E-2</v>
      </c>
      <c r="I30" s="305">
        <v>0.40544999999999998</v>
      </c>
      <c r="J30" s="306">
        <v>-4.5420855453010001</v>
      </c>
      <c r="K30" s="309">
        <v>4.7804103240999998E-2</v>
      </c>
    </row>
    <row r="31" spans="1:11" ht="14.4" customHeight="1" thickBot="1" x14ac:dyDescent="0.35">
      <c r="A31" s="326" t="s">
        <v>204</v>
      </c>
      <c r="B31" s="310">
        <v>166.99999473990499</v>
      </c>
      <c r="C31" s="310">
        <v>162.6353</v>
      </c>
      <c r="D31" s="311">
        <v>-4.3646947399040004</v>
      </c>
      <c r="E31" s="312">
        <v>0.97386410253</v>
      </c>
      <c r="F31" s="310">
        <v>127.067152919542</v>
      </c>
      <c r="G31" s="311">
        <v>74.122505869731995</v>
      </c>
      <c r="H31" s="313">
        <v>9.0540199999999995</v>
      </c>
      <c r="I31" s="310">
        <v>75.718450000000004</v>
      </c>
      <c r="J31" s="311">
        <v>1.5959441302670001</v>
      </c>
      <c r="K31" s="314">
        <v>0.59589318136299996</v>
      </c>
    </row>
    <row r="32" spans="1:11" ht="14.4" customHeight="1" thickBot="1" x14ac:dyDescent="0.35">
      <c r="A32" s="327" t="s">
        <v>205</v>
      </c>
      <c r="B32" s="305">
        <v>13.999999559033</v>
      </c>
      <c r="C32" s="305">
        <v>11.3964</v>
      </c>
      <c r="D32" s="306">
        <v>-2.6035995590329999</v>
      </c>
      <c r="E32" s="307">
        <v>0.81402859706800001</v>
      </c>
      <c r="F32" s="305">
        <v>0</v>
      </c>
      <c r="G32" s="306">
        <v>0</v>
      </c>
      <c r="H32" s="308">
        <v>0.31217</v>
      </c>
      <c r="I32" s="305">
        <v>6.7903599999999997</v>
      </c>
      <c r="J32" s="306">
        <v>6.7903599999999997</v>
      </c>
      <c r="K32" s="315" t="s">
        <v>176</v>
      </c>
    </row>
    <row r="33" spans="1:11" ht="14.4" customHeight="1" thickBot="1" x14ac:dyDescent="0.35">
      <c r="A33" s="327" t="s">
        <v>206</v>
      </c>
      <c r="B33" s="305">
        <v>149.999995275364</v>
      </c>
      <c r="C33" s="305">
        <v>150.02889999999999</v>
      </c>
      <c r="D33" s="306">
        <v>2.8904724635999999E-2</v>
      </c>
      <c r="E33" s="307">
        <v>1.00019269817</v>
      </c>
      <c r="F33" s="305">
        <v>125.88970182358599</v>
      </c>
      <c r="G33" s="306">
        <v>73.435659397091001</v>
      </c>
      <c r="H33" s="308">
        <v>8.7418499999999995</v>
      </c>
      <c r="I33" s="305">
        <v>68.928089999999997</v>
      </c>
      <c r="J33" s="306">
        <v>-4.5075693970910002</v>
      </c>
      <c r="K33" s="309">
        <v>0.54752762935699995</v>
      </c>
    </row>
    <row r="34" spans="1:11" ht="14.4" customHeight="1" thickBot="1" x14ac:dyDescent="0.35">
      <c r="A34" s="327" t="s">
        <v>207</v>
      </c>
      <c r="B34" s="305">
        <v>2.9999999055069999</v>
      </c>
      <c r="C34" s="305">
        <v>1.21</v>
      </c>
      <c r="D34" s="306">
        <v>-1.7899999055069999</v>
      </c>
      <c r="E34" s="307">
        <v>0.403333346037</v>
      </c>
      <c r="F34" s="305">
        <v>1.1774510959560001</v>
      </c>
      <c r="G34" s="306">
        <v>0.68684647264099996</v>
      </c>
      <c r="H34" s="308">
        <v>0</v>
      </c>
      <c r="I34" s="305">
        <v>0</v>
      </c>
      <c r="J34" s="306">
        <v>-0.68684647264099996</v>
      </c>
      <c r="K34" s="309">
        <v>0</v>
      </c>
    </row>
    <row r="35" spans="1:11" ht="14.4" customHeight="1" thickBot="1" x14ac:dyDescent="0.35">
      <c r="A35" s="325" t="s">
        <v>26</v>
      </c>
      <c r="B35" s="305">
        <v>6079.0493414361999</v>
      </c>
      <c r="C35" s="305">
        <v>6228.7110199999997</v>
      </c>
      <c r="D35" s="306">
        <v>149.66167856380201</v>
      </c>
      <c r="E35" s="307">
        <v>1.024619257084</v>
      </c>
      <c r="F35" s="305">
        <v>6056.8321348599302</v>
      </c>
      <c r="G35" s="306">
        <v>3533.15207866829</v>
      </c>
      <c r="H35" s="308">
        <v>275.80099999999999</v>
      </c>
      <c r="I35" s="305">
        <v>3753.7220000000002</v>
      </c>
      <c r="J35" s="306">
        <v>220.56992133170999</v>
      </c>
      <c r="K35" s="309">
        <v>0.61975004695799996</v>
      </c>
    </row>
    <row r="36" spans="1:11" ht="14.4" customHeight="1" thickBot="1" x14ac:dyDescent="0.35">
      <c r="A36" s="326" t="s">
        <v>208</v>
      </c>
      <c r="B36" s="310">
        <v>6079.0493414361999</v>
      </c>
      <c r="C36" s="310">
        <v>6228.7110199999997</v>
      </c>
      <c r="D36" s="311">
        <v>149.66167856380201</v>
      </c>
      <c r="E36" s="312">
        <v>1.024619257084</v>
      </c>
      <c r="F36" s="310">
        <v>6056.8321348599302</v>
      </c>
      <c r="G36" s="311">
        <v>3533.15207866829</v>
      </c>
      <c r="H36" s="313">
        <v>275.80099999999999</v>
      </c>
      <c r="I36" s="310">
        <v>3753.7220000000002</v>
      </c>
      <c r="J36" s="311">
        <v>220.56992133170999</v>
      </c>
      <c r="K36" s="314">
        <v>0.61975004695799996</v>
      </c>
    </row>
    <row r="37" spans="1:11" ht="14.4" customHeight="1" thickBot="1" x14ac:dyDescent="0.35">
      <c r="A37" s="327" t="s">
        <v>209</v>
      </c>
      <c r="B37" s="305">
        <v>372.04952119285002</v>
      </c>
      <c r="C37" s="305">
        <v>372.80200000000002</v>
      </c>
      <c r="D37" s="306">
        <v>0.75247880714899995</v>
      </c>
      <c r="E37" s="307">
        <v>1.0020225232510001</v>
      </c>
      <c r="F37" s="305">
        <v>367.81505741042002</v>
      </c>
      <c r="G37" s="306">
        <v>214.55878348941201</v>
      </c>
      <c r="H37" s="308">
        <v>27.939</v>
      </c>
      <c r="I37" s="305">
        <v>194.30500000000001</v>
      </c>
      <c r="J37" s="306">
        <v>-20.253783489410999</v>
      </c>
      <c r="K37" s="309">
        <v>0.52826820459099999</v>
      </c>
    </row>
    <row r="38" spans="1:11" ht="14.4" customHeight="1" thickBot="1" x14ac:dyDescent="0.35">
      <c r="A38" s="327" t="s">
        <v>210</v>
      </c>
      <c r="B38" s="305">
        <v>1599.9999496038799</v>
      </c>
      <c r="C38" s="305">
        <v>1514.741</v>
      </c>
      <c r="D38" s="306">
        <v>-85.258949603876999</v>
      </c>
      <c r="E38" s="307">
        <v>0.94671315481899998</v>
      </c>
      <c r="F38" s="305">
        <v>1404.7846305745099</v>
      </c>
      <c r="G38" s="306">
        <v>819.45770116846302</v>
      </c>
      <c r="H38" s="308">
        <v>115.02800000000001</v>
      </c>
      <c r="I38" s="305">
        <v>916.21400000000006</v>
      </c>
      <c r="J38" s="306">
        <v>96.756298831536995</v>
      </c>
      <c r="K38" s="309">
        <v>0.652209584344</v>
      </c>
    </row>
    <row r="39" spans="1:11" ht="14.4" customHeight="1" thickBot="1" x14ac:dyDescent="0.35">
      <c r="A39" s="327" t="s">
        <v>211</v>
      </c>
      <c r="B39" s="305">
        <v>4106.9998706394699</v>
      </c>
      <c r="C39" s="305">
        <v>4341.1680200000001</v>
      </c>
      <c r="D39" s="306">
        <v>234.16814936052799</v>
      </c>
      <c r="E39" s="307">
        <v>1.057016838747</v>
      </c>
      <c r="F39" s="305">
        <v>4284.2324468750003</v>
      </c>
      <c r="G39" s="306">
        <v>2499.1355940104199</v>
      </c>
      <c r="H39" s="308">
        <v>132.834</v>
      </c>
      <c r="I39" s="305">
        <v>2643.203</v>
      </c>
      <c r="J39" s="306">
        <v>144.06740598958399</v>
      </c>
      <c r="K39" s="309">
        <v>0.61696068847200003</v>
      </c>
    </row>
    <row r="40" spans="1:11" ht="14.4" customHeight="1" thickBot="1" x14ac:dyDescent="0.35">
      <c r="A40" s="328" t="s">
        <v>212</v>
      </c>
      <c r="B40" s="310">
        <v>2172.5053974520702</v>
      </c>
      <c r="C40" s="310">
        <v>2097.7882300000001</v>
      </c>
      <c r="D40" s="311">
        <v>-74.717167452067997</v>
      </c>
      <c r="E40" s="312">
        <v>0.96560783345300005</v>
      </c>
      <c r="F40" s="310">
        <v>1923.7838805280701</v>
      </c>
      <c r="G40" s="311">
        <v>1122.20726364138</v>
      </c>
      <c r="H40" s="313">
        <v>138.40613999999999</v>
      </c>
      <c r="I40" s="310">
        <v>1343.55223</v>
      </c>
      <c r="J40" s="311">
        <v>221.34496635862601</v>
      </c>
      <c r="K40" s="314">
        <v>0.69839041879800001</v>
      </c>
    </row>
    <row r="41" spans="1:11" ht="14.4" customHeight="1" thickBot="1" x14ac:dyDescent="0.35">
      <c r="A41" s="325" t="s">
        <v>29</v>
      </c>
      <c r="B41" s="305">
        <v>468.411263734692</v>
      </c>
      <c r="C41" s="305">
        <v>492.05506000000003</v>
      </c>
      <c r="D41" s="306">
        <v>23.643796265308001</v>
      </c>
      <c r="E41" s="307">
        <v>1.0504765749580001</v>
      </c>
      <c r="F41" s="305">
        <v>443.544766645359</v>
      </c>
      <c r="G41" s="306">
        <v>258.73444720979302</v>
      </c>
      <c r="H41" s="308">
        <v>48.30838</v>
      </c>
      <c r="I41" s="305">
        <v>279.82441999999998</v>
      </c>
      <c r="J41" s="306">
        <v>21.089972790207</v>
      </c>
      <c r="K41" s="309">
        <v>0.63088202373799995</v>
      </c>
    </row>
    <row r="42" spans="1:11" ht="14.4" customHeight="1" thickBot="1" x14ac:dyDescent="0.35">
      <c r="A42" s="329" t="s">
        <v>213</v>
      </c>
      <c r="B42" s="305">
        <v>468.411263734692</v>
      </c>
      <c r="C42" s="305">
        <v>492.05506000000003</v>
      </c>
      <c r="D42" s="306">
        <v>23.643796265308001</v>
      </c>
      <c r="E42" s="307">
        <v>1.0504765749580001</v>
      </c>
      <c r="F42" s="305">
        <v>443.544766645359</v>
      </c>
      <c r="G42" s="306">
        <v>258.73444720979302</v>
      </c>
      <c r="H42" s="308">
        <v>48.30838</v>
      </c>
      <c r="I42" s="305">
        <v>279.82441999999998</v>
      </c>
      <c r="J42" s="306">
        <v>21.089972790207</v>
      </c>
      <c r="K42" s="309">
        <v>0.63088202373799995</v>
      </c>
    </row>
    <row r="43" spans="1:11" ht="14.4" customHeight="1" thickBot="1" x14ac:dyDescent="0.35">
      <c r="A43" s="327" t="s">
        <v>214</v>
      </c>
      <c r="B43" s="305">
        <v>394.43093091515902</v>
      </c>
      <c r="C43" s="305">
        <v>425.42637999999999</v>
      </c>
      <c r="D43" s="306">
        <v>30.995449084840999</v>
      </c>
      <c r="E43" s="307">
        <v>1.07858270398</v>
      </c>
      <c r="F43" s="305">
        <v>349.74122439192399</v>
      </c>
      <c r="G43" s="306">
        <v>204.01571422862199</v>
      </c>
      <c r="H43" s="308">
        <v>46.843940000000003</v>
      </c>
      <c r="I43" s="305">
        <v>264.61705000000001</v>
      </c>
      <c r="J43" s="306">
        <v>60.601335771377002</v>
      </c>
      <c r="K43" s="309">
        <v>0.756608119217</v>
      </c>
    </row>
    <row r="44" spans="1:11" ht="14.4" customHeight="1" thickBot="1" x14ac:dyDescent="0.35">
      <c r="A44" s="327" t="s">
        <v>215</v>
      </c>
      <c r="B44" s="305">
        <v>0</v>
      </c>
      <c r="C44" s="305">
        <v>35.396129999999999</v>
      </c>
      <c r="D44" s="306">
        <v>35.396129999999999</v>
      </c>
      <c r="E44" s="316" t="s">
        <v>193</v>
      </c>
      <c r="F44" s="305">
        <v>57.532935068405997</v>
      </c>
      <c r="G44" s="306">
        <v>33.560878789903001</v>
      </c>
      <c r="H44" s="308">
        <v>0</v>
      </c>
      <c r="I44" s="305">
        <v>2.42</v>
      </c>
      <c r="J44" s="306">
        <v>-31.140878789902999</v>
      </c>
      <c r="K44" s="309">
        <v>4.2062863594000001E-2</v>
      </c>
    </row>
    <row r="45" spans="1:11" ht="14.4" customHeight="1" thickBot="1" x14ac:dyDescent="0.35">
      <c r="A45" s="327" t="s">
        <v>216</v>
      </c>
      <c r="B45" s="305">
        <v>59.999998110145</v>
      </c>
      <c r="C45" s="305">
        <v>10.65368</v>
      </c>
      <c r="D45" s="306">
        <v>-49.346318110144999</v>
      </c>
      <c r="E45" s="307">
        <v>0.17756133892600001</v>
      </c>
      <c r="F45" s="305">
        <v>15.562822619087999</v>
      </c>
      <c r="G45" s="306">
        <v>9.0783131944680004</v>
      </c>
      <c r="H45" s="308">
        <v>0</v>
      </c>
      <c r="I45" s="305">
        <v>0</v>
      </c>
      <c r="J45" s="306">
        <v>-9.0783131944680004</v>
      </c>
      <c r="K45" s="309">
        <v>0</v>
      </c>
    </row>
    <row r="46" spans="1:11" ht="14.4" customHeight="1" thickBot="1" x14ac:dyDescent="0.35">
      <c r="A46" s="327" t="s">
        <v>217</v>
      </c>
      <c r="B46" s="305">
        <v>13.980334709387</v>
      </c>
      <c r="C46" s="305">
        <v>20.578869999999998</v>
      </c>
      <c r="D46" s="306">
        <v>6.5985352906120003</v>
      </c>
      <c r="E46" s="307">
        <v>1.471986932199</v>
      </c>
      <c r="F46" s="305">
        <v>20.707784565939001</v>
      </c>
      <c r="G46" s="306">
        <v>12.079540996798</v>
      </c>
      <c r="H46" s="308">
        <v>1.46444</v>
      </c>
      <c r="I46" s="305">
        <v>12.787369999999999</v>
      </c>
      <c r="J46" s="306">
        <v>0.70782900320099995</v>
      </c>
      <c r="K46" s="309">
        <v>0.61751511656299996</v>
      </c>
    </row>
    <row r="47" spans="1:11" ht="14.4" customHeight="1" thickBot="1" x14ac:dyDescent="0.35">
      <c r="A47" s="330" t="s">
        <v>30</v>
      </c>
      <c r="B47" s="310">
        <v>0</v>
      </c>
      <c r="C47" s="310">
        <v>5.5250000000000004</v>
      </c>
      <c r="D47" s="311">
        <v>5.5250000000000004</v>
      </c>
      <c r="E47" s="317" t="s">
        <v>176</v>
      </c>
      <c r="F47" s="310">
        <v>0</v>
      </c>
      <c r="G47" s="311">
        <v>0</v>
      </c>
      <c r="H47" s="313">
        <v>0</v>
      </c>
      <c r="I47" s="310">
        <v>3.5510000000000002</v>
      </c>
      <c r="J47" s="311">
        <v>3.5510000000000002</v>
      </c>
      <c r="K47" s="318" t="s">
        <v>176</v>
      </c>
    </row>
    <row r="48" spans="1:11" ht="14.4" customHeight="1" thickBot="1" x14ac:dyDescent="0.35">
      <c r="A48" s="326" t="s">
        <v>218</v>
      </c>
      <c r="B48" s="310">
        <v>0</v>
      </c>
      <c r="C48" s="310">
        <v>5.5250000000000004</v>
      </c>
      <c r="D48" s="311">
        <v>5.5250000000000004</v>
      </c>
      <c r="E48" s="317" t="s">
        <v>176</v>
      </c>
      <c r="F48" s="310">
        <v>0</v>
      </c>
      <c r="G48" s="311">
        <v>0</v>
      </c>
      <c r="H48" s="313">
        <v>0</v>
      </c>
      <c r="I48" s="310">
        <v>3.5510000000000002</v>
      </c>
      <c r="J48" s="311">
        <v>3.5510000000000002</v>
      </c>
      <c r="K48" s="318" t="s">
        <v>176</v>
      </c>
    </row>
    <row r="49" spans="1:11" ht="14.4" customHeight="1" thickBot="1" x14ac:dyDescent="0.35">
      <c r="A49" s="327" t="s">
        <v>219</v>
      </c>
      <c r="B49" s="305">
        <v>0</v>
      </c>
      <c r="C49" s="305">
        <v>5.5250000000000004</v>
      </c>
      <c r="D49" s="306">
        <v>5.5250000000000004</v>
      </c>
      <c r="E49" s="316" t="s">
        <v>176</v>
      </c>
      <c r="F49" s="305">
        <v>0</v>
      </c>
      <c r="G49" s="306">
        <v>0</v>
      </c>
      <c r="H49" s="308">
        <v>0</v>
      </c>
      <c r="I49" s="305">
        <v>3.5510000000000002</v>
      </c>
      <c r="J49" s="306">
        <v>3.5510000000000002</v>
      </c>
      <c r="K49" s="315" t="s">
        <v>176</v>
      </c>
    </row>
    <row r="50" spans="1:11" ht="14.4" customHeight="1" thickBot="1" x14ac:dyDescent="0.35">
      <c r="A50" s="325" t="s">
        <v>31</v>
      </c>
      <c r="B50" s="305">
        <v>1704.0941337173799</v>
      </c>
      <c r="C50" s="305">
        <v>1600.2081700000001</v>
      </c>
      <c r="D50" s="306">
        <v>-103.885963717377</v>
      </c>
      <c r="E50" s="307">
        <v>0.93903742659400002</v>
      </c>
      <c r="F50" s="305">
        <v>1480.2391138827099</v>
      </c>
      <c r="G50" s="306">
        <v>863.47281643158306</v>
      </c>
      <c r="H50" s="308">
        <v>90.097759999999994</v>
      </c>
      <c r="I50" s="305">
        <v>1060.1768099999999</v>
      </c>
      <c r="J50" s="306">
        <v>196.70399356841801</v>
      </c>
      <c r="K50" s="309">
        <v>0.71621996747399996</v>
      </c>
    </row>
    <row r="51" spans="1:11" ht="14.4" customHeight="1" thickBot="1" x14ac:dyDescent="0.35">
      <c r="A51" s="326" t="s">
        <v>220</v>
      </c>
      <c r="B51" s="310">
        <v>8.1819217636000001</v>
      </c>
      <c r="C51" s="310">
        <v>6.89079</v>
      </c>
      <c r="D51" s="311">
        <v>-1.2911317635999999</v>
      </c>
      <c r="E51" s="312">
        <v>0.84219700445599999</v>
      </c>
      <c r="F51" s="310">
        <v>6.9938277921200003</v>
      </c>
      <c r="G51" s="311">
        <v>4.0797328787360003</v>
      </c>
      <c r="H51" s="313">
        <v>0.31679000000000002</v>
      </c>
      <c r="I51" s="310">
        <v>2.7665999999999999</v>
      </c>
      <c r="J51" s="311">
        <v>-1.3131328787359999</v>
      </c>
      <c r="K51" s="314">
        <v>0.39557736939299998</v>
      </c>
    </row>
    <row r="52" spans="1:11" ht="14.4" customHeight="1" thickBot="1" x14ac:dyDescent="0.35">
      <c r="A52" s="327" t="s">
        <v>221</v>
      </c>
      <c r="B52" s="305">
        <v>0.72195120511499999</v>
      </c>
      <c r="C52" s="305">
        <v>1.1229</v>
      </c>
      <c r="D52" s="306">
        <v>0.40094879488399998</v>
      </c>
      <c r="E52" s="307">
        <v>1.5553682742579999</v>
      </c>
      <c r="F52" s="305">
        <v>0.67196376455999995</v>
      </c>
      <c r="G52" s="306">
        <v>0.39197886265999998</v>
      </c>
      <c r="H52" s="308">
        <v>4.7500000000000001E-2</v>
      </c>
      <c r="I52" s="305">
        <v>0.6593</v>
      </c>
      <c r="J52" s="306">
        <v>0.26732113733899998</v>
      </c>
      <c r="K52" s="309">
        <v>0.98115409605600001</v>
      </c>
    </row>
    <row r="53" spans="1:11" ht="14.4" customHeight="1" thickBot="1" x14ac:dyDescent="0.35">
      <c r="A53" s="327" t="s">
        <v>222</v>
      </c>
      <c r="B53" s="305">
        <v>7.4599705584839997</v>
      </c>
      <c r="C53" s="305">
        <v>5.7678900000000004</v>
      </c>
      <c r="D53" s="306">
        <v>-1.692080558484</v>
      </c>
      <c r="E53" s="307">
        <v>0.773178654631</v>
      </c>
      <c r="F53" s="305">
        <v>6.3218640275590001</v>
      </c>
      <c r="G53" s="306">
        <v>3.6877540160760001</v>
      </c>
      <c r="H53" s="308">
        <v>0.26928999999999997</v>
      </c>
      <c r="I53" s="305">
        <v>2.1073</v>
      </c>
      <c r="J53" s="306">
        <v>-1.5804540160759999</v>
      </c>
      <c r="K53" s="309">
        <v>0.33333523005400001</v>
      </c>
    </row>
    <row r="54" spans="1:11" ht="14.4" customHeight="1" thickBot="1" x14ac:dyDescent="0.35">
      <c r="A54" s="326" t="s">
        <v>223</v>
      </c>
      <c r="B54" s="310">
        <v>1.6780130237769999</v>
      </c>
      <c r="C54" s="310">
        <v>1.62</v>
      </c>
      <c r="D54" s="311">
        <v>-5.8013023777000003E-2</v>
      </c>
      <c r="E54" s="312">
        <v>0.96542754856099999</v>
      </c>
      <c r="F54" s="310">
        <v>1.999996816928</v>
      </c>
      <c r="G54" s="311">
        <v>1.1666648098750001</v>
      </c>
      <c r="H54" s="313">
        <v>0.40500000000000003</v>
      </c>
      <c r="I54" s="310">
        <v>1.2150000000000001</v>
      </c>
      <c r="J54" s="311">
        <v>4.8335190123999998E-2</v>
      </c>
      <c r="K54" s="314">
        <v>0.60750096685900001</v>
      </c>
    </row>
    <row r="55" spans="1:11" ht="14.4" customHeight="1" thickBot="1" x14ac:dyDescent="0.35">
      <c r="A55" s="327" t="s">
        <v>224</v>
      </c>
      <c r="B55" s="305">
        <v>1.6780130237769999</v>
      </c>
      <c r="C55" s="305">
        <v>1.62</v>
      </c>
      <c r="D55" s="306">
        <v>-5.8013023777000003E-2</v>
      </c>
      <c r="E55" s="307">
        <v>0.96542754856099999</v>
      </c>
      <c r="F55" s="305">
        <v>1.999996816928</v>
      </c>
      <c r="G55" s="306">
        <v>1.1666648098750001</v>
      </c>
      <c r="H55" s="308">
        <v>0.40500000000000003</v>
      </c>
      <c r="I55" s="305">
        <v>1.2150000000000001</v>
      </c>
      <c r="J55" s="306">
        <v>4.8335190123999998E-2</v>
      </c>
      <c r="K55" s="309">
        <v>0.60750096685900001</v>
      </c>
    </row>
    <row r="56" spans="1:11" ht="14.4" customHeight="1" thickBot="1" x14ac:dyDescent="0.35">
      <c r="A56" s="326" t="s">
        <v>225</v>
      </c>
      <c r="B56" s="310">
        <v>389.72491163334303</v>
      </c>
      <c r="C56" s="310">
        <v>426.51253000000003</v>
      </c>
      <c r="D56" s="311">
        <v>36.787618366655998</v>
      </c>
      <c r="E56" s="312">
        <v>1.0943938077049999</v>
      </c>
      <c r="F56" s="310">
        <v>436.59616931502097</v>
      </c>
      <c r="G56" s="311">
        <v>254.68109876709499</v>
      </c>
      <c r="H56" s="313">
        <v>34.296280000000003</v>
      </c>
      <c r="I56" s="310">
        <v>286.28618</v>
      </c>
      <c r="J56" s="311">
        <v>31.605081232903999</v>
      </c>
      <c r="K56" s="314">
        <v>0.655723068869</v>
      </c>
    </row>
    <row r="57" spans="1:11" ht="14.4" customHeight="1" thickBot="1" x14ac:dyDescent="0.35">
      <c r="A57" s="327" t="s">
        <v>226</v>
      </c>
      <c r="B57" s="305">
        <v>375.22625086611498</v>
      </c>
      <c r="C57" s="305">
        <v>414.91253</v>
      </c>
      <c r="D57" s="306">
        <v>39.686279133885002</v>
      </c>
      <c r="E57" s="307">
        <v>1.1057662651319999</v>
      </c>
      <c r="F57" s="305">
        <v>426.476451106936</v>
      </c>
      <c r="G57" s="306">
        <v>248.777929812379</v>
      </c>
      <c r="H57" s="308">
        <v>33.59628</v>
      </c>
      <c r="I57" s="305">
        <v>231.35570000000001</v>
      </c>
      <c r="J57" s="306">
        <v>-17.422229812379001</v>
      </c>
      <c r="K57" s="309">
        <v>0.54248176985899998</v>
      </c>
    </row>
    <row r="58" spans="1:11" ht="14.4" customHeight="1" thickBot="1" x14ac:dyDescent="0.35">
      <c r="A58" s="327" t="s">
        <v>227</v>
      </c>
      <c r="B58" s="305">
        <v>0</v>
      </c>
      <c r="C58" s="305">
        <v>0</v>
      </c>
      <c r="D58" s="306">
        <v>0</v>
      </c>
      <c r="E58" s="307">
        <v>1</v>
      </c>
      <c r="F58" s="305">
        <v>0</v>
      </c>
      <c r="G58" s="306">
        <v>0</v>
      </c>
      <c r="H58" s="308">
        <v>0</v>
      </c>
      <c r="I58" s="305">
        <v>49.630479999999999</v>
      </c>
      <c r="J58" s="306">
        <v>49.630479999999999</v>
      </c>
      <c r="K58" s="315" t="s">
        <v>193</v>
      </c>
    </row>
    <row r="59" spans="1:11" ht="14.4" customHeight="1" thickBot="1" x14ac:dyDescent="0.35">
      <c r="A59" s="327" t="s">
        <v>228</v>
      </c>
      <c r="B59" s="305">
        <v>14.498660767227999</v>
      </c>
      <c r="C59" s="305">
        <v>11.6</v>
      </c>
      <c r="D59" s="306">
        <v>-2.8986607672279998</v>
      </c>
      <c r="E59" s="307">
        <v>0.80007389552899999</v>
      </c>
      <c r="F59" s="305">
        <v>10.119718208084</v>
      </c>
      <c r="G59" s="306">
        <v>5.9031689547159996</v>
      </c>
      <c r="H59" s="308">
        <v>0.7</v>
      </c>
      <c r="I59" s="305">
        <v>5.3</v>
      </c>
      <c r="J59" s="306">
        <v>-0.60316895471599996</v>
      </c>
      <c r="K59" s="309">
        <v>0.52372999830800004</v>
      </c>
    </row>
    <row r="60" spans="1:11" ht="14.4" customHeight="1" thickBot="1" x14ac:dyDescent="0.35">
      <c r="A60" s="326" t="s">
        <v>229</v>
      </c>
      <c r="B60" s="310">
        <v>1259.5092887140499</v>
      </c>
      <c r="C60" s="310">
        <v>1101.1648499999999</v>
      </c>
      <c r="D60" s="311">
        <v>-158.34443871404599</v>
      </c>
      <c r="E60" s="312">
        <v>0.87428084879300005</v>
      </c>
      <c r="F60" s="310">
        <v>1007.8274608605</v>
      </c>
      <c r="G60" s="311">
        <v>587.89935216862295</v>
      </c>
      <c r="H60" s="313">
        <v>55.079689999999999</v>
      </c>
      <c r="I60" s="310">
        <v>768.80903000000103</v>
      </c>
      <c r="J60" s="311">
        <v>180.90967783137799</v>
      </c>
      <c r="K60" s="314">
        <v>0.76283794583599995</v>
      </c>
    </row>
    <row r="61" spans="1:11" ht="14.4" customHeight="1" thickBot="1" x14ac:dyDescent="0.35">
      <c r="A61" s="327" t="s">
        <v>230</v>
      </c>
      <c r="B61" s="305">
        <v>4.5265724092730002</v>
      </c>
      <c r="C61" s="305">
        <v>24.420999999999999</v>
      </c>
      <c r="D61" s="306">
        <v>19.894427590726</v>
      </c>
      <c r="E61" s="307">
        <v>5.395031337611</v>
      </c>
      <c r="F61" s="305">
        <v>4.9999920423219999</v>
      </c>
      <c r="G61" s="306">
        <v>2.9166620246880002</v>
      </c>
      <c r="H61" s="308">
        <v>2.8090000000000002</v>
      </c>
      <c r="I61" s="305">
        <v>2.8090000000000002</v>
      </c>
      <c r="J61" s="306">
        <v>-0.107662024688</v>
      </c>
      <c r="K61" s="309">
        <v>0.56180089412599998</v>
      </c>
    </row>
    <row r="62" spans="1:11" ht="14.4" customHeight="1" thickBot="1" x14ac:dyDescent="0.35">
      <c r="A62" s="327" t="s">
        <v>231</v>
      </c>
      <c r="B62" s="305">
        <v>1140.6857382846799</v>
      </c>
      <c r="C62" s="305">
        <v>1035.2498499999999</v>
      </c>
      <c r="D62" s="306">
        <v>-105.435888284679</v>
      </c>
      <c r="E62" s="307">
        <v>0.90756797885100005</v>
      </c>
      <c r="F62" s="305">
        <v>933.15222193161696</v>
      </c>
      <c r="G62" s="306">
        <v>544.33879612677697</v>
      </c>
      <c r="H62" s="308">
        <v>48.386690000000002</v>
      </c>
      <c r="I62" s="305">
        <v>720.90703000000099</v>
      </c>
      <c r="J62" s="306">
        <v>176.56823387322399</v>
      </c>
      <c r="K62" s="309">
        <v>0.77255030107199996</v>
      </c>
    </row>
    <row r="63" spans="1:11" ht="14.4" customHeight="1" thickBot="1" x14ac:dyDescent="0.35">
      <c r="A63" s="327" t="s">
        <v>232</v>
      </c>
      <c r="B63" s="305">
        <v>0.99999996850200001</v>
      </c>
      <c r="C63" s="305">
        <v>0</v>
      </c>
      <c r="D63" s="306">
        <v>-0.99999996850200001</v>
      </c>
      <c r="E63" s="307">
        <v>0</v>
      </c>
      <c r="F63" s="305">
        <v>3.9999936338570001</v>
      </c>
      <c r="G63" s="306">
        <v>2.3333296197500002</v>
      </c>
      <c r="H63" s="308">
        <v>0</v>
      </c>
      <c r="I63" s="305">
        <v>0</v>
      </c>
      <c r="J63" s="306">
        <v>-2.3333296197500002</v>
      </c>
      <c r="K63" s="309">
        <v>0</v>
      </c>
    </row>
    <row r="64" spans="1:11" ht="14.4" customHeight="1" thickBot="1" x14ac:dyDescent="0.35">
      <c r="A64" s="327" t="s">
        <v>233</v>
      </c>
      <c r="B64" s="305">
        <v>113.296978051591</v>
      </c>
      <c r="C64" s="305">
        <v>41.494</v>
      </c>
      <c r="D64" s="306">
        <v>-71.802978051590998</v>
      </c>
      <c r="E64" s="307">
        <v>0.36624101289799998</v>
      </c>
      <c r="F64" s="305">
        <v>65.675253252698994</v>
      </c>
      <c r="G64" s="306">
        <v>38.310564397408001</v>
      </c>
      <c r="H64" s="308">
        <v>3.8839999999999999</v>
      </c>
      <c r="I64" s="305">
        <v>45.093000000000004</v>
      </c>
      <c r="J64" s="306">
        <v>6.7824356025909998</v>
      </c>
      <c r="K64" s="309">
        <v>0.68660565078400004</v>
      </c>
    </row>
    <row r="65" spans="1:11" ht="14.4" customHeight="1" thickBot="1" x14ac:dyDescent="0.35">
      <c r="A65" s="326" t="s">
        <v>234</v>
      </c>
      <c r="B65" s="310">
        <v>44.999998582609003</v>
      </c>
      <c r="C65" s="310">
        <v>64.02</v>
      </c>
      <c r="D65" s="311">
        <v>19.020001417389999</v>
      </c>
      <c r="E65" s="312">
        <v>1.422666711477</v>
      </c>
      <c r="F65" s="310">
        <v>26.821659098146</v>
      </c>
      <c r="G65" s="311">
        <v>15.645967807250999</v>
      </c>
      <c r="H65" s="313">
        <v>0</v>
      </c>
      <c r="I65" s="310">
        <v>1.1000000000000001</v>
      </c>
      <c r="J65" s="311">
        <v>-14.545967807250999</v>
      </c>
      <c r="K65" s="314">
        <v>4.1011631531000001E-2</v>
      </c>
    </row>
    <row r="66" spans="1:11" ht="14.4" customHeight="1" thickBot="1" x14ac:dyDescent="0.35">
      <c r="A66" s="327" t="s">
        <v>235</v>
      </c>
      <c r="B66" s="305">
        <v>9.9999996850239992</v>
      </c>
      <c r="C66" s="305">
        <v>1.1000000000000001</v>
      </c>
      <c r="D66" s="306">
        <v>-8.8999996850239995</v>
      </c>
      <c r="E66" s="307">
        <v>0.110000003464</v>
      </c>
      <c r="F66" s="305">
        <v>1.8216988865329999</v>
      </c>
      <c r="G66" s="306">
        <v>1.062657683811</v>
      </c>
      <c r="H66" s="308">
        <v>0</v>
      </c>
      <c r="I66" s="305">
        <v>1.1000000000000001</v>
      </c>
      <c r="J66" s="306">
        <v>3.7342316187999998E-2</v>
      </c>
      <c r="K66" s="309">
        <v>0.60383195495700004</v>
      </c>
    </row>
    <row r="67" spans="1:11" ht="14.4" customHeight="1" thickBot="1" x14ac:dyDescent="0.35">
      <c r="A67" s="327" t="s">
        <v>236</v>
      </c>
      <c r="B67" s="305">
        <v>34.999998897584</v>
      </c>
      <c r="C67" s="305">
        <v>62.92</v>
      </c>
      <c r="D67" s="306">
        <v>27.920001102415</v>
      </c>
      <c r="E67" s="307">
        <v>1.7977143423369999</v>
      </c>
      <c r="F67" s="305">
        <v>24.999960211611999</v>
      </c>
      <c r="G67" s="306">
        <v>14.58331012344</v>
      </c>
      <c r="H67" s="308">
        <v>0</v>
      </c>
      <c r="I67" s="305">
        <v>0</v>
      </c>
      <c r="J67" s="306">
        <v>-14.58331012344</v>
      </c>
      <c r="K67" s="309">
        <v>0</v>
      </c>
    </row>
    <row r="68" spans="1:11" ht="14.4" customHeight="1" thickBot="1" x14ac:dyDescent="0.35">
      <c r="A68" s="324" t="s">
        <v>32</v>
      </c>
      <c r="B68" s="305">
        <v>12179.999616359501</v>
      </c>
      <c r="C68" s="305">
        <v>12207.314469999999</v>
      </c>
      <c r="D68" s="306">
        <v>27.314853640479999</v>
      </c>
      <c r="E68" s="307">
        <v>1.002242598891</v>
      </c>
      <c r="F68" s="305">
        <v>12221.0011033057</v>
      </c>
      <c r="G68" s="306">
        <v>7128.9173102616496</v>
      </c>
      <c r="H68" s="308">
        <v>1414.29648</v>
      </c>
      <c r="I68" s="305">
        <v>7414.8613500000001</v>
      </c>
      <c r="J68" s="306">
        <v>285.94403973835</v>
      </c>
      <c r="K68" s="309">
        <v>0.60673109243000001</v>
      </c>
    </row>
    <row r="69" spans="1:11" ht="14.4" customHeight="1" thickBot="1" x14ac:dyDescent="0.35">
      <c r="A69" s="330" t="s">
        <v>237</v>
      </c>
      <c r="B69" s="310">
        <v>9028.9997156083791</v>
      </c>
      <c r="C69" s="310">
        <v>9055.3259999999991</v>
      </c>
      <c r="D69" s="311">
        <v>26.326284391615999</v>
      </c>
      <c r="E69" s="312">
        <v>1.0029157476149999</v>
      </c>
      <c r="F69" s="310">
        <v>9026.0008148627094</v>
      </c>
      <c r="G69" s="311">
        <v>5265.1671420032499</v>
      </c>
      <c r="H69" s="313">
        <v>1043.999</v>
      </c>
      <c r="I69" s="310">
        <v>5477.3459999999995</v>
      </c>
      <c r="J69" s="311">
        <v>212.17885799675301</v>
      </c>
      <c r="K69" s="314">
        <v>0.60684084926899995</v>
      </c>
    </row>
    <row r="70" spans="1:11" ht="14.4" customHeight="1" thickBot="1" x14ac:dyDescent="0.35">
      <c r="A70" s="326" t="s">
        <v>238</v>
      </c>
      <c r="B70" s="310">
        <v>8999.9997165218101</v>
      </c>
      <c r="C70" s="310">
        <v>9004.2279999999992</v>
      </c>
      <c r="D70" s="311">
        <v>4.2282834781869996</v>
      </c>
      <c r="E70" s="312">
        <v>1.00046980929</v>
      </c>
      <c r="F70" s="310">
        <v>9000.00081251544</v>
      </c>
      <c r="G70" s="311">
        <v>5250.0004739673404</v>
      </c>
      <c r="H70" s="313">
        <v>1043.0419999999999</v>
      </c>
      <c r="I70" s="310">
        <v>5456.9</v>
      </c>
      <c r="J70" s="311">
        <v>206.89952603266099</v>
      </c>
      <c r="K70" s="314">
        <v>0.60632216748300005</v>
      </c>
    </row>
    <row r="71" spans="1:11" ht="14.4" customHeight="1" thickBot="1" x14ac:dyDescent="0.35">
      <c r="A71" s="327" t="s">
        <v>239</v>
      </c>
      <c r="B71" s="305">
        <v>8999.9997165218101</v>
      </c>
      <c r="C71" s="305">
        <v>9004.2279999999992</v>
      </c>
      <c r="D71" s="306">
        <v>4.2282834781869996</v>
      </c>
      <c r="E71" s="307">
        <v>1.00046980929</v>
      </c>
      <c r="F71" s="305">
        <v>9000.00081251544</v>
      </c>
      <c r="G71" s="306">
        <v>5250.0004739673404</v>
      </c>
      <c r="H71" s="308">
        <v>1043.0419999999999</v>
      </c>
      <c r="I71" s="305">
        <v>5456.9</v>
      </c>
      <c r="J71" s="306">
        <v>206.89952603266099</v>
      </c>
      <c r="K71" s="309">
        <v>0.60632216748300005</v>
      </c>
    </row>
    <row r="72" spans="1:11" ht="14.4" customHeight="1" thickBot="1" x14ac:dyDescent="0.35">
      <c r="A72" s="326" t="s">
        <v>240</v>
      </c>
      <c r="B72" s="310">
        <v>28.99999908657</v>
      </c>
      <c r="C72" s="310">
        <v>51.097999999999999</v>
      </c>
      <c r="D72" s="311">
        <v>22.098000913429001</v>
      </c>
      <c r="E72" s="312">
        <v>1.762000055498</v>
      </c>
      <c r="F72" s="310">
        <v>26.000002347266001</v>
      </c>
      <c r="G72" s="311">
        <v>15.166668035904999</v>
      </c>
      <c r="H72" s="313">
        <v>0.95699999999999996</v>
      </c>
      <c r="I72" s="310">
        <v>20.446000000000002</v>
      </c>
      <c r="J72" s="311">
        <v>5.2793319640940002</v>
      </c>
      <c r="K72" s="314">
        <v>0.78638454439000005</v>
      </c>
    </row>
    <row r="73" spans="1:11" ht="14.4" customHeight="1" thickBot="1" x14ac:dyDescent="0.35">
      <c r="A73" s="327" t="s">
        <v>241</v>
      </c>
      <c r="B73" s="305">
        <v>28.99999908657</v>
      </c>
      <c r="C73" s="305">
        <v>51.097999999999999</v>
      </c>
      <c r="D73" s="306">
        <v>22.098000913429001</v>
      </c>
      <c r="E73" s="307">
        <v>1.762000055498</v>
      </c>
      <c r="F73" s="305">
        <v>26.000002347266001</v>
      </c>
      <c r="G73" s="306">
        <v>15.166668035904999</v>
      </c>
      <c r="H73" s="308">
        <v>0.95699999999999996</v>
      </c>
      <c r="I73" s="305">
        <v>20.446000000000002</v>
      </c>
      <c r="J73" s="306">
        <v>5.2793319640940002</v>
      </c>
      <c r="K73" s="309">
        <v>0.78638454439000005</v>
      </c>
    </row>
    <row r="74" spans="1:11" ht="14.4" customHeight="1" thickBot="1" x14ac:dyDescent="0.35">
      <c r="A74" s="325" t="s">
        <v>242</v>
      </c>
      <c r="B74" s="305">
        <v>3059.9999036174199</v>
      </c>
      <c r="C74" s="305">
        <v>3061.4360000000001</v>
      </c>
      <c r="D74" s="306">
        <v>1.436096382583</v>
      </c>
      <c r="E74" s="307">
        <v>1.000469312558</v>
      </c>
      <c r="F74" s="305">
        <v>3060.0002762552499</v>
      </c>
      <c r="G74" s="306">
        <v>1785.0001611488999</v>
      </c>
      <c r="H74" s="308">
        <v>354.63650000000001</v>
      </c>
      <c r="I74" s="305">
        <v>1855.3530000000001</v>
      </c>
      <c r="J74" s="306">
        <v>70.352838851103996</v>
      </c>
      <c r="K74" s="309">
        <v>0.60632445506499999</v>
      </c>
    </row>
    <row r="75" spans="1:11" ht="14.4" customHeight="1" thickBot="1" x14ac:dyDescent="0.35">
      <c r="A75" s="326" t="s">
        <v>243</v>
      </c>
      <c r="B75" s="310">
        <v>809.99997448696297</v>
      </c>
      <c r="C75" s="310">
        <v>810.37900000000002</v>
      </c>
      <c r="D75" s="311">
        <v>0.37902551303699999</v>
      </c>
      <c r="E75" s="312">
        <v>1.000467932746</v>
      </c>
      <c r="F75" s="310">
        <v>810.00007312639002</v>
      </c>
      <c r="G75" s="311">
        <v>472.50004265706099</v>
      </c>
      <c r="H75" s="313">
        <v>93.876000000000005</v>
      </c>
      <c r="I75" s="310">
        <v>491.12799999999999</v>
      </c>
      <c r="J75" s="311">
        <v>18.627957342938998</v>
      </c>
      <c r="K75" s="314">
        <v>0.606330809458</v>
      </c>
    </row>
    <row r="76" spans="1:11" ht="14.4" customHeight="1" thickBot="1" x14ac:dyDescent="0.35">
      <c r="A76" s="327" t="s">
        <v>244</v>
      </c>
      <c r="B76" s="305">
        <v>809.99997448696297</v>
      </c>
      <c r="C76" s="305">
        <v>810.37900000000002</v>
      </c>
      <c r="D76" s="306">
        <v>0.37902551303699999</v>
      </c>
      <c r="E76" s="307">
        <v>1.000467932746</v>
      </c>
      <c r="F76" s="305">
        <v>810.00007312639002</v>
      </c>
      <c r="G76" s="306">
        <v>472.50004265706099</v>
      </c>
      <c r="H76" s="308">
        <v>93.876000000000005</v>
      </c>
      <c r="I76" s="305">
        <v>491.12799999999999</v>
      </c>
      <c r="J76" s="306">
        <v>18.627957342938998</v>
      </c>
      <c r="K76" s="309">
        <v>0.606330809458</v>
      </c>
    </row>
    <row r="77" spans="1:11" ht="14.4" customHeight="1" thickBot="1" x14ac:dyDescent="0.35">
      <c r="A77" s="326" t="s">
        <v>245</v>
      </c>
      <c r="B77" s="310">
        <v>2249.9999291304498</v>
      </c>
      <c r="C77" s="310">
        <v>2251.0569999999998</v>
      </c>
      <c r="D77" s="311">
        <v>1.057070869546</v>
      </c>
      <c r="E77" s="312">
        <v>1.00046980929</v>
      </c>
      <c r="F77" s="310">
        <v>2250.00020312886</v>
      </c>
      <c r="G77" s="311">
        <v>1312.5001184918401</v>
      </c>
      <c r="H77" s="313">
        <v>260.76049999999998</v>
      </c>
      <c r="I77" s="310">
        <v>1364.2249999999999</v>
      </c>
      <c r="J77" s="311">
        <v>51.724881508164998</v>
      </c>
      <c r="K77" s="314">
        <v>0.60632216748300005</v>
      </c>
    </row>
    <row r="78" spans="1:11" ht="14.4" customHeight="1" thickBot="1" x14ac:dyDescent="0.35">
      <c r="A78" s="327" t="s">
        <v>246</v>
      </c>
      <c r="B78" s="305">
        <v>2249.9999291304498</v>
      </c>
      <c r="C78" s="305">
        <v>2251.0569999999998</v>
      </c>
      <c r="D78" s="306">
        <v>1.057070869546</v>
      </c>
      <c r="E78" s="307">
        <v>1.00046980929</v>
      </c>
      <c r="F78" s="305">
        <v>2250.00020312886</v>
      </c>
      <c r="G78" s="306">
        <v>1312.5001184918401</v>
      </c>
      <c r="H78" s="308">
        <v>260.76049999999998</v>
      </c>
      <c r="I78" s="305">
        <v>1364.2249999999999</v>
      </c>
      <c r="J78" s="306">
        <v>51.724881508164998</v>
      </c>
      <c r="K78" s="309">
        <v>0.60632216748300005</v>
      </c>
    </row>
    <row r="79" spans="1:11" ht="14.4" customHeight="1" thickBot="1" x14ac:dyDescent="0.35">
      <c r="A79" s="325" t="s">
        <v>247</v>
      </c>
      <c r="B79" s="305">
        <v>90.999997133720001</v>
      </c>
      <c r="C79" s="305">
        <v>90.55247</v>
      </c>
      <c r="D79" s="306">
        <v>-0.44752713372000003</v>
      </c>
      <c r="E79" s="307">
        <v>0.99508211925400003</v>
      </c>
      <c r="F79" s="305">
        <v>135.00001218773201</v>
      </c>
      <c r="G79" s="306">
        <v>78.750007109509994</v>
      </c>
      <c r="H79" s="308">
        <v>15.66098</v>
      </c>
      <c r="I79" s="305">
        <v>82.162350000000004</v>
      </c>
      <c r="J79" s="306">
        <v>3.4123428904890001</v>
      </c>
      <c r="K79" s="309">
        <v>0.60860994505499999</v>
      </c>
    </row>
    <row r="80" spans="1:11" ht="14.4" customHeight="1" thickBot="1" x14ac:dyDescent="0.35">
      <c r="A80" s="326" t="s">
        <v>248</v>
      </c>
      <c r="B80" s="310">
        <v>90.999997133720001</v>
      </c>
      <c r="C80" s="310">
        <v>90.55247</v>
      </c>
      <c r="D80" s="311">
        <v>-0.44752713372000003</v>
      </c>
      <c r="E80" s="312">
        <v>0.99508211925400003</v>
      </c>
      <c r="F80" s="310">
        <v>135.00001218773201</v>
      </c>
      <c r="G80" s="311">
        <v>78.750007109509994</v>
      </c>
      <c r="H80" s="313">
        <v>15.66098</v>
      </c>
      <c r="I80" s="310">
        <v>82.162350000000004</v>
      </c>
      <c r="J80" s="311">
        <v>3.4123428904890001</v>
      </c>
      <c r="K80" s="314">
        <v>0.60860994505499999</v>
      </c>
    </row>
    <row r="81" spans="1:11" ht="14.4" customHeight="1" thickBot="1" x14ac:dyDescent="0.35">
      <c r="A81" s="327" t="s">
        <v>249</v>
      </c>
      <c r="B81" s="305">
        <v>90.999997133720001</v>
      </c>
      <c r="C81" s="305">
        <v>90.55247</v>
      </c>
      <c r="D81" s="306">
        <v>-0.44752713372000003</v>
      </c>
      <c r="E81" s="307">
        <v>0.99508211925400003</v>
      </c>
      <c r="F81" s="305">
        <v>135.00001218773201</v>
      </c>
      <c r="G81" s="306">
        <v>78.750007109509994</v>
      </c>
      <c r="H81" s="308">
        <v>15.66098</v>
      </c>
      <c r="I81" s="305">
        <v>82.162350000000004</v>
      </c>
      <c r="J81" s="306">
        <v>3.4123428904890001</v>
      </c>
      <c r="K81" s="309">
        <v>0.60860994505499999</v>
      </c>
    </row>
    <row r="82" spans="1:11" ht="14.4" customHeight="1" thickBot="1" x14ac:dyDescent="0.35">
      <c r="A82" s="324" t="s">
        <v>250</v>
      </c>
      <c r="B82" s="305">
        <v>0</v>
      </c>
      <c r="C82" s="305">
        <v>5.4480000000000004</v>
      </c>
      <c r="D82" s="306">
        <v>5.4480000000000004</v>
      </c>
      <c r="E82" s="316" t="s">
        <v>176</v>
      </c>
      <c r="F82" s="305">
        <v>0</v>
      </c>
      <c r="G82" s="306">
        <v>0</v>
      </c>
      <c r="H82" s="308">
        <v>0</v>
      </c>
      <c r="I82" s="305">
        <v>0.6</v>
      </c>
      <c r="J82" s="306">
        <v>0.6</v>
      </c>
      <c r="K82" s="315" t="s">
        <v>176</v>
      </c>
    </row>
    <row r="83" spans="1:11" ht="14.4" customHeight="1" thickBot="1" x14ac:dyDescent="0.35">
      <c r="A83" s="325" t="s">
        <v>251</v>
      </c>
      <c r="B83" s="305">
        <v>0</v>
      </c>
      <c r="C83" s="305">
        <v>5.4480000000000004</v>
      </c>
      <c r="D83" s="306">
        <v>5.4480000000000004</v>
      </c>
      <c r="E83" s="316" t="s">
        <v>176</v>
      </c>
      <c r="F83" s="305">
        <v>0</v>
      </c>
      <c r="G83" s="306">
        <v>0</v>
      </c>
      <c r="H83" s="308">
        <v>0</v>
      </c>
      <c r="I83" s="305">
        <v>0.6</v>
      </c>
      <c r="J83" s="306">
        <v>0.6</v>
      </c>
      <c r="K83" s="315" t="s">
        <v>176</v>
      </c>
    </row>
    <row r="84" spans="1:11" ht="14.4" customHeight="1" thickBot="1" x14ac:dyDescent="0.35">
      <c r="A84" s="329" t="s">
        <v>252</v>
      </c>
      <c r="B84" s="305">
        <v>0</v>
      </c>
      <c r="C84" s="305">
        <v>4.1980000000000004</v>
      </c>
      <c r="D84" s="306">
        <v>4.1980000000000004</v>
      </c>
      <c r="E84" s="316" t="s">
        <v>193</v>
      </c>
      <c r="F84" s="305">
        <v>0</v>
      </c>
      <c r="G84" s="306">
        <v>0</v>
      </c>
      <c r="H84" s="308">
        <v>0</v>
      </c>
      <c r="I84" s="305">
        <v>0</v>
      </c>
      <c r="J84" s="306">
        <v>0</v>
      </c>
      <c r="K84" s="315" t="s">
        <v>176</v>
      </c>
    </row>
    <row r="85" spans="1:11" ht="14.4" customHeight="1" thickBot="1" x14ac:dyDescent="0.35">
      <c r="A85" s="327" t="s">
        <v>253</v>
      </c>
      <c r="B85" s="305">
        <v>0</v>
      </c>
      <c r="C85" s="305">
        <v>4.1980000000000004</v>
      </c>
      <c r="D85" s="306">
        <v>4.1980000000000004</v>
      </c>
      <c r="E85" s="316" t="s">
        <v>193</v>
      </c>
      <c r="F85" s="305">
        <v>0</v>
      </c>
      <c r="G85" s="306">
        <v>0</v>
      </c>
      <c r="H85" s="308">
        <v>0</v>
      </c>
      <c r="I85" s="305">
        <v>0</v>
      </c>
      <c r="J85" s="306">
        <v>0</v>
      </c>
      <c r="K85" s="315" t="s">
        <v>176</v>
      </c>
    </row>
    <row r="86" spans="1:11" ht="14.4" customHeight="1" thickBot="1" x14ac:dyDescent="0.35">
      <c r="A86" s="329" t="s">
        <v>254</v>
      </c>
      <c r="B86" s="305">
        <v>0</v>
      </c>
      <c r="C86" s="305">
        <v>1.25</v>
      </c>
      <c r="D86" s="306">
        <v>1.25</v>
      </c>
      <c r="E86" s="316" t="s">
        <v>176</v>
      </c>
      <c r="F86" s="305">
        <v>0</v>
      </c>
      <c r="G86" s="306">
        <v>0</v>
      </c>
      <c r="H86" s="308">
        <v>0</v>
      </c>
      <c r="I86" s="305">
        <v>0.6</v>
      </c>
      <c r="J86" s="306">
        <v>0.6</v>
      </c>
      <c r="K86" s="315" t="s">
        <v>176</v>
      </c>
    </row>
    <row r="87" spans="1:11" ht="14.4" customHeight="1" thickBot="1" x14ac:dyDescent="0.35">
      <c r="A87" s="327" t="s">
        <v>255</v>
      </c>
      <c r="B87" s="305">
        <v>0</v>
      </c>
      <c r="C87" s="305">
        <v>1.25</v>
      </c>
      <c r="D87" s="306">
        <v>1.25</v>
      </c>
      <c r="E87" s="316" t="s">
        <v>176</v>
      </c>
      <c r="F87" s="305">
        <v>0</v>
      </c>
      <c r="G87" s="306">
        <v>0</v>
      </c>
      <c r="H87" s="308">
        <v>0</v>
      </c>
      <c r="I87" s="305">
        <v>0.6</v>
      </c>
      <c r="J87" s="306">
        <v>0.6</v>
      </c>
      <c r="K87" s="315" t="s">
        <v>176</v>
      </c>
    </row>
    <row r="88" spans="1:11" ht="14.4" customHeight="1" thickBot="1" x14ac:dyDescent="0.35">
      <c r="A88" s="324" t="s">
        <v>256</v>
      </c>
      <c r="B88" s="305">
        <v>2663.9923563981502</v>
      </c>
      <c r="C88" s="305">
        <v>2721.7950000000001</v>
      </c>
      <c r="D88" s="306">
        <v>57.802643601850001</v>
      </c>
      <c r="E88" s="307">
        <v>1.0216977512950001</v>
      </c>
      <c r="F88" s="305">
        <v>2586.3068043716198</v>
      </c>
      <c r="G88" s="306">
        <v>1508.6789692167799</v>
      </c>
      <c r="H88" s="308">
        <v>211.20699999999999</v>
      </c>
      <c r="I88" s="305">
        <v>1523.902</v>
      </c>
      <c r="J88" s="306">
        <v>15.223030783223001</v>
      </c>
      <c r="K88" s="309">
        <v>0.58921934452000002</v>
      </c>
    </row>
    <row r="89" spans="1:11" ht="14.4" customHeight="1" thickBot="1" x14ac:dyDescent="0.35">
      <c r="A89" s="325" t="s">
        <v>257</v>
      </c>
      <c r="B89" s="305">
        <v>2663.9923563981502</v>
      </c>
      <c r="C89" s="305">
        <v>2682.549</v>
      </c>
      <c r="D89" s="306">
        <v>18.556643601849999</v>
      </c>
      <c r="E89" s="307">
        <v>1.0069657270429999</v>
      </c>
      <c r="F89" s="305">
        <v>2564.00592094175</v>
      </c>
      <c r="G89" s="306">
        <v>1495.67012054936</v>
      </c>
      <c r="H89" s="308">
        <v>211.20699999999999</v>
      </c>
      <c r="I89" s="305">
        <v>1507.567</v>
      </c>
      <c r="J89" s="306">
        <v>11.896879450645001</v>
      </c>
      <c r="K89" s="309">
        <v>0.58797329120200004</v>
      </c>
    </row>
    <row r="90" spans="1:11" ht="14.4" customHeight="1" thickBot="1" x14ac:dyDescent="0.35">
      <c r="A90" s="326" t="s">
        <v>258</v>
      </c>
      <c r="B90" s="310">
        <v>2663.9923563981502</v>
      </c>
      <c r="C90" s="310">
        <v>2673.6610000000001</v>
      </c>
      <c r="D90" s="311">
        <v>9.6686436018500004</v>
      </c>
      <c r="E90" s="312">
        <v>1.003629381134</v>
      </c>
      <c r="F90" s="310">
        <v>2564.00592094175</v>
      </c>
      <c r="G90" s="311">
        <v>1495.67012054936</v>
      </c>
      <c r="H90" s="313">
        <v>211.20699999999999</v>
      </c>
      <c r="I90" s="310">
        <v>1507.567</v>
      </c>
      <c r="J90" s="311">
        <v>11.896879450645001</v>
      </c>
      <c r="K90" s="314">
        <v>0.58797329120200004</v>
      </c>
    </row>
    <row r="91" spans="1:11" ht="14.4" customHeight="1" thickBot="1" x14ac:dyDescent="0.35">
      <c r="A91" s="327" t="s">
        <v>259</v>
      </c>
      <c r="B91" s="305">
        <v>104.99999669275201</v>
      </c>
      <c r="C91" s="305">
        <v>105.488</v>
      </c>
      <c r="D91" s="306">
        <v>0.48800330724699997</v>
      </c>
      <c r="E91" s="307">
        <v>1.004647650691</v>
      </c>
      <c r="F91" s="305">
        <v>109.00025170930201</v>
      </c>
      <c r="G91" s="306">
        <v>63.583480163758999</v>
      </c>
      <c r="H91" s="308">
        <v>9.0030000000000001</v>
      </c>
      <c r="I91" s="305">
        <v>63.021000000000001</v>
      </c>
      <c r="J91" s="306">
        <v>-0.56248016375900001</v>
      </c>
      <c r="K91" s="309">
        <v>0.57817297677500001</v>
      </c>
    </row>
    <row r="92" spans="1:11" ht="14.4" customHeight="1" thickBot="1" x14ac:dyDescent="0.35">
      <c r="A92" s="327" t="s">
        <v>260</v>
      </c>
      <c r="B92" s="305">
        <v>458.99998554259702</v>
      </c>
      <c r="C92" s="305">
        <v>469.07900000000001</v>
      </c>
      <c r="D92" s="306">
        <v>10.079014457403</v>
      </c>
      <c r="E92" s="307">
        <v>1.0219586378529999</v>
      </c>
      <c r="F92" s="305">
        <v>355.00081978717702</v>
      </c>
      <c r="G92" s="306">
        <v>207.08381154252001</v>
      </c>
      <c r="H92" s="308">
        <v>27.207000000000001</v>
      </c>
      <c r="I92" s="305">
        <v>219.55799999999999</v>
      </c>
      <c r="J92" s="306">
        <v>12.47418845748</v>
      </c>
      <c r="K92" s="309">
        <v>0.61847181122399997</v>
      </c>
    </row>
    <row r="93" spans="1:11" ht="14.4" customHeight="1" thickBot="1" x14ac:dyDescent="0.35">
      <c r="A93" s="327" t="s">
        <v>261</v>
      </c>
      <c r="B93" s="305">
        <v>197.000403751379</v>
      </c>
      <c r="C93" s="305">
        <v>197.48699999999999</v>
      </c>
      <c r="D93" s="306">
        <v>0.48659624862099998</v>
      </c>
      <c r="E93" s="307">
        <v>1.002470026656</v>
      </c>
      <c r="F93" s="305">
        <v>198.000457233411</v>
      </c>
      <c r="G93" s="306">
        <v>115.50026671949</v>
      </c>
      <c r="H93" s="308">
        <v>16.456</v>
      </c>
      <c r="I93" s="305">
        <v>115.196</v>
      </c>
      <c r="J93" s="306">
        <v>-0.30426671949</v>
      </c>
      <c r="K93" s="309">
        <v>0.58179663627800005</v>
      </c>
    </row>
    <row r="94" spans="1:11" ht="14.4" customHeight="1" thickBot="1" x14ac:dyDescent="0.35">
      <c r="A94" s="327" t="s">
        <v>262</v>
      </c>
      <c r="B94" s="305">
        <v>654.99200972042797</v>
      </c>
      <c r="C94" s="305">
        <v>654.29899999999998</v>
      </c>
      <c r="D94" s="306">
        <v>-0.69300972042700004</v>
      </c>
      <c r="E94" s="307">
        <v>0.99894195698499999</v>
      </c>
      <c r="F94" s="305">
        <v>655.00151256507297</v>
      </c>
      <c r="G94" s="306">
        <v>382.08421566295902</v>
      </c>
      <c r="H94" s="308">
        <v>54.6</v>
      </c>
      <c r="I94" s="305">
        <v>382.2</v>
      </c>
      <c r="J94" s="306">
        <v>0.11578433704</v>
      </c>
      <c r="K94" s="309">
        <v>0.58351010290500005</v>
      </c>
    </row>
    <row r="95" spans="1:11" ht="14.4" customHeight="1" thickBot="1" x14ac:dyDescent="0.35">
      <c r="A95" s="327" t="s">
        <v>263</v>
      </c>
      <c r="B95" s="305">
        <v>1134.9999642502301</v>
      </c>
      <c r="C95" s="305">
        <v>1134.1600000000001</v>
      </c>
      <c r="D95" s="306">
        <v>-0.83996425022499999</v>
      </c>
      <c r="E95" s="307">
        <v>0.99925994336799995</v>
      </c>
      <c r="F95" s="305">
        <v>1134.0026187004501</v>
      </c>
      <c r="G95" s="306">
        <v>661.50152757526098</v>
      </c>
      <c r="H95" s="308">
        <v>94.512</v>
      </c>
      <c r="I95" s="305">
        <v>661.58900000000006</v>
      </c>
      <c r="J95" s="306">
        <v>8.7472424738999993E-2</v>
      </c>
      <c r="K95" s="309">
        <v>0.58341046933200003</v>
      </c>
    </row>
    <row r="96" spans="1:11" ht="14.4" customHeight="1" thickBot="1" x14ac:dyDescent="0.35">
      <c r="A96" s="327" t="s">
        <v>264</v>
      </c>
      <c r="B96" s="305">
        <v>112.99999644077</v>
      </c>
      <c r="C96" s="305">
        <v>113.148</v>
      </c>
      <c r="D96" s="306">
        <v>0.14800355923</v>
      </c>
      <c r="E96" s="307">
        <v>1.0013097660520001</v>
      </c>
      <c r="F96" s="305">
        <v>113.000260946341</v>
      </c>
      <c r="G96" s="306">
        <v>65.916818885365004</v>
      </c>
      <c r="H96" s="308">
        <v>9.4290000000000003</v>
      </c>
      <c r="I96" s="305">
        <v>66.003</v>
      </c>
      <c r="J96" s="306">
        <v>8.6181114633999995E-2</v>
      </c>
      <c r="K96" s="309">
        <v>0.58409599630300002</v>
      </c>
    </row>
    <row r="97" spans="1:11" ht="14.4" customHeight="1" thickBot="1" x14ac:dyDescent="0.35">
      <c r="A97" s="326" t="s">
        <v>265</v>
      </c>
      <c r="B97" s="310">
        <v>0</v>
      </c>
      <c r="C97" s="310">
        <v>8.8879999999999999</v>
      </c>
      <c r="D97" s="311">
        <v>8.8879999999999999</v>
      </c>
      <c r="E97" s="317" t="s">
        <v>193</v>
      </c>
      <c r="F97" s="310">
        <v>0</v>
      </c>
      <c r="G97" s="311">
        <v>0</v>
      </c>
      <c r="H97" s="313">
        <v>0</v>
      </c>
      <c r="I97" s="310">
        <v>0</v>
      </c>
      <c r="J97" s="311">
        <v>0</v>
      </c>
      <c r="K97" s="318" t="s">
        <v>176</v>
      </c>
    </row>
    <row r="98" spans="1:11" ht="14.4" customHeight="1" thickBot="1" x14ac:dyDescent="0.35">
      <c r="A98" s="327" t="s">
        <v>266</v>
      </c>
      <c r="B98" s="305">
        <v>0</v>
      </c>
      <c r="C98" s="305">
        <v>8.8759999999999994</v>
      </c>
      <c r="D98" s="306">
        <v>8.8759999999999994</v>
      </c>
      <c r="E98" s="316" t="s">
        <v>193</v>
      </c>
      <c r="F98" s="305">
        <v>0</v>
      </c>
      <c r="G98" s="306">
        <v>0</v>
      </c>
      <c r="H98" s="308">
        <v>0</v>
      </c>
      <c r="I98" s="305">
        <v>0</v>
      </c>
      <c r="J98" s="306">
        <v>0</v>
      </c>
      <c r="K98" s="315" t="s">
        <v>176</v>
      </c>
    </row>
    <row r="99" spans="1:11" ht="14.4" customHeight="1" thickBot="1" x14ac:dyDescent="0.35">
      <c r="A99" s="327" t="s">
        <v>267</v>
      </c>
      <c r="B99" s="305">
        <v>0</v>
      </c>
      <c r="C99" s="305">
        <v>1.2E-2</v>
      </c>
      <c r="D99" s="306">
        <v>1.2E-2</v>
      </c>
      <c r="E99" s="316" t="s">
        <v>193</v>
      </c>
      <c r="F99" s="305">
        <v>0</v>
      </c>
      <c r="G99" s="306">
        <v>0</v>
      </c>
      <c r="H99" s="308">
        <v>0</v>
      </c>
      <c r="I99" s="305">
        <v>0</v>
      </c>
      <c r="J99" s="306">
        <v>0</v>
      </c>
      <c r="K99" s="309">
        <v>0</v>
      </c>
    </row>
    <row r="100" spans="1:11" ht="14.4" customHeight="1" thickBot="1" x14ac:dyDescent="0.35">
      <c r="A100" s="325" t="s">
        <v>268</v>
      </c>
      <c r="B100" s="305">
        <v>0</v>
      </c>
      <c r="C100" s="305">
        <v>39.246000000000002</v>
      </c>
      <c r="D100" s="306">
        <v>39.246000000000002</v>
      </c>
      <c r="E100" s="316" t="s">
        <v>176</v>
      </c>
      <c r="F100" s="305">
        <v>22.300883429864999</v>
      </c>
      <c r="G100" s="306">
        <v>13.008848667421001</v>
      </c>
      <c r="H100" s="308">
        <v>0</v>
      </c>
      <c r="I100" s="305">
        <v>16.335000000000001</v>
      </c>
      <c r="J100" s="306">
        <v>3.3261513325780001</v>
      </c>
      <c r="K100" s="309">
        <v>0.73248219297499995</v>
      </c>
    </row>
    <row r="101" spans="1:11" ht="14.4" customHeight="1" thickBot="1" x14ac:dyDescent="0.35">
      <c r="A101" s="326" t="s">
        <v>269</v>
      </c>
      <c r="B101" s="310">
        <v>0</v>
      </c>
      <c r="C101" s="310">
        <v>8.9</v>
      </c>
      <c r="D101" s="311">
        <v>8.9</v>
      </c>
      <c r="E101" s="317" t="s">
        <v>176</v>
      </c>
      <c r="F101" s="310">
        <v>22.300883429864999</v>
      </c>
      <c r="G101" s="311">
        <v>13.008848667421001</v>
      </c>
      <c r="H101" s="313">
        <v>0</v>
      </c>
      <c r="I101" s="310">
        <v>9.0749999999999993</v>
      </c>
      <c r="J101" s="311">
        <v>-3.933848667421</v>
      </c>
      <c r="K101" s="314">
        <v>0.40693455165300002</v>
      </c>
    </row>
    <row r="102" spans="1:11" ht="14.4" customHeight="1" thickBot="1" x14ac:dyDescent="0.35">
      <c r="A102" s="327" t="s">
        <v>270</v>
      </c>
      <c r="B102" s="305">
        <v>0</v>
      </c>
      <c r="C102" s="305">
        <v>8.9</v>
      </c>
      <c r="D102" s="306">
        <v>8.9</v>
      </c>
      <c r="E102" s="316" t="s">
        <v>176</v>
      </c>
      <c r="F102" s="305">
        <v>22.300883429864999</v>
      </c>
      <c r="G102" s="306">
        <v>13.008848667421001</v>
      </c>
      <c r="H102" s="308">
        <v>0</v>
      </c>
      <c r="I102" s="305">
        <v>9.0749999999999993</v>
      </c>
      <c r="J102" s="306">
        <v>-3.933848667421</v>
      </c>
      <c r="K102" s="309">
        <v>0.40693455165300002</v>
      </c>
    </row>
    <row r="103" spans="1:11" ht="14.4" customHeight="1" thickBot="1" x14ac:dyDescent="0.35">
      <c r="A103" s="326" t="s">
        <v>271</v>
      </c>
      <c r="B103" s="310">
        <v>0</v>
      </c>
      <c r="C103" s="310">
        <v>30.346</v>
      </c>
      <c r="D103" s="311">
        <v>30.346</v>
      </c>
      <c r="E103" s="317" t="s">
        <v>193</v>
      </c>
      <c r="F103" s="310">
        <v>0</v>
      </c>
      <c r="G103" s="311">
        <v>0</v>
      </c>
      <c r="H103" s="313">
        <v>0</v>
      </c>
      <c r="I103" s="310">
        <v>7.26</v>
      </c>
      <c r="J103" s="311">
        <v>7.26</v>
      </c>
      <c r="K103" s="318" t="s">
        <v>176</v>
      </c>
    </row>
    <row r="104" spans="1:11" ht="14.4" customHeight="1" thickBot="1" x14ac:dyDescent="0.35">
      <c r="A104" s="327" t="s">
        <v>272</v>
      </c>
      <c r="B104" s="305">
        <v>0</v>
      </c>
      <c r="C104" s="305">
        <v>30.346</v>
      </c>
      <c r="D104" s="306">
        <v>30.346</v>
      </c>
      <c r="E104" s="316" t="s">
        <v>193</v>
      </c>
      <c r="F104" s="305">
        <v>0</v>
      </c>
      <c r="G104" s="306">
        <v>0</v>
      </c>
      <c r="H104" s="308">
        <v>0</v>
      </c>
      <c r="I104" s="305">
        <v>7.26</v>
      </c>
      <c r="J104" s="306">
        <v>7.26</v>
      </c>
      <c r="K104" s="315" t="s">
        <v>176</v>
      </c>
    </row>
    <row r="105" spans="1:11" ht="14.4" customHeight="1" thickBot="1" x14ac:dyDescent="0.35">
      <c r="A105" s="323" t="s">
        <v>273</v>
      </c>
      <c r="B105" s="305">
        <v>65.487801607601995</v>
      </c>
      <c r="C105" s="305">
        <v>71.154449999999997</v>
      </c>
      <c r="D105" s="306">
        <v>5.6666483923969997</v>
      </c>
      <c r="E105" s="307">
        <v>1.0865298307969999</v>
      </c>
      <c r="F105" s="305">
        <v>66.393345115147</v>
      </c>
      <c r="G105" s="306">
        <v>38.729451317169001</v>
      </c>
      <c r="H105" s="308">
        <v>3.07511</v>
      </c>
      <c r="I105" s="305">
        <v>40.467289999999998</v>
      </c>
      <c r="J105" s="306">
        <v>1.7378386828300001</v>
      </c>
      <c r="K105" s="309">
        <v>0.60950822600900001</v>
      </c>
    </row>
    <row r="106" spans="1:11" ht="14.4" customHeight="1" thickBot="1" x14ac:dyDescent="0.35">
      <c r="A106" s="324" t="s">
        <v>274</v>
      </c>
      <c r="B106" s="305">
        <v>65.487801607601995</v>
      </c>
      <c r="C106" s="305">
        <v>71.154449999999997</v>
      </c>
      <c r="D106" s="306">
        <v>5.6666483923969997</v>
      </c>
      <c r="E106" s="307">
        <v>1.0865298307969999</v>
      </c>
      <c r="F106" s="305">
        <v>66.393345115147</v>
      </c>
      <c r="G106" s="306">
        <v>38.729451317169001</v>
      </c>
      <c r="H106" s="308">
        <v>3.07511</v>
      </c>
      <c r="I106" s="305">
        <v>40.467289999999998</v>
      </c>
      <c r="J106" s="306">
        <v>1.7378386828300001</v>
      </c>
      <c r="K106" s="309">
        <v>0.60950822600900001</v>
      </c>
    </row>
    <row r="107" spans="1:11" ht="14.4" customHeight="1" thickBot="1" x14ac:dyDescent="0.35">
      <c r="A107" s="330" t="s">
        <v>275</v>
      </c>
      <c r="B107" s="310">
        <v>65.487801607601995</v>
      </c>
      <c r="C107" s="310">
        <v>71.154449999999997</v>
      </c>
      <c r="D107" s="311">
        <v>5.6666483923969997</v>
      </c>
      <c r="E107" s="312">
        <v>1.0865298307969999</v>
      </c>
      <c r="F107" s="310">
        <v>66.393345115147</v>
      </c>
      <c r="G107" s="311">
        <v>38.729451317169001</v>
      </c>
      <c r="H107" s="313">
        <v>3.07511</v>
      </c>
      <c r="I107" s="310">
        <v>40.467289999999998</v>
      </c>
      <c r="J107" s="311">
        <v>1.7378386828300001</v>
      </c>
      <c r="K107" s="314">
        <v>0.60950822600900001</v>
      </c>
    </row>
    <row r="108" spans="1:11" ht="14.4" customHeight="1" thickBot="1" x14ac:dyDescent="0.35">
      <c r="A108" s="326" t="s">
        <v>276</v>
      </c>
      <c r="B108" s="310">
        <v>0</v>
      </c>
      <c r="C108" s="310">
        <v>8.8992400000000007</v>
      </c>
      <c r="D108" s="311">
        <v>8.8992400000000007</v>
      </c>
      <c r="E108" s="317" t="s">
        <v>176</v>
      </c>
      <c r="F108" s="310">
        <v>0</v>
      </c>
      <c r="G108" s="311">
        <v>0</v>
      </c>
      <c r="H108" s="313">
        <v>-5.5000000000000003E-4</v>
      </c>
      <c r="I108" s="310">
        <v>2.16E-3</v>
      </c>
      <c r="J108" s="311">
        <v>2.16E-3</v>
      </c>
      <c r="K108" s="318" t="s">
        <v>176</v>
      </c>
    </row>
    <row r="109" spans="1:11" ht="14.4" customHeight="1" thickBot="1" x14ac:dyDescent="0.35">
      <c r="A109" s="327" t="s">
        <v>277</v>
      </c>
      <c r="B109" s="305">
        <v>0</v>
      </c>
      <c r="C109" s="305">
        <v>-7.6000000000000004E-4</v>
      </c>
      <c r="D109" s="306">
        <v>-7.6000000000000004E-4</v>
      </c>
      <c r="E109" s="316" t="s">
        <v>176</v>
      </c>
      <c r="F109" s="305">
        <v>0</v>
      </c>
      <c r="G109" s="306">
        <v>0</v>
      </c>
      <c r="H109" s="308">
        <v>-5.5000000000000003E-4</v>
      </c>
      <c r="I109" s="305">
        <v>2.16E-3</v>
      </c>
      <c r="J109" s="306">
        <v>2.16E-3</v>
      </c>
      <c r="K109" s="315" t="s">
        <v>176</v>
      </c>
    </row>
    <row r="110" spans="1:11" ht="14.4" customHeight="1" thickBot="1" x14ac:dyDescent="0.35">
      <c r="A110" s="327" t="s">
        <v>278</v>
      </c>
      <c r="B110" s="305">
        <v>0</v>
      </c>
      <c r="C110" s="305">
        <v>8.9</v>
      </c>
      <c r="D110" s="306">
        <v>8.9</v>
      </c>
      <c r="E110" s="316" t="s">
        <v>193</v>
      </c>
      <c r="F110" s="305">
        <v>0</v>
      </c>
      <c r="G110" s="306">
        <v>0</v>
      </c>
      <c r="H110" s="308">
        <v>0</v>
      </c>
      <c r="I110" s="305">
        <v>0</v>
      </c>
      <c r="J110" s="306">
        <v>0</v>
      </c>
      <c r="K110" s="315" t="s">
        <v>176</v>
      </c>
    </row>
    <row r="111" spans="1:11" ht="14.4" customHeight="1" thickBot="1" x14ac:dyDescent="0.35">
      <c r="A111" s="326" t="s">
        <v>279</v>
      </c>
      <c r="B111" s="310">
        <v>65.487801607601995</v>
      </c>
      <c r="C111" s="310">
        <v>62.255209999999998</v>
      </c>
      <c r="D111" s="311">
        <v>-3.232591607602</v>
      </c>
      <c r="E111" s="312">
        <v>0.95063826348900005</v>
      </c>
      <c r="F111" s="310">
        <v>66.393345115147</v>
      </c>
      <c r="G111" s="311">
        <v>38.729451317169001</v>
      </c>
      <c r="H111" s="313">
        <v>3.0756600000000001</v>
      </c>
      <c r="I111" s="310">
        <v>40.465130000000002</v>
      </c>
      <c r="J111" s="311">
        <v>1.7356786828299999</v>
      </c>
      <c r="K111" s="314">
        <v>0.60947569262800005</v>
      </c>
    </row>
    <row r="112" spans="1:11" ht="14.4" customHeight="1" thickBot="1" x14ac:dyDescent="0.35">
      <c r="A112" s="327" t="s">
        <v>280</v>
      </c>
      <c r="B112" s="305">
        <v>0</v>
      </c>
      <c r="C112" s="305">
        <v>0.66700000000000004</v>
      </c>
      <c r="D112" s="306">
        <v>0.66700000000000004</v>
      </c>
      <c r="E112" s="316" t="s">
        <v>176</v>
      </c>
      <c r="F112" s="305">
        <v>0.66260490109600001</v>
      </c>
      <c r="G112" s="306">
        <v>0.38651952563899999</v>
      </c>
      <c r="H112" s="308">
        <v>0</v>
      </c>
      <c r="I112" s="305">
        <v>0</v>
      </c>
      <c r="J112" s="306">
        <v>-0.38651952563899999</v>
      </c>
      <c r="K112" s="309">
        <v>0</v>
      </c>
    </row>
    <row r="113" spans="1:11" ht="14.4" customHeight="1" thickBot="1" x14ac:dyDescent="0.35">
      <c r="A113" s="327" t="s">
        <v>281</v>
      </c>
      <c r="B113" s="305">
        <v>65.487801607601995</v>
      </c>
      <c r="C113" s="305">
        <v>61.588209999999997</v>
      </c>
      <c r="D113" s="306">
        <v>-3.8995916076019999</v>
      </c>
      <c r="E113" s="307">
        <v>0.94045316055999995</v>
      </c>
      <c r="F113" s="305">
        <v>65.730740214050996</v>
      </c>
      <c r="G113" s="306">
        <v>38.342931791529999</v>
      </c>
      <c r="H113" s="308">
        <v>3.0756600000000001</v>
      </c>
      <c r="I113" s="305">
        <v>40.465130000000002</v>
      </c>
      <c r="J113" s="306">
        <v>2.1221982084689999</v>
      </c>
      <c r="K113" s="309">
        <v>0.61561956959899999</v>
      </c>
    </row>
    <row r="114" spans="1:11" ht="14.4" customHeight="1" thickBot="1" x14ac:dyDescent="0.35">
      <c r="A114" s="323" t="s">
        <v>282</v>
      </c>
      <c r="B114" s="305">
        <v>2257.3612285884301</v>
      </c>
      <c r="C114" s="305">
        <v>2116.3433500000001</v>
      </c>
      <c r="D114" s="306">
        <v>-141.01787858843201</v>
      </c>
      <c r="E114" s="307">
        <v>0.93752976847299996</v>
      </c>
      <c r="F114" s="305">
        <v>2237.4927831473701</v>
      </c>
      <c r="G114" s="306">
        <v>1305.20412350263</v>
      </c>
      <c r="H114" s="308">
        <v>182.09460000000001</v>
      </c>
      <c r="I114" s="305">
        <v>1243.04268</v>
      </c>
      <c r="J114" s="306">
        <v>-62.161443502628998</v>
      </c>
      <c r="K114" s="309">
        <v>0.55555159299800005</v>
      </c>
    </row>
    <row r="115" spans="1:11" ht="14.4" customHeight="1" thickBot="1" x14ac:dyDescent="0.35">
      <c r="A115" s="328" t="s">
        <v>283</v>
      </c>
      <c r="B115" s="310">
        <v>2257.3612285884301</v>
      </c>
      <c r="C115" s="310">
        <v>2116.3433500000001</v>
      </c>
      <c r="D115" s="311">
        <v>-141.01787858843201</v>
      </c>
      <c r="E115" s="312">
        <v>0.93752976847299996</v>
      </c>
      <c r="F115" s="310">
        <v>2237.4927831473701</v>
      </c>
      <c r="G115" s="311">
        <v>1305.20412350263</v>
      </c>
      <c r="H115" s="313">
        <v>182.09460000000001</v>
      </c>
      <c r="I115" s="310">
        <v>1243.04268</v>
      </c>
      <c r="J115" s="311">
        <v>-62.161443502628998</v>
      </c>
      <c r="K115" s="314">
        <v>0.55555159299800005</v>
      </c>
    </row>
    <row r="116" spans="1:11" ht="14.4" customHeight="1" thickBot="1" x14ac:dyDescent="0.35">
      <c r="A116" s="330" t="s">
        <v>38</v>
      </c>
      <c r="B116" s="310">
        <v>2257.3612285884301</v>
      </c>
      <c r="C116" s="310">
        <v>2116.3433500000001</v>
      </c>
      <c r="D116" s="311">
        <v>-141.01787858843201</v>
      </c>
      <c r="E116" s="312">
        <v>0.93752976847299996</v>
      </c>
      <c r="F116" s="310">
        <v>2237.4927831473701</v>
      </c>
      <c r="G116" s="311">
        <v>1305.20412350263</v>
      </c>
      <c r="H116" s="313">
        <v>182.09460000000001</v>
      </c>
      <c r="I116" s="310">
        <v>1243.04268</v>
      </c>
      <c r="J116" s="311">
        <v>-62.161443502628998</v>
      </c>
      <c r="K116" s="314">
        <v>0.55555159299800005</v>
      </c>
    </row>
    <row r="117" spans="1:11" ht="14.4" customHeight="1" thickBot="1" x14ac:dyDescent="0.35">
      <c r="A117" s="326" t="s">
        <v>284</v>
      </c>
      <c r="B117" s="310">
        <v>16.503324840651999</v>
      </c>
      <c r="C117" s="310">
        <v>18.566500000000001</v>
      </c>
      <c r="D117" s="311">
        <v>2.0631751593469998</v>
      </c>
      <c r="E117" s="312">
        <v>1.1250157273920001</v>
      </c>
      <c r="F117" s="310">
        <v>20.331755033198998</v>
      </c>
      <c r="G117" s="311">
        <v>11.860190436032999</v>
      </c>
      <c r="H117" s="313">
        <v>1.5669999999999999</v>
      </c>
      <c r="I117" s="310">
        <v>10.968999999999999</v>
      </c>
      <c r="J117" s="311">
        <v>-0.89119043603299997</v>
      </c>
      <c r="K117" s="314">
        <v>0.53950089316299998</v>
      </c>
    </row>
    <row r="118" spans="1:11" ht="14.4" customHeight="1" thickBot="1" x14ac:dyDescent="0.35">
      <c r="A118" s="327" t="s">
        <v>285</v>
      </c>
      <c r="B118" s="305">
        <v>16.503324840651999</v>
      </c>
      <c r="C118" s="305">
        <v>18.566500000000001</v>
      </c>
      <c r="D118" s="306">
        <v>2.0631751593469998</v>
      </c>
      <c r="E118" s="307">
        <v>1.1250157273920001</v>
      </c>
      <c r="F118" s="305">
        <v>20.331755033198998</v>
      </c>
      <c r="G118" s="306">
        <v>11.860190436032999</v>
      </c>
      <c r="H118" s="308">
        <v>1.5669999999999999</v>
      </c>
      <c r="I118" s="305">
        <v>10.968999999999999</v>
      </c>
      <c r="J118" s="306">
        <v>-0.89119043603299997</v>
      </c>
      <c r="K118" s="309">
        <v>0.53950089316299998</v>
      </c>
    </row>
    <row r="119" spans="1:11" ht="14.4" customHeight="1" thickBot="1" x14ac:dyDescent="0.35">
      <c r="A119" s="326" t="s">
        <v>286</v>
      </c>
      <c r="B119" s="310">
        <v>27.848129908158999</v>
      </c>
      <c r="C119" s="310">
        <v>15.749000000000001</v>
      </c>
      <c r="D119" s="311">
        <v>-12.099129908159</v>
      </c>
      <c r="E119" s="312">
        <v>0.56553169106599999</v>
      </c>
      <c r="F119" s="310">
        <v>32.348185356141997</v>
      </c>
      <c r="G119" s="311">
        <v>18.869774791082001</v>
      </c>
      <c r="H119" s="313">
        <v>2.0289999999999999</v>
      </c>
      <c r="I119" s="310">
        <v>14.443300000000001</v>
      </c>
      <c r="J119" s="311">
        <v>-4.4264747910819997</v>
      </c>
      <c r="K119" s="314">
        <v>0.44649490662199998</v>
      </c>
    </row>
    <row r="120" spans="1:11" ht="14.4" customHeight="1" thickBot="1" x14ac:dyDescent="0.35">
      <c r="A120" s="327" t="s">
        <v>287</v>
      </c>
      <c r="B120" s="305">
        <v>0</v>
      </c>
      <c r="C120" s="305">
        <v>1.6279999999999999</v>
      </c>
      <c r="D120" s="306">
        <v>1.6279999999999999</v>
      </c>
      <c r="E120" s="316" t="s">
        <v>193</v>
      </c>
      <c r="F120" s="305">
        <v>0</v>
      </c>
      <c r="G120" s="306">
        <v>0</v>
      </c>
      <c r="H120" s="308">
        <v>0</v>
      </c>
      <c r="I120" s="305">
        <v>0</v>
      </c>
      <c r="J120" s="306">
        <v>0</v>
      </c>
      <c r="K120" s="309">
        <v>0</v>
      </c>
    </row>
    <row r="121" spans="1:11" ht="14.4" customHeight="1" thickBot="1" x14ac:dyDescent="0.35">
      <c r="A121" s="327" t="s">
        <v>288</v>
      </c>
      <c r="B121" s="305">
        <v>0</v>
      </c>
      <c r="C121" s="305">
        <v>0</v>
      </c>
      <c r="D121" s="306">
        <v>0</v>
      </c>
      <c r="E121" s="316" t="s">
        <v>176</v>
      </c>
      <c r="F121" s="305">
        <v>6.671612084046</v>
      </c>
      <c r="G121" s="306">
        <v>3.8917737156930001</v>
      </c>
      <c r="H121" s="308">
        <v>0</v>
      </c>
      <c r="I121" s="305">
        <v>1.4983</v>
      </c>
      <c r="J121" s="306">
        <v>-2.3934737156930002</v>
      </c>
      <c r="K121" s="309">
        <v>0.22457840490700001</v>
      </c>
    </row>
    <row r="122" spans="1:11" ht="14.4" customHeight="1" thickBot="1" x14ac:dyDescent="0.35">
      <c r="A122" s="327" t="s">
        <v>289</v>
      </c>
      <c r="B122" s="305">
        <v>27.848129908158999</v>
      </c>
      <c r="C122" s="305">
        <v>14.121</v>
      </c>
      <c r="D122" s="306">
        <v>-13.727129908159</v>
      </c>
      <c r="E122" s="307">
        <v>0.50707175119299996</v>
      </c>
      <c r="F122" s="305">
        <v>25.676573272094998</v>
      </c>
      <c r="G122" s="306">
        <v>14.978001075388001</v>
      </c>
      <c r="H122" s="308">
        <v>2.0289999999999999</v>
      </c>
      <c r="I122" s="305">
        <v>12.945</v>
      </c>
      <c r="J122" s="306">
        <v>-2.0330010753879999</v>
      </c>
      <c r="K122" s="309">
        <v>0.50415605940899999</v>
      </c>
    </row>
    <row r="123" spans="1:11" ht="14.4" customHeight="1" thickBot="1" x14ac:dyDescent="0.35">
      <c r="A123" s="326" t="s">
        <v>290</v>
      </c>
      <c r="B123" s="310">
        <v>225.55124086632699</v>
      </c>
      <c r="C123" s="310">
        <v>171.65249</v>
      </c>
      <c r="D123" s="311">
        <v>-53.898750866325997</v>
      </c>
      <c r="E123" s="312">
        <v>0.76103544959699998</v>
      </c>
      <c r="F123" s="310">
        <v>166.49510732697601</v>
      </c>
      <c r="G123" s="311">
        <v>97.122145940736004</v>
      </c>
      <c r="H123" s="313">
        <v>10.752599999999999</v>
      </c>
      <c r="I123" s="310">
        <v>99.813509999999994</v>
      </c>
      <c r="J123" s="311">
        <v>2.691364059264</v>
      </c>
      <c r="K123" s="314">
        <v>0.59949815704700005</v>
      </c>
    </row>
    <row r="124" spans="1:11" ht="14.4" customHeight="1" thickBot="1" x14ac:dyDescent="0.35">
      <c r="A124" s="327" t="s">
        <v>291</v>
      </c>
      <c r="B124" s="305">
        <v>225.55124086632699</v>
      </c>
      <c r="C124" s="305">
        <v>171.65249</v>
      </c>
      <c r="D124" s="306">
        <v>-53.898750866325997</v>
      </c>
      <c r="E124" s="307">
        <v>0.76103544959699998</v>
      </c>
      <c r="F124" s="305">
        <v>166.49510732697601</v>
      </c>
      <c r="G124" s="306">
        <v>97.122145940736004</v>
      </c>
      <c r="H124" s="308">
        <v>10.752599999999999</v>
      </c>
      <c r="I124" s="305">
        <v>99.813509999999994</v>
      </c>
      <c r="J124" s="306">
        <v>2.691364059264</v>
      </c>
      <c r="K124" s="309">
        <v>0.59949815704700005</v>
      </c>
    </row>
    <row r="125" spans="1:11" ht="14.4" customHeight="1" thickBot="1" x14ac:dyDescent="0.35">
      <c r="A125" s="326" t="s">
        <v>292</v>
      </c>
      <c r="B125" s="310">
        <v>688</v>
      </c>
      <c r="C125" s="310">
        <v>628.6386</v>
      </c>
      <c r="D125" s="311">
        <v>-59.361399999999001</v>
      </c>
      <c r="E125" s="312">
        <v>0.91371889534799999</v>
      </c>
      <c r="F125" s="310">
        <v>699.202834554638</v>
      </c>
      <c r="G125" s="311">
        <v>407.86832015687202</v>
      </c>
      <c r="H125" s="313">
        <v>42.319699999999997</v>
      </c>
      <c r="I125" s="310">
        <v>363.73226</v>
      </c>
      <c r="J125" s="311">
        <v>-44.136060156871999</v>
      </c>
      <c r="K125" s="314">
        <v>0.52020993340400001</v>
      </c>
    </row>
    <row r="126" spans="1:11" ht="14.4" customHeight="1" thickBot="1" x14ac:dyDescent="0.35">
      <c r="A126" s="327" t="s">
        <v>293</v>
      </c>
      <c r="B126" s="305">
        <v>688</v>
      </c>
      <c r="C126" s="305">
        <v>628.6386</v>
      </c>
      <c r="D126" s="306">
        <v>-59.361399999999001</v>
      </c>
      <c r="E126" s="307">
        <v>0.91371889534799999</v>
      </c>
      <c r="F126" s="305">
        <v>699.202834554638</v>
      </c>
      <c r="G126" s="306">
        <v>407.86832015687202</v>
      </c>
      <c r="H126" s="308">
        <v>42.319699999999997</v>
      </c>
      <c r="I126" s="305">
        <v>363.73226</v>
      </c>
      <c r="J126" s="306">
        <v>-44.136060156871999</v>
      </c>
      <c r="K126" s="309">
        <v>0.52020993340400001</v>
      </c>
    </row>
    <row r="127" spans="1:11" ht="14.4" customHeight="1" thickBot="1" x14ac:dyDescent="0.35">
      <c r="A127" s="326" t="s">
        <v>294</v>
      </c>
      <c r="B127" s="310">
        <v>1299.4585329733</v>
      </c>
      <c r="C127" s="310">
        <v>1281.73676</v>
      </c>
      <c r="D127" s="311">
        <v>-17.721772973294001</v>
      </c>
      <c r="E127" s="312">
        <v>0.98636218661499997</v>
      </c>
      <c r="F127" s="310">
        <v>1319.11490087641</v>
      </c>
      <c r="G127" s="311">
        <v>769.48369217790605</v>
      </c>
      <c r="H127" s="313">
        <v>125.4263</v>
      </c>
      <c r="I127" s="310">
        <v>754.08461</v>
      </c>
      <c r="J127" s="311">
        <v>-15.399082177904999</v>
      </c>
      <c r="K127" s="314">
        <v>0.57165953435799999</v>
      </c>
    </row>
    <row r="128" spans="1:11" ht="14.4" customHeight="1" thickBot="1" x14ac:dyDescent="0.35">
      <c r="A128" s="327" t="s">
        <v>295</v>
      </c>
      <c r="B128" s="305">
        <v>1299.4585329733</v>
      </c>
      <c r="C128" s="305">
        <v>1281.73676</v>
      </c>
      <c r="D128" s="306">
        <v>-17.721772973294001</v>
      </c>
      <c r="E128" s="307">
        <v>0.98636218661499997</v>
      </c>
      <c r="F128" s="305">
        <v>1319.11490087641</v>
      </c>
      <c r="G128" s="306">
        <v>769.48369217790605</v>
      </c>
      <c r="H128" s="308">
        <v>125.4263</v>
      </c>
      <c r="I128" s="305">
        <v>754.08461</v>
      </c>
      <c r="J128" s="306">
        <v>-15.399082177904999</v>
      </c>
      <c r="K128" s="309">
        <v>0.57165953435799999</v>
      </c>
    </row>
    <row r="129" spans="1:11" ht="14.4" customHeight="1" thickBot="1" x14ac:dyDescent="0.35">
      <c r="A129" s="331"/>
      <c r="B129" s="305">
        <v>-28283.893113874601</v>
      </c>
      <c r="C129" s="305">
        <v>-28256.12787</v>
      </c>
      <c r="D129" s="306">
        <v>27.765243874557001</v>
      </c>
      <c r="E129" s="307">
        <v>0.99901833726400002</v>
      </c>
      <c r="F129" s="305">
        <v>-27863.589410024601</v>
      </c>
      <c r="G129" s="306">
        <v>-16253.760489181001</v>
      </c>
      <c r="H129" s="308">
        <v>-2387.2620299999999</v>
      </c>
      <c r="I129" s="305">
        <v>-16669.280340000001</v>
      </c>
      <c r="J129" s="306">
        <v>-415.519850818988</v>
      </c>
      <c r="K129" s="309">
        <v>0.59824597953600001</v>
      </c>
    </row>
    <row r="130" spans="1:11" ht="14.4" customHeight="1" thickBot="1" x14ac:dyDescent="0.35">
      <c r="A130" s="332" t="s">
        <v>50</v>
      </c>
      <c r="B130" s="319">
        <v>-28283.893113874601</v>
      </c>
      <c r="C130" s="319">
        <v>-28256.12787</v>
      </c>
      <c r="D130" s="320">
        <v>27.765243874557999</v>
      </c>
      <c r="E130" s="321">
        <v>-0.85555762560199999</v>
      </c>
      <c r="F130" s="319">
        <v>-27863.589410024601</v>
      </c>
      <c r="G130" s="320">
        <v>-16253.760489181001</v>
      </c>
      <c r="H130" s="319">
        <v>-2387.2620299999999</v>
      </c>
      <c r="I130" s="319">
        <v>-16669.280340000001</v>
      </c>
      <c r="J130" s="320">
        <v>-415.51985081898903</v>
      </c>
      <c r="K130" s="322">
        <v>0.59824597953600001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175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296</v>
      </c>
      <c r="B5" s="334" t="s">
        <v>297</v>
      </c>
      <c r="C5" s="335" t="s">
        <v>298</v>
      </c>
      <c r="D5" s="335" t="s">
        <v>298</v>
      </c>
      <c r="E5" s="335"/>
      <c r="F5" s="335" t="s">
        <v>298</v>
      </c>
      <c r="G5" s="335" t="s">
        <v>298</v>
      </c>
      <c r="H5" s="335" t="s">
        <v>298</v>
      </c>
      <c r="I5" s="336" t="s">
        <v>298</v>
      </c>
      <c r="J5" s="337" t="s">
        <v>53</v>
      </c>
    </row>
    <row r="6" spans="1:10" ht="14.4" customHeight="1" x14ac:dyDescent="0.3">
      <c r="A6" s="333" t="s">
        <v>296</v>
      </c>
      <c r="B6" s="334" t="s">
        <v>182</v>
      </c>
      <c r="C6" s="335">
        <v>32.783079999999998</v>
      </c>
      <c r="D6" s="335">
        <v>32.224699999999999</v>
      </c>
      <c r="E6" s="335"/>
      <c r="F6" s="335">
        <v>38.909530000000004</v>
      </c>
      <c r="G6" s="335">
        <v>32.083336229799748</v>
      </c>
      <c r="H6" s="335">
        <v>6.8261937702002555</v>
      </c>
      <c r="I6" s="336">
        <v>1.2127644619408355</v>
      </c>
      <c r="J6" s="337" t="s">
        <v>1</v>
      </c>
    </row>
    <row r="7" spans="1:10" ht="14.4" customHeight="1" x14ac:dyDescent="0.3">
      <c r="A7" s="333" t="s">
        <v>296</v>
      </c>
      <c r="B7" s="334" t="s">
        <v>299</v>
      </c>
      <c r="C7" s="335">
        <v>32.783079999999998</v>
      </c>
      <c r="D7" s="335">
        <v>32.224699999999999</v>
      </c>
      <c r="E7" s="335"/>
      <c r="F7" s="335">
        <v>38.909530000000004</v>
      </c>
      <c r="G7" s="335">
        <v>32.083336229799748</v>
      </c>
      <c r="H7" s="335">
        <v>6.8261937702002555</v>
      </c>
      <c r="I7" s="336">
        <v>1.2127644619408355</v>
      </c>
      <c r="J7" s="337" t="s">
        <v>300</v>
      </c>
    </row>
    <row r="9" spans="1:10" ht="14.4" customHeight="1" x14ac:dyDescent="0.3">
      <c r="A9" s="333" t="s">
        <v>296</v>
      </c>
      <c r="B9" s="334" t="s">
        <v>297</v>
      </c>
      <c r="C9" s="335" t="s">
        <v>298</v>
      </c>
      <c r="D9" s="335" t="s">
        <v>298</v>
      </c>
      <c r="E9" s="335"/>
      <c r="F9" s="335" t="s">
        <v>298</v>
      </c>
      <c r="G9" s="335" t="s">
        <v>298</v>
      </c>
      <c r="H9" s="335" t="s">
        <v>298</v>
      </c>
      <c r="I9" s="336" t="s">
        <v>298</v>
      </c>
      <c r="J9" s="337" t="s">
        <v>53</v>
      </c>
    </row>
    <row r="10" spans="1:10" ht="14.4" customHeight="1" x14ac:dyDescent="0.3">
      <c r="A10" s="333" t="s">
        <v>301</v>
      </c>
      <c r="B10" s="334" t="s">
        <v>302</v>
      </c>
      <c r="C10" s="335" t="s">
        <v>298</v>
      </c>
      <c r="D10" s="335" t="s">
        <v>298</v>
      </c>
      <c r="E10" s="335"/>
      <c r="F10" s="335" t="s">
        <v>298</v>
      </c>
      <c r="G10" s="335" t="s">
        <v>298</v>
      </c>
      <c r="H10" s="335" t="s">
        <v>298</v>
      </c>
      <c r="I10" s="336" t="s">
        <v>298</v>
      </c>
      <c r="J10" s="337" t="s">
        <v>0</v>
      </c>
    </row>
    <row r="11" spans="1:10" ht="14.4" customHeight="1" x14ac:dyDescent="0.3">
      <c r="A11" s="333" t="s">
        <v>301</v>
      </c>
      <c r="B11" s="334" t="s">
        <v>182</v>
      </c>
      <c r="C11" s="335">
        <v>32.783079999999998</v>
      </c>
      <c r="D11" s="335">
        <v>32.224699999999999</v>
      </c>
      <c r="E11" s="335"/>
      <c r="F11" s="335">
        <v>32.737340000000003</v>
      </c>
      <c r="G11" s="335">
        <v>27.868812149614918</v>
      </c>
      <c r="H11" s="335">
        <v>4.8685278503850853</v>
      </c>
      <c r="I11" s="336">
        <v>1.1746944873089022</v>
      </c>
      <c r="J11" s="337" t="s">
        <v>1</v>
      </c>
    </row>
    <row r="12" spans="1:10" ht="14.4" customHeight="1" x14ac:dyDescent="0.3">
      <c r="A12" s="333" t="s">
        <v>301</v>
      </c>
      <c r="B12" s="334" t="s">
        <v>303</v>
      </c>
      <c r="C12" s="335">
        <v>32.783079999999998</v>
      </c>
      <c r="D12" s="335">
        <v>32.224699999999999</v>
      </c>
      <c r="E12" s="335"/>
      <c r="F12" s="335">
        <v>32.737340000000003</v>
      </c>
      <c r="G12" s="335">
        <v>27.868812149614918</v>
      </c>
      <c r="H12" s="335">
        <v>4.8685278503850853</v>
      </c>
      <c r="I12" s="336">
        <v>1.1746944873089022</v>
      </c>
      <c r="J12" s="337" t="s">
        <v>304</v>
      </c>
    </row>
    <row r="13" spans="1:10" ht="14.4" customHeight="1" x14ac:dyDescent="0.3">
      <c r="A13" s="333" t="s">
        <v>298</v>
      </c>
      <c r="B13" s="334" t="s">
        <v>298</v>
      </c>
      <c r="C13" s="335" t="s">
        <v>298</v>
      </c>
      <c r="D13" s="335" t="s">
        <v>298</v>
      </c>
      <c r="E13" s="335"/>
      <c r="F13" s="335" t="s">
        <v>298</v>
      </c>
      <c r="G13" s="335" t="s">
        <v>298</v>
      </c>
      <c r="H13" s="335" t="s">
        <v>298</v>
      </c>
      <c r="I13" s="336" t="s">
        <v>298</v>
      </c>
      <c r="J13" s="337" t="s">
        <v>305</v>
      </c>
    </row>
    <row r="14" spans="1:10" ht="14.4" customHeight="1" x14ac:dyDescent="0.3">
      <c r="A14" s="333" t="s">
        <v>306</v>
      </c>
      <c r="B14" s="334" t="s">
        <v>307</v>
      </c>
      <c r="C14" s="335" t="s">
        <v>298</v>
      </c>
      <c r="D14" s="335" t="s">
        <v>298</v>
      </c>
      <c r="E14" s="335"/>
      <c r="F14" s="335" t="s">
        <v>298</v>
      </c>
      <c r="G14" s="335" t="s">
        <v>298</v>
      </c>
      <c r="H14" s="335" t="s">
        <v>298</v>
      </c>
      <c r="I14" s="336" t="s">
        <v>298</v>
      </c>
      <c r="J14" s="337" t="s">
        <v>0</v>
      </c>
    </row>
    <row r="15" spans="1:10" ht="14.4" customHeight="1" x14ac:dyDescent="0.3">
      <c r="A15" s="333" t="s">
        <v>306</v>
      </c>
      <c r="B15" s="334" t="s">
        <v>182</v>
      </c>
      <c r="C15" s="335">
        <v>0</v>
      </c>
      <c r="D15" s="335">
        <v>0</v>
      </c>
      <c r="E15" s="335"/>
      <c r="F15" s="335">
        <v>6.1721899999999996</v>
      </c>
      <c r="G15" s="335">
        <v>4.2145240801848329</v>
      </c>
      <c r="H15" s="335">
        <v>1.9576659198151667</v>
      </c>
      <c r="I15" s="336">
        <v>1.4645046231956305</v>
      </c>
      <c r="J15" s="337" t="s">
        <v>1</v>
      </c>
    </row>
    <row r="16" spans="1:10" ht="14.4" customHeight="1" x14ac:dyDescent="0.3">
      <c r="A16" s="333" t="s">
        <v>306</v>
      </c>
      <c r="B16" s="334" t="s">
        <v>308</v>
      </c>
      <c r="C16" s="335">
        <v>0</v>
      </c>
      <c r="D16" s="335">
        <v>0</v>
      </c>
      <c r="E16" s="335"/>
      <c r="F16" s="335">
        <v>6.1721899999999996</v>
      </c>
      <c r="G16" s="335">
        <v>4.2145240801848329</v>
      </c>
      <c r="H16" s="335">
        <v>1.9576659198151667</v>
      </c>
      <c r="I16" s="336">
        <v>1.4645046231956305</v>
      </c>
      <c r="J16" s="337" t="s">
        <v>304</v>
      </c>
    </row>
    <row r="17" spans="1:10" ht="14.4" customHeight="1" x14ac:dyDescent="0.3">
      <c r="A17" s="333" t="s">
        <v>298</v>
      </c>
      <c r="B17" s="334" t="s">
        <v>298</v>
      </c>
      <c r="C17" s="335" t="s">
        <v>298</v>
      </c>
      <c r="D17" s="335" t="s">
        <v>298</v>
      </c>
      <c r="E17" s="335"/>
      <c r="F17" s="335" t="s">
        <v>298</v>
      </c>
      <c r="G17" s="335" t="s">
        <v>298</v>
      </c>
      <c r="H17" s="335" t="s">
        <v>298</v>
      </c>
      <c r="I17" s="336" t="s">
        <v>298</v>
      </c>
      <c r="J17" s="337" t="s">
        <v>305</v>
      </c>
    </row>
    <row r="18" spans="1:10" ht="14.4" customHeight="1" x14ac:dyDescent="0.3">
      <c r="A18" s="333" t="s">
        <v>296</v>
      </c>
      <c r="B18" s="334" t="s">
        <v>299</v>
      </c>
      <c r="C18" s="335">
        <v>32.783079999999998</v>
      </c>
      <c r="D18" s="335">
        <v>32.224699999999999</v>
      </c>
      <c r="E18" s="335"/>
      <c r="F18" s="335">
        <v>38.909530000000004</v>
      </c>
      <c r="G18" s="335">
        <v>32.083336229799748</v>
      </c>
      <c r="H18" s="335">
        <v>6.8261937702002555</v>
      </c>
      <c r="I18" s="336">
        <v>1.2127644619408355</v>
      </c>
      <c r="J18" s="337" t="s">
        <v>300</v>
      </c>
    </row>
  </sheetData>
  <mergeCells count="3">
    <mergeCell ref="F3:I3"/>
    <mergeCell ref="C4:D4"/>
    <mergeCell ref="A1:I1"/>
  </mergeCells>
  <conditionalFormatting sqref="F8 F19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8">
    <cfRule type="expression" dxfId="29" priority="5">
      <formula>$H9&gt;0</formula>
    </cfRule>
  </conditionalFormatting>
  <conditionalFormatting sqref="A9:A18">
    <cfRule type="expression" dxfId="28" priority="2">
      <formula>AND($J9&lt;&gt;"mezeraKL",$J9&lt;&gt;"")</formula>
    </cfRule>
  </conditionalFormatting>
  <conditionalFormatting sqref="I9:I18">
    <cfRule type="expression" dxfId="27" priority="6">
      <formula>$I9&gt;1</formula>
    </cfRule>
  </conditionalFormatting>
  <conditionalFormatting sqref="B9:B18">
    <cfRule type="expression" dxfId="26" priority="1">
      <formula>OR($J9="NS",$J9="SumaNS",$J9="Účet")</formula>
    </cfRule>
  </conditionalFormatting>
  <conditionalFormatting sqref="A9:D18 F9:I18">
    <cfRule type="expression" dxfId="25" priority="8">
      <formula>AND($J9&lt;&gt;"",$J9&lt;&gt;"mezeraKL")</formula>
    </cfRule>
  </conditionalFormatting>
  <conditionalFormatting sqref="B9:D18 F9:I18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4" t="s">
        <v>93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4.4" customHeight="1" thickBot="1" x14ac:dyDescent="0.35">
      <c r="A2" s="174" t="s">
        <v>175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75</v>
      </c>
      <c r="K3" s="293"/>
      <c r="L3" s="71">
        <f>IF(M3&lt;&gt;0,N3/M3,0)</f>
        <v>142.00557154968996</v>
      </c>
      <c r="M3" s="71">
        <f>SUBTOTAL(9,M5:M1048576)</f>
        <v>274</v>
      </c>
      <c r="N3" s="72">
        <f>SUBTOTAL(9,N5:N1048576)</f>
        <v>38909.52660461505</v>
      </c>
    </row>
    <row r="4" spans="1:14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7</v>
      </c>
      <c r="H4" s="339" t="s">
        <v>8</v>
      </c>
      <c r="I4" s="339" t="s">
        <v>9</v>
      </c>
      <c r="J4" s="340" t="s">
        <v>10</v>
      </c>
      <c r="K4" s="340" t="s">
        <v>11</v>
      </c>
      <c r="L4" s="341" t="s">
        <v>81</v>
      </c>
      <c r="M4" s="341" t="s">
        <v>12</v>
      </c>
      <c r="N4" s="342" t="s">
        <v>89</v>
      </c>
    </row>
    <row r="5" spans="1:14" ht="14.4" customHeight="1" x14ac:dyDescent="0.3">
      <c r="A5" s="343" t="s">
        <v>296</v>
      </c>
      <c r="B5" s="344" t="s">
        <v>297</v>
      </c>
      <c r="C5" s="345" t="s">
        <v>301</v>
      </c>
      <c r="D5" s="346" t="s">
        <v>331</v>
      </c>
      <c r="E5" s="345" t="s">
        <v>309</v>
      </c>
      <c r="F5" s="346" t="s">
        <v>333</v>
      </c>
      <c r="G5" s="345" t="s">
        <v>310</v>
      </c>
      <c r="H5" s="345" t="s">
        <v>311</v>
      </c>
      <c r="I5" s="345" t="s">
        <v>312</v>
      </c>
      <c r="J5" s="345" t="s">
        <v>313</v>
      </c>
      <c r="K5" s="345"/>
      <c r="L5" s="347">
        <v>96.577770297029716</v>
      </c>
      <c r="M5" s="347">
        <v>101</v>
      </c>
      <c r="N5" s="348">
        <v>9754.354800000001</v>
      </c>
    </row>
    <row r="6" spans="1:14" ht="14.4" customHeight="1" x14ac:dyDescent="0.3">
      <c r="A6" s="349" t="s">
        <v>296</v>
      </c>
      <c r="B6" s="350" t="s">
        <v>297</v>
      </c>
      <c r="C6" s="351" t="s">
        <v>301</v>
      </c>
      <c r="D6" s="352" t="s">
        <v>331</v>
      </c>
      <c r="E6" s="351" t="s">
        <v>309</v>
      </c>
      <c r="F6" s="352" t="s">
        <v>333</v>
      </c>
      <c r="G6" s="351" t="s">
        <v>310</v>
      </c>
      <c r="H6" s="351" t="s">
        <v>314</v>
      </c>
      <c r="I6" s="351" t="s">
        <v>312</v>
      </c>
      <c r="J6" s="351" t="s">
        <v>315</v>
      </c>
      <c r="K6" s="351"/>
      <c r="L6" s="353">
        <v>48.629643708811606</v>
      </c>
      <c r="M6" s="353">
        <v>5</v>
      </c>
      <c r="N6" s="354">
        <v>243.14821854405804</v>
      </c>
    </row>
    <row r="7" spans="1:14" ht="14.4" customHeight="1" x14ac:dyDescent="0.3">
      <c r="A7" s="349" t="s">
        <v>296</v>
      </c>
      <c r="B7" s="350" t="s">
        <v>297</v>
      </c>
      <c r="C7" s="351" t="s">
        <v>301</v>
      </c>
      <c r="D7" s="352" t="s">
        <v>331</v>
      </c>
      <c r="E7" s="351" t="s">
        <v>309</v>
      </c>
      <c r="F7" s="352" t="s">
        <v>333</v>
      </c>
      <c r="G7" s="351" t="s">
        <v>310</v>
      </c>
      <c r="H7" s="351" t="s">
        <v>316</v>
      </c>
      <c r="I7" s="351" t="s">
        <v>312</v>
      </c>
      <c r="J7" s="351" t="s">
        <v>317</v>
      </c>
      <c r="K7" s="351" t="s">
        <v>318</v>
      </c>
      <c r="L7" s="353">
        <v>75.020024909183206</v>
      </c>
      <c r="M7" s="353">
        <v>4</v>
      </c>
      <c r="N7" s="354">
        <v>300.08009963673283</v>
      </c>
    </row>
    <row r="8" spans="1:14" ht="14.4" customHeight="1" x14ac:dyDescent="0.3">
      <c r="A8" s="349" t="s">
        <v>296</v>
      </c>
      <c r="B8" s="350" t="s">
        <v>297</v>
      </c>
      <c r="C8" s="351" t="s">
        <v>301</v>
      </c>
      <c r="D8" s="352" t="s">
        <v>331</v>
      </c>
      <c r="E8" s="351" t="s">
        <v>309</v>
      </c>
      <c r="F8" s="352" t="s">
        <v>333</v>
      </c>
      <c r="G8" s="351" t="s">
        <v>310</v>
      </c>
      <c r="H8" s="351" t="s">
        <v>319</v>
      </c>
      <c r="I8" s="351" t="s">
        <v>320</v>
      </c>
      <c r="J8" s="351" t="s">
        <v>321</v>
      </c>
      <c r="K8" s="351" t="s">
        <v>322</v>
      </c>
      <c r="L8" s="353">
        <v>63.649999999999977</v>
      </c>
      <c r="M8" s="353">
        <v>3</v>
      </c>
      <c r="N8" s="354">
        <v>190.94999999999993</v>
      </c>
    </row>
    <row r="9" spans="1:14" ht="14.4" customHeight="1" x14ac:dyDescent="0.3">
      <c r="A9" s="349" t="s">
        <v>296</v>
      </c>
      <c r="B9" s="350" t="s">
        <v>297</v>
      </c>
      <c r="C9" s="351" t="s">
        <v>301</v>
      </c>
      <c r="D9" s="352" t="s">
        <v>331</v>
      </c>
      <c r="E9" s="351" t="s">
        <v>309</v>
      </c>
      <c r="F9" s="352" t="s">
        <v>333</v>
      </c>
      <c r="G9" s="351" t="s">
        <v>310</v>
      </c>
      <c r="H9" s="351" t="s">
        <v>323</v>
      </c>
      <c r="I9" s="351" t="s">
        <v>312</v>
      </c>
      <c r="J9" s="351" t="s">
        <v>324</v>
      </c>
      <c r="K9" s="351" t="s">
        <v>325</v>
      </c>
      <c r="L9" s="353">
        <v>75.01998223176345</v>
      </c>
      <c r="M9" s="353">
        <v>3</v>
      </c>
      <c r="N9" s="354">
        <v>225.05994669529036</v>
      </c>
    </row>
    <row r="10" spans="1:14" ht="14.4" customHeight="1" x14ac:dyDescent="0.3">
      <c r="A10" s="349" t="s">
        <v>296</v>
      </c>
      <c r="B10" s="350" t="s">
        <v>297</v>
      </c>
      <c r="C10" s="351" t="s">
        <v>301</v>
      </c>
      <c r="D10" s="352" t="s">
        <v>331</v>
      </c>
      <c r="E10" s="351" t="s">
        <v>309</v>
      </c>
      <c r="F10" s="352" t="s">
        <v>333</v>
      </c>
      <c r="G10" s="351" t="s">
        <v>310</v>
      </c>
      <c r="H10" s="351" t="s">
        <v>326</v>
      </c>
      <c r="I10" s="351" t="s">
        <v>312</v>
      </c>
      <c r="J10" s="351" t="s">
        <v>327</v>
      </c>
      <c r="K10" s="351"/>
      <c r="L10" s="353">
        <v>201.29744360528363</v>
      </c>
      <c r="M10" s="353">
        <v>108</v>
      </c>
      <c r="N10" s="354">
        <v>21740.123909370632</v>
      </c>
    </row>
    <row r="11" spans="1:14" ht="14.4" customHeight="1" x14ac:dyDescent="0.3">
      <c r="A11" s="349" t="s">
        <v>296</v>
      </c>
      <c r="B11" s="350" t="s">
        <v>297</v>
      </c>
      <c r="C11" s="351" t="s">
        <v>301</v>
      </c>
      <c r="D11" s="352" t="s">
        <v>331</v>
      </c>
      <c r="E11" s="351" t="s">
        <v>309</v>
      </c>
      <c r="F11" s="352" t="s">
        <v>333</v>
      </c>
      <c r="G11" s="351" t="s">
        <v>310</v>
      </c>
      <c r="H11" s="351" t="s">
        <v>328</v>
      </c>
      <c r="I11" s="351" t="s">
        <v>312</v>
      </c>
      <c r="J11" s="351" t="s">
        <v>329</v>
      </c>
      <c r="K11" s="351" t="s">
        <v>330</v>
      </c>
      <c r="L11" s="353">
        <v>56.724185265582506</v>
      </c>
      <c r="M11" s="353">
        <v>5</v>
      </c>
      <c r="N11" s="354">
        <v>283.62092632791251</v>
      </c>
    </row>
    <row r="12" spans="1:14" ht="14.4" customHeight="1" x14ac:dyDescent="0.3">
      <c r="A12" s="349" t="s">
        <v>296</v>
      </c>
      <c r="B12" s="350" t="s">
        <v>297</v>
      </c>
      <c r="C12" s="351" t="s">
        <v>306</v>
      </c>
      <c r="D12" s="352" t="s">
        <v>332</v>
      </c>
      <c r="E12" s="351" t="s">
        <v>309</v>
      </c>
      <c r="F12" s="352" t="s">
        <v>333</v>
      </c>
      <c r="G12" s="351" t="s">
        <v>310</v>
      </c>
      <c r="H12" s="351" t="s">
        <v>311</v>
      </c>
      <c r="I12" s="351" t="s">
        <v>312</v>
      </c>
      <c r="J12" s="351" t="s">
        <v>313</v>
      </c>
      <c r="K12" s="351"/>
      <c r="L12" s="353">
        <v>88.474800000000002</v>
      </c>
      <c r="M12" s="353">
        <v>20</v>
      </c>
      <c r="N12" s="354">
        <v>1769.4960000000001</v>
      </c>
    </row>
    <row r="13" spans="1:14" ht="14.4" customHeight="1" x14ac:dyDescent="0.3">
      <c r="A13" s="349" t="s">
        <v>296</v>
      </c>
      <c r="B13" s="350" t="s">
        <v>297</v>
      </c>
      <c r="C13" s="351" t="s">
        <v>306</v>
      </c>
      <c r="D13" s="352" t="s">
        <v>332</v>
      </c>
      <c r="E13" s="351" t="s">
        <v>309</v>
      </c>
      <c r="F13" s="352" t="s">
        <v>333</v>
      </c>
      <c r="G13" s="351" t="s">
        <v>310</v>
      </c>
      <c r="H13" s="351" t="s">
        <v>323</v>
      </c>
      <c r="I13" s="351" t="s">
        <v>312</v>
      </c>
      <c r="J13" s="351" t="s">
        <v>324</v>
      </c>
      <c r="K13" s="351" t="s">
        <v>325</v>
      </c>
      <c r="L13" s="353">
        <v>75.020101200730068</v>
      </c>
      <c r="M13" s="353">
        <v>5</v>
      </c>
      <c r="N13" s="354">
        <v>375.10050600365037</v>
      </c>
    </row>
    <row r="14" spans="1:14" ht="14.4" customHeight="1" thickBot="1" x14ac:dyDescent="0.35">
      <c r="A14" s="355" t="s">
        <v>296</v>
      </c>
      <c r="B14" s="356" t="s">
        <v>297</v>
      </c>
      <c r="C14" s="357" t="s">
        <v>306</v>
      </c>
      <c r="D14" s="358" t="s">
        <v>332</v>
      </c>
      <c r="E14" s="357" t="s">
        <v>309</v>
      </c>
      <c r="F14" s="358" t="s">
        <v>333</v>
      </c>
      <c r="G14" s="357" t="s">
        <v>310</v>
      </c>
      <c r="H14" s="357" t="s">
        <v>326</v>
      </c>
      <c r="I14" s="357" t="s">
        <v>312</v>
      </c>
      <c r="J14" s="357" t="s">
        <v>327</v>
      </c>
      <c r="K14" s="357"/>
      <c r="L14" s="359">
        <v>201.37960990183859</v>
      </c>
      <c r="M14" s="359">
        <v>20</v>
      </c>
      <c r="N14" s="360">
        <v>4027.5921980367721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1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5" t="s">
        <v>135</v>
      </c>
      <c r="B1" s="295"/>
      <c r="C1" s="295"/>
      <c r="D1" s="295"/>
      <c r="E1" s="295"/>
      <c r="F1" s="259"/>
      <c r="G1" s="259"/>
      <c r="H1" s="259"/>
      <c r="I1" s="25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4" t="s">
        <v>175</v>
      </c>
      <c r="B2" s="169"/>
      <c r="C2" s="169"/>
      <c r="D2" s="169"/>
      <c r="E2" s="169"/>
    </row>
    <row r="3" spans="1:17" ht="14.4" customHeight="1" thickBot="1" x14ac:dyDescent="0.35">
      <c r="A3" s="240" t="s">
        <v>2</v>
      </c>
      <c r="B3" s="244">
        <f>SUM(B6:B1048576)</f>
        <v>49</v>
      </c>
      <c r="C3" s="245">
        <f>SUM(C6:C1048576)</f>
        <v>0</v>
      </c>
      <c r="D3" s="245">
        <f>SUM(D6:D1048576)</f>
        <v>0</v>
      </c>
      <c r="E3" s="246">
        <f>SUM(E6:E1048576)</f>
        <v>0</v>
      </c>
      <c r="F3" s="243">
        <f>IF(SUM($B3:$E3)=0,"",B3/SUM($B3:$E3))</f>
        <v>1</v>
      </c>
      <c r="G3" s="241">
        <f t="shared" ref="G3:I3" si="0">IF(SUM($B3:$E3)=0,"",C3/SUM($B3:$E3))</f>
        <v>0</v>
      </c>
      <c r="H3" s="241">
        <f t="shared" si="0"/>
        <v>0</v>
      </c>
      <c r="I3" s="242">
        <f t="shared" si="0"/>
        <v>0</v>
      </c>
      <c r="J3" s="245">
        <f>SUM(J6:J1048576)</f>
        <v>21</v>
      </c>
      <c r="K3" s="245">
        <f>SUM(K6:K1048576)</f>
        <v>0</v>
      </c>
      <c r="L3" s="245">
        <f>SUM(L6:L1048576)</f>
        <v>0</v>
      </c>
      <c r="M3" s="246">
        <f>SUM(M6:M1048576)</f>
        <v>0</v>
      </c>
      <c r="N3" s="243">
        <f>IF(SUM($J3:$M3)=0,"",J3/SUM($J3:$M3))</f>
        <v>1</v>
      </c>
      <c r="O3" s="241">
        <f t="shared" ref="O3:Q3" si="1">IF(SUM($J3:$M3)=0,"",K3/SUM($J3:$M3))</f>
        <v>0</v>
      </c>
      <c r="P3" s="241">
        <f t="shared" si="1"/>
        <v>0</v>
      </c>
      <c r="Q3" s="242">
        <f t="shared" si="1"/>
        <v>0</v>
      </c>
    </row>
    <row r="4" spans="1:17" ht="14.4" customHeight="1" thickBot="1" x14ac:dyDescent="0.35">
      <c r="A4" s="239"/>
      <c r="B4" s="299" t="s">
        <v>137</v>
      </c>
      <c r="C4" s="300"/>
      <c r="D4" s="300"/>
      <c r="E4" s="301"/>
      <c r="F4" s="296" t="s">
        <v>142</v>
      </c>
      <c r="G4" s="297"/>
      <c r="H4" s="297"/>
      <c r="I4" s="298"/>
      <c r="J4" s="299" t="s">
        <v>143</v>
      </c>
      <c r="K4" s="300"/>
      <c r="L4" s="300"/>
      <c r="M4" s="301"/>
      <c r="N4" s="296" t="s">
        <v>144</v>
      </c>
      <c r="O4" s="297"/>
      <c r="P4" s="297"/>
      <c r="Q4" s="298"/>
    </row>
    <row r="5" spans="1:17" ht="14.4" customHeight="1" thickBot="1" x14ac:dyDescent="0.35">
      <c r="A5" s="361" t="s">
        <v>136</v>
      </c>
      <c r="B5" s="362" t="s">
        <v>138</v>
      </c>
      <c r="C5" s="362" t="s">
        <v>139</v>
      </c>
      <c r="D5" s="362" t="s">
        <v>140</v>
      </c>
      <c r="E5" s="363" t="s">
        <v>141</v>
      </c>
      <c r="F5" s="364" t="s">
        <v>138</v>
      </c>
      <c r="G5" s="365" t="s">
        <v>139</v>
      </c>
      <c r="H5" s="365" t="s">
        <v>140</v>
      </c>
      <c r="I5" s="366" t="s">
        <v>141</v>
      </c>
      <c r="J5" s="362" t="s">
        <v>138</v>
      </c>
      <c r="K5" s="362" t="s">
        <v>139</v>
      </c>
      <c r="L5" s="362" t="s">
        <v>140</v>
      </c>
      <c r="M5" s="363" t="s">
        <v>141</v>
      </c>
      <c r="N5" s="364" t="s">
        <v>138</v>
      </c>
      <c r="O5" s="365" t="s">
        <v>139</v>
      </c>
      <c r="P5" s="365" t="s">
        <v>140</v>
      </c>
      <c r="Q5" s="366" t="s">
        <v>141</v>
      </c>
    </row>
    <row r="6" spans="1:17" ht="14.4" customHeight="1" x14ac:dyDescent="0.3">
      <c r="A6" s="373" t="s">
        <v>334</v>
      </c>
      <c r="B6" s="379"/>
      <c r="C6" s="347"/>
      <c r="D6" s="347"/>
      <c r="E6" s="348"/>
      <c r="F6" s="376"/>
      <c r="G6" s="367"/>
      <c r="H6" s="367"/>
      <c r="I6" s="382"/>
      <c r="J6" s="379"/>
      <c r="K6" s="347"/>
      <c r="L6" s="347"/>
      <c r="M6" s="348"/>
      <c r="N6" s="376"/>
      <c r="O6" s="367"/>
      <c r="P6" s="367"/>
      <c r="Q6" s="368"/>
    </row>
    <row r="7" spans="1:17" ht="14.4" customHeight="1" x14ac:dyDescent="0.3">
      <c r="A7" s="374" t="s">
        <v>335</v>
      </c>
      <c r="B7" s="380">
        <v>46</v>
      </c>
      <c r="C7" s="353"/>
      <c r="D7" s="353"/>
      <c r="E7" s="354"/>
      <c r="F7" s="377">
        <v>1</v>
      </c>
      <c r="G7" s="369">
        <v>0</v>
      </c>
      <c r="H7" s="369">
        <v>0</v>
      </c>
      <c r="I7" s="383">
        <v>0</v>
      </c>
      <c r="J7" s="380">
        <v>20</v>
      </c>
      <c r="K7" s="353"/>
      <c r="L7" s="353"/>
      <c r="M7" s="354"/>
      <c r="N7" s="377">
        <v>1</v>
      </c>
      <c r="O7" s="369">
        <v>0</v>
      </c>
      <c r="P7" s="369">
        <v>0</v>
      </c>
      <c r="Q7" s="370">
        <v>0</v>
      </c>
    </row>
    <row r="8" spans="1:17" ht="14.4" customHeight="1" thickBot="1" x14ac:dyDescent="0.35">
      <c r="A8" s="375" t="s">
        <v>336</v>
      </c>
      <c r="B8" s="381">
        <v>3</v>
      </c>
      <c r="C8" s="359"/>
      <c r="D8" s="359"/>
      <c r="E8" s="360"/>
      <c r="F8" s="378">
        <v>1</v>
      </c>
      <c r="G8" s="371">
        <v>0</v>
      </c>
      <c r="H8" s="371">
        <v>0</v>
      </c>
      <c r="I8" s="384">
        <v>0</v>
      </c>
      <c r="J8" s="381">
        <v>1</v>
      </c>
      <c r="K8" s="359"/>
      <c r="L8" s="359"/>
      <c r="M8" s="360"/>
      <c r="N8" s="378">
        <v>1</v>
      </c>
      <c r="O8" s="371">
        <v>0</v>
      </c>
      <c r="P8" s="371">
        <v>0</v>
      </c>
      <c r="Q8" s="3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78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175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296</v>
      </c>
      <c r="B5" s="334" t="s">
        <v>297</v>
      </c>
      <c r="C5" s="335" t="s">
        <v>298</v>
      </c>
      <c r="D5" s="335" t="s">
        <v>298</v>
      </c>
      <c r="E5" s="335"/>
      <c r="F5" s="335" t="s">
        <v>298</v>
      </c>
      <c r="G5" s="335" t="s">
        <v>298</v>
      </c>
      <c r="H5" s="335" t="s">
        <v>298</v>
      </c>
      <c r="I5" s="336" t="s">
        <v>298</v>
      </c>
      <c r="J5" s="337" t="s">
        <v>53</v>
      </c>
    </row>
    <row r="6" spans="1:10" ht="14.4" customHeight="1" x14ac:dyDescent="0.3">
      <c r="A6" s="333" t="s">
        <v>296</v>
      </c>
      <c r="B6" s="334" t="s">
        <v>184</v>
      </c>
      <c r="C6" s="335">
        <v>5.2519999999999998</v>
      </c>
      <c r="D6" s="335">
        <v>2.84</v>
      </c>
      <c r="E6" s="335"/>
      <c r="F6" s="335">
        <v>6.9580000000000002</v>
      </c>
      <c r="G6" s="335">
        <v>12.249999497932585</v>
      </c>
      <c r="H6" s="335">
        <v>-5.2919994979325846</v>
      </c>
      <c r="I6" s="336">
        <v>0.56800002327953503</v>
      </c>
      <c r="J6" s="337" t="s">
        <v>1</v>
      </c>
    </row>
    <row r="7" spans="1:10" ht="14.4" customHeight="1" x14ac:dyDescent="0.3">
      <c r="A7" s="333" t="s">
        <v>296</v>
      </c>
      <c r="B7" s="334" t="s">
        <v>299</v>
      </c>
      <c r="C7" s="335">
        <v>5.2519999999999998</v>
      </c>
      <c r="D7" s="335">
        <v>2.84</v>
      </c>
      <c r="E7" s="335"/>
      <c r="F7" s="335">
        <v>6.9580000000000002</v>
      </c>
      <c r="G7" s="335">
        <v>12.249999497932585</v>
      </c>
      <c r="H7" s="335">
        <v>-5.2919994979325846</v>
      </c>
      <c r="I7" s="336">
        <v>0.56800002327953503</v>
      </c>
      <c r="J7" s="337" t="s">
        <v>300</v>
      </c>
    </row>
    <row r="9" spans="1:10" ht="14.4" customHeight="1" x14ac:dyDescent="0.3">
      <c r="A9" s="333" t="s">
        <v>296</v>
      </c>
      <c r="B9" s="334" t="s">
        <v>297</v>
      </c>
      <c r="C9" s="335" t="s">
        <v>298</v>
      </c>
      <c r="D9" s="335" t="s">
        <v>298</v>
      </c>
      <c r="E9" s="335"/>
      <c r="F9" s="335" t="s">
        <v>298</v>
      </c>
      <c r="G9" s="335" t="s">
        <v>298</v>
      </c>
      <c r="H9" s="335" t="s">
        <v>298</v>
      </c>
      <c r="I9" s="336" t="s">
        <v>298</v>
      </c>
      <c r="J9" s="337" t="s">
        <v>53</v>
      </c>
    </row>
    <row r="10" spans="1:10" ht="14.4" customHeight="1" x14ac:dyDescent="0.3">
      <c r="A10" s="333" t="s">
        <v>301</v>
      </c>
      <c r="B10" s="334" t="s">
        <v>302</v>
      </c>
      <c r="C10" s="335" t="s">
        <v>298</v>
      </c>
      <c r="D10" s="335" t="s">
        <v>298</v>
      </c>
      <c r="E10" s="335"/>
      <c r="F10" s="335" t="s">
        <v>298</v>
      </c>
      <c r="G10" s="335" t="s">
        <v>298</v>
      </c>
      <c r="H10" s="335" t="s">
        <v>298</v>
      </c>
      <c r="I10" s="336" t="s">
        <v>298</v>
      </c>
      <c r="J10" s="337" t="s">
        <v>0</v>
      </c>
    </row>
    <row r="11" spans="1:10" ht="14.4" customHeight="1" x14ac:dyDescent="0.3">
      <c r="A11" s="333" t="s">
        <v>301</v>
      </c>
      <c r="B11" s="334" t="s">
        <v>184</v>
      </c>
      <c r="C11" s="335">
        <v>4.968</v>
      </c>
      <c r="D11" s="335">
        <v>2.84</v>
      </c>
      <c r="E11" s="335"/>
      <c r="F11" s="335">
        <v>6.9580000000000002</v>
      </c>
      <c r="G11" s="335">
        <v>12.249999497932585</v>
      </c>
      <c r="H11" s="335">
        <v>-5.2919994979325846</v>
      </c>
      <c r="I11" s="336">
        <v>0.56800002327953503</v>
      </c>
      <c r="J11" s="337" t="s">
        <v>1</v>
      </c>
    </row>
    <row r="12" spans="1:10" ht="14.4" customHeight="1" x14ac:dyDescent="0.3">
      <c r="A12" s="333" t="s">
        <v>301</v>
      </c>
      <c r="B12" s="334" t="s">
        <v>303</v>
      </c>
      <c r="C12" s="335">
        <v>4.968</v>
      </c>
      <c r="D12" s="335">
        <v>2.84</v>
      </c>
      <c r="E12" s="335"/>
      <c r="F12" s="335">
        <v>6.9580000000000002</v>
      </c>
      <c r="G12" s="335">
        <v>12.249999497932585</v>
      </c>
      <c r="H12" s="335">
        <v>-5.2919994979325846</v>
      </c>
      <c r="I12" s="336">
        <v>0.56800002327953503</v>
      </c>
      <c r="J12" s="337" t="s">
        <v>304</v>
      </c>
    </row>
    <row r="13" spans="1:10" ht="14.4" customHeight="1" x14ac:dyDescent="0.3">
      <c r="A13" s="333" t="s">
        <v>298</v>
      </c>
      <c r="B13" s="334" t="s">
        <v>298</v>
      </c>
      <c r="C13" s="335" t="s">
        <v>298</v>
      </c>
      <c r="D13" s="335" t="s">
        <v>298</v>
      </c>
      <c r="E13" s="335"/>
      <c r="F13" s="335" t="s">
        <v>298</v>
      </c>
      <c r="G13" s="335" t="s">
        <v>298</v>
      </c>
      <c r="H13" s="335" t="s">
        <v>298</v>
      </c>
      <c r="I13" s="336" t="s">
        <v>298</v>
      </c>
      <c r="J13" s="337" t="s">
        <v>305</v>
      </c>
    </row>
    <row r="14" spans="1:10" ht="14.4" customHeight="1" x14ac:dyDescent="0.3">
      <c r="A14" s="333" t="s">
        <v>337</v>
      </c>
      <c r="B14" s="334" t="s">
        <v>338</v>
      </c>
      <c r="C14" s="335" t="s">
        <v>298</v>
      </c>
      <c r="D14" s="335" t="s">
        <v>298</v>
      </c>
      <c r="E14" s="335"/>
      <c r="F14" s="335" t="s">
        <v>298</v>
      </c>
      <c r="G14" s="335" t="s">
        <v>298</v>
      </c>
      <c r="H14" s="335" t="s">
        <v>298</v>
      </c>
      <c r="I14" s="336" t="s">
        <v>298</v>
      </c>
      <c r="J14" s="337" t="s">
        <v>0</v>
      </c>
    </row>
    <row r="15" spans="1:10" ht="14.4" customHeight="1" x14ac:dyDescent="0.3">
      <c r="A15" s="333" t="s">
        <v>337</v>
      </c>
      <c r="B15" s="334" t="s">
        <v>184</v>
      </c>
      <c r="C15" s="335">
        <v>0.28399999999999997</v>
      </c>
      <c r="D15" s="335">
        <v>0</v>
      </c>
      <c r="E15" s="335"/>
      <c r="F15" s="335" t="s">
        <v>298</v>
      </c>
      <c r="G15" s="335" t="s">
        <v>298</v>
      </c>
      <c r="H15" s="335" t="s">
        <v>298</v>
      </c>
      <c r="I15" s="336" t="s">
        <v>298</v>
      </c>
      <c r="J15" s="337" t="s">
        <v>1</v>
      </c>
    </row>
    <row r="16" spans="1:10" ht="14.4" customHeight="1" x14ac:dyDescent="0.3">
      <c r="A16" s="333" t="s">
        <v>337</v>
      </c>
      <c r="B16" s="334" t="s">
        <v>339</v>
      </c>
      <c r="C16" s="335">
        <v>0.28399999999999997</v>
      </c>
      <c r="D16" s="335">
        <v>0</v>
      </c>
      <c r="E16" s="335"/>
      <c r="F16" s="335" t="s">
        <v>298</v>
      </c>
      <c r="G16" s="335" t="s">
        <v>298</v>
      </c>
      <c r="H16" s="335" t="s">
        <v>298</v>
      </c>
      <c r="I16" s="336" t="s">
        <v>298</v>
      </c>
      <c r="J16" s="337" t="s">
        <v>304</v>
      </c>
    </row>
    <row r="17" spans="1:10" ht="14.4" customHeight="1" x14ac:dyDescent="0.3">
      <c r="A17" s="333" t="s">
        <v>298</v>
      </c>
      <c r="B17" s="334" t="s">
        <v>298</v>
      </c>
      <c r="C17" s="335" t="s">
        <v>298</v>
      </c>
      <c r="D17" s="335" t="s">
        <v>298</v>
      </c>
      <c r="E17" s="335"/>
      <c r="F17" s="335" t="s">
        <v>298</v>
      </c>
      <c r="G17" s="335" t="s">
        <v>298</v>
      </c>
      <c r="H17" s="335" t="s">
        <v>298</v>
      </c>
      <c r="I17" s="336" t="s">
        <v>298</v>
      </c>
      <c r="J17" s="337" t="s">
        <v>305</v>
      </c>
    </row>
    <row r="18" spans="1:10" ht="14.4" customHeight="1" x14ac:dyDescent="0.3">
      <c r="A18" s="333" t="s">
        <v>296</v>
      </c>
      <c r="B18" s="334" t="s">
        <v>299</v>
      </c>
      <c r="C18" s="335">
        <v>5.2519999999999998</v>
      </c>
      <c r="D18" s="335">
        <v>2.84</v>
      </c>
      <c r="E18" s="335"/>
      <c r="F18" s="335">
        <v>6.9580000000000002</v>
      </c>
      <c r="G18" s="335">
        <v>12.249999497932585</v>
      </c>
      <c r="H18" s="335">
        <v>-5.2919994979325846</v>
      </c>
      <c r="I18" s="336">
        <v>0.56800002327953503</v>
      </c>
      <c r="J18" s="337" t="s">
        <v>300</v>
      </c>
    </row>
  </sheetData>
  <mergeCells count="3">
    <mergeCell ref="A1:I1"/>
    <mergeCell ref="F3:I3"/>
    <mergeCell ref="C4:D4"/>
  </mergeCells>
  <conditionalFormatting sqref="F8 F19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8">
    <cfRule type="expression" dxfId="12" priority="5">
      <formula>$H9&gt;0</formula>
    </cfRule>
  </conditionalFormatting>
  <conditionalFormatting sqref="A9:A18">
    <cfRule type="expression" dxfId="11" priority="2">
      <formula>AND($J9&lt;&gt;"mezeraKL",$J9&lt;&gt;"")</formula>
    </cfRule>
  </conditionalFormatting>
  <conditionalFormatting sqref="I9:I18">
    <cfRule type="expression" dxfId="10" priority="6">
      <formula>$I9&gt;1</formula>
    </cfRule>
  </conditionalFormatting>
  <conditionalFormatting sqref="B9:B18">
    <cfRule type="expression" dxfId="9" priority="1">
      <formula>OR($J9="NS",$J9="SumaNS",$J9="Účet")</formula>
    </cfRule>
  </conditionalFormatting>
  <conditionalFormatting sqref="A9:D18 F9:I18">
    <cfRule type="expression" dxfId="8" priority="8">
      <formula>AND($J9&lt;&gt;"",$J9&lt;&gt;"mezeraKL")</formula>
    </cfRule>
  </conditionalFormatting>
  <conditionalFormatting sqref="B9:D18 F9:I18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2016-08-19T11:50:07Z</dcterms:modified>
</cp:coreProperties>
</file>