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Statim" sheetId="427" r:id="rId8"/>
    <sheet name="Materiál Žádanky" sheetId="420" r:id="rId9"/>
    <sheet name="MŽ Detail" sheetId="403" r:id="rId10"/>
    <sheet name="Osobní náklady" sheetId="419" r:id="rId11"/>
    <sheet name="ON Data" sheetId="418" state="hidden" r:id="rId12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Statim'!$A$5:$I$5</definedName>
    <definedName name="_xlnm._FilterDatabase" localSheetId="3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doměsíce">#REF!</definedName>
    <definedName name="Obdobi">'ON Data'!$B$3:$B$16</definedName>
  </definedNames>
  <calcPr calcId="152511"/>
</workbook>
</file>

<file path=xl/calcChain.xml><?xml version="1.0" encoding="utf-8"?>
<calcChain xmlns="http://schemas.openxmlformats.org/spreadsheetml/2006/main">
  <c r="F20" i="419" l="1"/>
  <c r="E20" i="419"/>
  <c r="D20" i="419"/>
  <c r="C20" i="419"/>
  <c r="F19" i="419"/>
  <c r="E19" i="419"/>
  <c r="D19" i="419"/>
  <c r="C19" i="419"/>
  <c r="F17" i="419"/>
  <c r="E17" i="419"/>
  <c r="D17" i="419"/>
  <c r="C17" i="419"/>
  <c r="F16" i="419"/>
  <c r="E16" i="419"/>
  <c r="D16" i="419"/>
  <c r="C16" i="419"/>
  <c r="F14" i="419"/>
  <c r="E14" i="419"/>
  <c r="D14" i="419"/>
  <c r="C14" i="419"/>
  <c r="F13" i="419"/>
  <c r="E13" i="419"/>
  <c r="D13" i="419"/>
  <c r="C13" i="419"/>
  <c r="F12" i="419"/>
  <c r="E12" i="419"/>
  <c r="D12" i="419"/>
  <c r="C12" i="419"/>
  <c r="F11" i="419"/>
  <c r="E11" i="419"/>
  <c r="D11" i="419"/>
  <c r="C11" i="419"/>
  <c r="C18" i="419" l="1"/>
  <c r="E18" i="419"/>
  <c r="D18" i="419"/>
  <c r="F18" i="419"/>
  <c r="E26" i="419"/>
  <c r="E25" i="419"/>
  <c r="F26" i="419"/>
  <c r="F25" i="419"/>
  <c r="D26" i="419"/>
  <c r="D27" i="419" s="1"/>
  <c r="D25" i="419"/>
  <c r="C25" i="419"/>
  <c r="C26" i="419"/>
  <c r="C27" i="419" s="1"/>
  <c r="D28" i="419" l="1"/>
  <c r="C28" i="419"/>
  <c r="B26" i="419"/>
  <c r="E28" i="419"/>
  <c r="E27" i="419" l="1"/>
  <c r="AE3" i="418" l="1"/>
  <c r="I3" i="418"/>
  <c r="F28" i="419" l="1"/>
  <c r="F27" i="419"/>
  <c r="E11" i="339"/>
  <c r="C11" i="339"/>
  <c r="AW3" i="418" l="1"/>
  <c r="AV3" i="418"/>
  <c r="AU3" i="418"/>
  <c r="AT3" i="418"/>
  <c r="AS3" i="418"/>
  <c r="AR3" i="418"/>
  <c r="B25" i="419" l="1"/>
  <c r="B27" i="419" l="1"/>
  <c r="A8" i="414"/>
  <c r="A7" i="414"/>
  <c r="E21" i="419" l="1"/>
  <c r="D21" i="419"/>
  <c r="C21" i="419"/>
  <c r="E23" i="419" l="1"/>
  <c r="C23" i="419"/>
  <c r="E22" i="419"/>
  <c r="D23" i="419"/>
  <c r="C22" i="419"/>
  <c r="D22" i="419"/>
  <c r="N3" i="418"/>
  <c r="B21" i="419" l="1"/>
  <c r="B22" i="419" l="1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13" i="383" l="1"/>
  <c r="A10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F6" i="419" l="1"/>
  <c r="D6" i="419"/>
  <c r="E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B11" i="339" l="1"/>
  <c r="J11" i="339" s="1"/>
  <c r="I11" i="339" l="1"/>
  <c r="F11" i="339"/>
  <c r="H11" i="339" l="1"/>
  <c r="G11" i="339"/>
  <c r="A12" i="414"/>
  <c r="A13" i="414"/>
  <c r="A4" i="414"/>
  <c r="A6" i="339" l="1"/>
  <c r="A5" i="339"/>
  <c r="C16" i="414"/>
  <c r="D16" i="414"/>
  <c r="C13" i="414"/>
  <c r="D13" i="414"/>
  <c r="D4" i="414"/>
  <c r="C12" i="414" l="1"/>
  <c r="C7" i="414"/>
  <c r="E12" i="414" l="1"/>
  <c r="E7" i="414"/>
  <c r="K3" i="403" l="1"/>
  <c r="J3" i="403"/>
  <c r="I3" i="403" s="1"/>
  <c r="M3" i="220" l="1"/>
  <c r="E12" i="339" l="1"/>
  <c r="C12" i="339"/>
  <c r="F12" i="339" s="1"/>
  <c r="B12" i="339"/>
  <c r="J12" i="339" s="1"/>
  <c r="N3" i="220"/>
  <c r="L3" i="220" s="1"/>
  <c r="C17" i="414"/>
  <c r="D17" i="414"/>
  <c r="I12" i="339" l="1"/>
  <c r="I13" i="339" s="1"/>
  <c r="F13" i="339"/>
  <c r="E13" i="339"/>
  <c r="E15" i="339" s="1"/>
  <c r="H12" i="339"/>
  <c r="G12" i="339"/>
  <c r="A4" i="383"/>
  <c r="A15" i="383"/>
  <c r="A14" i="383"/>
  <c r="A11" i="383"/>
  <c r="A7" i="383"/>
  <c r="A6" i="383"/>
  <c r="A5" i="383"/>
  <c r="C13" i="339"/>
  <c r="C15" i="339" s="1"/>
  <c r="B13" i="339"/>
  <c r="D15" i="414"/>
  <c r="C4" i="414"/>
  <c r="H13" i="339" l="1"/>
  <c r="F15" i="339"/>
  <c r="J13" i="339"/>
  <c r="B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<sst xmlns="http://schemas.openxmlformats.org/spreadsheetml/2006/main" count="648" uniqueCount="332">
  <si>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</si>
  <si>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</si>
  <si>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</si>
  <si>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</si>
  <si>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</si>
  <si>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</si>
  <si>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</si>
  <si>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</si>
  <si>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</si>
  <si>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</si>
  <si>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</si>
  <si>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</si>
  <si>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</si>
  <si>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</si>
  <si>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</si>
  <si>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</si>
  <si>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</si>
  <si>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</si>
  <si>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</si>
  <si>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</si>
  <si>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</si>
  <si>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</si>
  <si>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</si>
  <si>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</si>
  <si>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</si>
  <si>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</si>
  <si>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</si>
  <si>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</si>
  <si>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</si>
  <si>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</si>
  <si>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</si>
  <si>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</si>
  <si>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</si>
  <si>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</si>
  <si>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</si>
  <si>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</si>
  <si>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</si>
  <si>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</si>
  <si>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</si>
  <si>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</si>
  <si>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</si>
  <si>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</si>
  <si>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</si>
  <si>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</si>
  <si>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</si>
  <si>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</si>
  <si>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</si>
  <si>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</si>
  <si>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</si>
  <si>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</si>
  <si>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</si>
  <si>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</si>
  <si>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</si>
  <si>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</si>
  <si>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</si>
  <si>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</si>
  <si>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</si>
  <si>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</si>
  <si>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</si>
  <si>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</si>
  <si>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</si>
  <si>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</si>
  <si>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</si>
  <si>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</si>
  <si>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</si>
  <si>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</si>
  <si>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</si>
  <si>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</si>
  <si>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</si>
  <si>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</si>
  <si>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</si>
  <si>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</si>
  <si>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</si>
  <si>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</si>
  <si>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</si>
  <si>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</si>
  <si>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</si>
  <si>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</si>
  <si>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</si>
  <si>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</si>
  <si>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</si>
  <si>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</si>
  <si>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</si>
  <si>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</si>
  <si>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</si>
  <si>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</si>
  <si>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</si>
  <si>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</si>
  <si>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</si>
  <si>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</si>
  <si>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</si>
  <si>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</si>
  <si>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</si>
  <si>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</si>
  <si>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</si>
  <si>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</si>
  <si>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</si>
  <si>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</si>
  <si>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</si>
  <si>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</si>
  <si>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</si>
  <si>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</si>
  <si>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</si>
  <si>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</si>
  <si>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</si>
  <si>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</si>
  <si>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</si>
  <si>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</si>
  <si>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</si>
  <si>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</si>
  <si>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</si>
  <si>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</si>
  <si>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</si>
  <si>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</si>
  <si>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</si>
  <si>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</si>
  <si>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</si>
  <si>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</si>
  <si>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</si>
  <si>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</si>
  <si>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</si>
  <si>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</si>
  <si>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</si>
  <si>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</si>
  <si>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</si>
  <si>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</si>
  <si>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</si>
  <si>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</si>
  <si>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</si>
  <si>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</si>
  <si>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zdravotničtí asistenti</t>
  </si>
  <si>
    <t>sanitáři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</si>
  <si>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</si>
  <si>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</si>
  <si>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</si>
  <si>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</si>
  <si>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</si>
  <si>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</si>
  <si>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</si>
  <si>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</si>
  <si>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</si>
  <si>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</si>
  <si>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</si>
  <si>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</si>
  <si>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</si>
  <si>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všeobecné sestry bez dohl.</t>
  </si>
  <si>
    <t>všeobecné sestry bez dohl., spec.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</si>
  <si>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</si>
  <si>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</si>
  <si>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</si>
  <si>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</si>
  <si>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</si>
  <si>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</si>
  <si>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</si>
  <si>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</si>
  <si>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</si>
  <si>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</si>
  <si>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</si>
  <si>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</si>
  <si>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</si>
  <si>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</si>
  <si>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</si>
  <si>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</si>
  <si>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</si>
  <si>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</si>
  <si>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</si>
  <si>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</si>
  <si>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</si>
  <si>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Rozpočet výnosů pro rok 2017 je stanoven jako 100% skutečnosti referenčního období (2016)</t>
  </si>
  <si>
    <t>Rozdíl 2015</t>
  </si>
  <si>
    <t>Plnění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</si>
  <si>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</si>
  <si>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</si>
  <si>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</si>
  <si>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</si>
  <si>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</si>
  <si>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</si>
  <si>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</si>
  <si>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Oddělení centrální sterilizace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</si>
  <si>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</si>
  <si>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</si>
  <si>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</si>
  <si>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</si>
  <si>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</si>
  <si>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</si>
  <si>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 (LEK)</t>
  </si>
  <si>
    <t>50115     Zdravotnické prostředky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</si>
  <si>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</si>
  <si>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</si>
  <si>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</si>
  <si>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</si>
  <si>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</si>
  <si>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</si>
  <si>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</si>
  <si>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</si>
  <si>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</si>
  <si>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--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</si>
  <si>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</si>
  <si>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</si>
  <si>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</si>
  <si>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</si>
  <si>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</si>
  <si>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</si>
  <si>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</si>
  <si>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</si>
  <si>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</si>
  <si>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</si>
  <si>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</si>
  <si>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</si>
  <si>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</si>
  <si>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</si>
  <si>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</si>
  <si>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</si>
  <si>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</si>
  <si>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</si>
  <si>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</si>
  <si>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</si>
  <si>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</si>
  <si>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</si>
  <si>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</si>
  <si>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</si>
  <si>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</si>
  <si>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</si>
  <si>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</si>
  <si>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</si>
  <si>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</si>
  <si>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</si>
  <si>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</si>
  <si>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</si>
  <si>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</si>
  <si>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</si>
  <si>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</si>
  <si>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</si>
  <si>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</si>
  <si>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</si>
  <si>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</si>
  <si>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51808018     smluvní servis - OHM</t>
  </si>
  <si>
    <t>51808019     zkoušky - zaškol.zdrav.techn.(instrukce uživatelům 268/2014 Sb)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</si>
  <si>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</si>
  <si>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</si>
  <si>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</si>
  <si>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</si>
  <si>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</si>
  <si>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</si>
  <si>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</si>
  <si>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</si>
  <si>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</si>
  <si>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</si>
  <si>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</si>
  <si>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</si>
  <si>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</si>
  <si>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</si>
  <si>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</si>
  <si>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</si>
  <si>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</si>
  <si>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</si>
  <si>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</si>
  <si>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</si>
  <si>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54925     Ostatní výplaty fyzickým osobám(OPMČ)</t>
  </si>
  <si>
    <t>54925000     odškodn.-náhr.mzdy zam.(OPMČ)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</si>
  <si>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</si>
  <si>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</si>
  <si>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</si>
  <si>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</si>
  <si>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</si>
  <si>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</si>
  <si>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</si>
  <si>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</si>
  <si>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</si>
  <si>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</si>
  <si>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</si>
  <si>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</si>
  <si>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</si>
  <si>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</si>
  <si>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</si>
  <si>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55804     DDHM - výpočetní technika</t>
  </si>
  <si>
    <t>55804001     DDHM - výpočetní technika (sk.P_35)</t>
  </si>
  <si>
    <t>55805     DDHM - inventář</t>
  </si>
  <si>
    <t>55805002     DDHM - nábytek (sk.V_31)</t>
  </si>
  <si>
    <t>6     Účtová třída 6 - Výnosy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</si>
  <si>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</si>
  <si>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</si>
  <si>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</si>
  <si>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</si>
  <si>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</si>
  <si>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</si>
  <si>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64924449     ostatní provoz.sl.-hl.čin.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</si>
  <si>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</si>
  <si>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</si>
  <si>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</si>
  <si>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</si>
  <si>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</si>
  <si>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</si>
  <si>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</si>
  <si>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</si>
  <si>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</si>
  <si>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</si>
  <si>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</si>
  <si>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</si>
  <si>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</si>
  <si>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56</t>
  </si>
  <si>
    <t>COSS: Oddělení centrální sterilizace</t>
  </si>
  <si>
    <t/>
  </si>
  <si>
    <t>50113001 - léky - paušál (LEK)</t>
  </si>
  <si>
    <t>COSS: Oddělení centrální sterilizace Celkem</t>
  </si>
  <si>
    <t>SumaKL</t>
  </si>
  <si>
    <t>5693</t>
  </si>
  <si>
    <t>COSS: oddělení centrální sterilizace</t>
  </si>
  <si>
    <t>COSS: oddělení centrální sterilizace Celkem</t>
  </si>
  <si>
    <t>SumaNS</t>
  </si>
  <si>
    <t>mezeraNS</t>
  </si>
  <si>
    <t>5695</t>
  </si>
  <si>
    <t>COSS: OCS - detašované pracoviště Ortopedie</t>
  </si>
  <si>
    <t>COSS: OCS - detašované pracoviště Ortopedie Celkem</t>
  </si>
  <si>
    <t>léky - paušál (LEK)</t>
  </si>
  <si>
    <t>O</t>
  </si>
  <si>
    <t>KL AQUA PURIF. 1000G</t>
  </si>
  <si>
    <t>KL BENZINUM 900ml/ 600g</t>
  </si>
  <si>
    <t>UN 3295</t>
  </si>
  <si>
    <t>KL SOL.FORMALDEHYDI 3% 1 KG</t>
  </si>
  <si>
    <t>56 - Oddělení centrální sterilizace</t>
  </si>
  <si>
    <t>5693 - oddělení centrální sterilizace</t>
  </si>
  <si>
    <t>50115067 - ZPr - rukavice (Z532)</t>
  </si>
  <si>
    <t>5696</t>
  </si>
  <si>
    <t>COSS: OCS - detašované pracoviště  DK</t>
  </si>
  <si>
    <t>COSS: OCS - detašované pracoviště  DK Celkem</t>
  </si>
  <si>
    <t>50115067</t>
  </si>
  <si>
    <t>ZPr - rukavice (Z532)</t>
  </si>
  <si>
    <t>ZO468</t>
  </si>
  <si>
    <t>Rukavice nitril sempercare Safe+ Us-Hs prodloužené vel. L bal. 100 34438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</si>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</sst>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03">
    <xf numFmtId="0" fontId="0" fillId="0" borderId="0" xfId="0"/>
    <xf numFmtId="0" fontId="27" fillId="2" borderId="16" xfId="81" applyFont="1" applyFill="1" applyBorder="1"/>
    <xf numFmtId="0" fontId="28" fillId="2" borderId="17" xfId="81" applyFont="1" applyFill="1" applyBorder="1"/>
    <xf numFmtId="3" fontId="28" fillId="2" borderId="18" xfId="81" applyNumberFormat="1" applyFont="1" applyFill="1" applyBorder="1"/>
    <xf numFmtId="0" fontId="28" fillId="4" borderId="17" xfId="81" applyFont="1" applyFill="1" applyBorder="1"/>
    <xf numFmtId="3" fontId="28" fillId="4" borderId="18" xfId="81" applyNumberFormat="1" applyFont="1" applyFill="1" applyBorder="1"/>
    <xf numFmtId="171" fontId="28" fillId="3" borderId="18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8" xfId="81" applyNumberFormat="1" applyFont="1" applyFill="1" applyBorder="1"/>
    <xf numFmtId="3" fontId="27" fillId="5" borderId="24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6" xfId="81" applyNumberFormat="1" applyFont="1" applyFill="1" applyBorder="1"/>
    <xf numFmtId="3" fontId="28" fillId="2" borderId="19" xfId="81" applyNumberFormat="1" applyFont="1" applyFill="1" applyBorder="1"/>
    <xf numFmtId="3" fontId="28" fillId="4" borderId="26" xfId="81" applyNumberFormat="1" applyFont="1" applyFill="1" applyBorder="1"/>
    <xf numFmtId="3" fontId="28" fillId="4" borderId="19" xfId="81" applyNumberFormat="1" applyFont="1" applyFill="1" applyBorder="1"/>
    <xf numFmtId="171" fontId="28" fillId="3" borderId="26" xfId="81" applyNumberFormat="1" applyFont="1" applyFill="1" applyBorder="1"/>
    <xf numFmtId="171" fontId="28" fillId="3" borderId="19" xfId="81" applyNumberFormat="1" applyFont="1" applyFill="1" applyBorder="1"/>
    <xf numFmtId="0" fontId="31" fillId="2" borderId="24" xfId="81" applyFont="1" applyFill="1" applyBorder="1" applyAlignment="1">
      <alignment horizontal="center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5" xfId="82" applyFont="1" applyFill="1" applyBorder="1" applyAlignment="1"/>
    <xf numFmtId="0" fontId="29" fillId="0" borderId="0" xfId="49" applyFont="1" applyFill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50" xfId="0" applyFont="1" applyFill="1" applyBorder="1" applyAlignment="1"/>
    <xf numFmtId="0" fontId="32" fillId="0" borderId="24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3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1" fillId="0" borderId="28" xfId="53" applyNumberFormat="1" applyFont="1" applyFill="1" applyBorder="1"/>
    <xf numFmtId="3" fontId="31" fillId="0" borderId="24" xfId="53" applyNumberFormat="1" applyFont="1" applyFill="1" applyBorder="1"/>
    <xf numFmtId="0" fontId="31" fillId="2" borderId="39" xfId="74" applyFont="1" applyFill="1" applyBorder="1" applyAlignment="1">
      <alignment horizontal="center"/>
    </xf>
    <xf numFmtId="0" fontId="27" fillId="5" borderId="35" xfId="81" applyFont="1" applyFill="1" applyBorder="1"/>
    <xf numFmtId="0" fontId="31" fillId="2" borderId="22" xfId="81" applyFont="1" applyFill="1" applyBorder="1" applyAlignment="1">
      <alignment horizontal="center"/>
    </xf>
    <xf numFmtId="0" fontId="31" fillId="2" borderId="21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6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4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19" xfId="81" applyNumberFormat="1" applyFont="1" applyFill="1" applyBorder="1"/>
    <xf numFmtId="9" fontId="28" fillId="4" borderId="19" xfId="81" applyNumberFormat="1" applyFont="1" applyFill="1" applyBorder="1"/>
    <xf numFmtId="9" fontId="28" fillId="3" borderId="19" xfId="81" applyNumberFormat="1" applyFont="1" applyFill="1" applyBorder="1"/>
    <xf numFmtId="0" fontId="31" fillId="2" borderId="20" xfId="81" applyFont="1" applyFill="1" applyBorder="1" applyAlignment="1">
      <alignment horizontal="center"/>
    </xf>
    <xf numFmtId="0" fontId="32" fillId="0" borderId="0" xfId="0" applyFont="1" applyFill="1"/>
    <xf numFmtId="0" fontId="32" fillId="0" borderId="43" xfId="0" applyFont="1" applyFill="1" applyBorder="1" applyAlignment="1"/>
    <xf numFmtId="0" fontId="32" fillId="0" borderId="0" xfId="0" applyFont="1" applyFill="1" applyAlignment="1"/>
    <xf numFmtId="0" fontId="44" fillId="4" borderId="32" xfId="1" applyFont="1" applyFill="1" applyBorder="1"/>
    <xf numFmtId="0" fontId="44" fillId="4" borderId="16" xfId="1" applyFont="1" applyFill="1" applyBorder="1"/>
    <xf numFmtId="0" fontId="44" fillId="3" borderId="17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3" xfId="53" applyNumberFormat="1" applyFont="1" applyFill="1" applyBorder="1" applyAlignment="1">
      <alignment horizontal="right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48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4" xfId="0" applyNumberFormat="1" applyFont="1" applyFill="1" applyBorder="1"/>
    <xf numFmtId="3" fontId="39" fillId="2" borderId="45" xfId="0" applyNumberFormat="1" applyFont="1" applyFill="1" applyBorder="1"/>
    <xf numFmtId="9" fontId="39" fillId="2" borderId="49" xfId="0" applyNumberFormat="1" applyFont="1" applyFill="1" applyBorder="1"/>
    <xf numFmtId="0" fontId="48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6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4" fillId="2" borderId="33" xfId="1" applyFont="1" applyFill="1" applyBorder="1" applyAlignment="1">
      <alignment horizontal="left" indent="2"/>
    </xf>
    <xf numFmtId="0" fontId="48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8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8" fillId="4" borderId="46" xfId="1" applyFont="1" applyFill="1" applyBorder="1" applyAlignment="1">
      <alignment horizontal="left"/>
    </xf>
    <xf numFmtId="0" fontId="48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3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7" fillId="0" borderId="0" xfId="81" applyFont="1" applyFill="1"/>
    <xf numFmtId="0" fontId="49" fillId="0" borderId="35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3" fontId="0" fillId="7" borderId="53" xfId="0" applyNumberFormat="1" applyFont="1" applyFill="1" applyBorder="1"/>
    <xf numFmtId="3" fontId="51" fillId="8" borderId="54" xfId="0" applyNumberFormat="1" applyFont="1" applyFill="1" applyBorder="1"/>
    <xf numFmtId="3" fontId="51" fillId="8" borderId="53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0" fontId="39" fillId="2" borderId="58" xfId="0" applyFont="1" applyFill="1" applyBorder="1" applyAlignment="1">
      <alignment horizontal="center" vertical="center"/>
    </xf>
    <xf numFmtId="0" fontId="53" fillId="2" borderId="61" xfId="0" applyFont="1" applyFill="1" applyBorder="1" applyAlignment="1">
      <alignment horizontal="center" vertical="center" wrapText="1"/>
    </xf>
    <xf numFmtId="0" fontId="39" fillId="2" borderId="63" xfId="0" applyFont="1" applyFill="1" applyBorder="1" applyAlignment="1"/>
    <xf numFmtId="0" fontId="39" fillId="2" borderId="65" xfId="0" applyFont="1" applyFill="1" applyBorder="1" applyAlignment="1">
      <alignment horizontal="left" indent="1"/>
    </xf>
    <xf numFmtId="0" fontId="39" fillId="2" borderId="71" xfId="0" applyFont="1" applyFill="1" applyBorder="1" applyAlignment="1">
      <alignment horizontal="left" indent="1"/>
    </xf>
    <xf numFmtId="0" fontId="39" fillId="4" borderId="63" xfId="0" applyFont="1" applyFill="1" applyBorder="1" applyAlignment="1"/>
    <xf numFmtId="0" fontId="39" fillId="4" borderId="65" xfId="0" applyFont="1" applyFill="1" applyBorder="1" applyAlignment="1">
      <alignment horizontal="left" indent="1"/>
    </xf>
    <xf numFmtId="0" fontId="39" fillId="4" borderId="76" xfId="0" applyFont="1" applyFill="1" applyBorder="1" applyAlignment="1">
      <alignment horizontal="left" indent="1"/>
    </xf>
    <xf numFmtId="0" fontId="32" fillId="2" borderId="65" xfId="0" quotePrefix="1" applyFont="1" applyFill="1" applyBorder="1" applyAlignment="1">
      <alignment horizontal="left" indent="2"/>
    </xf>
    <xf numFmtId="0" fontId="32" fillId="2" borderId="71" xfId="0" quotePrefix="1" applyFont="1" applyFill="1" applyBorder="1" applyAlignment="1">
      <alignment horizontal="left" indent="2"/>
    </xf>
    <xf numFmtId="0" fontId="39" fillId="2" borderId="63" xfId="0" applyFont="1" applyFill="1" applyBorder="1" applyAlignment="1">
      <alignment horizontal="left" indent="1"/>
    </xf>
    <xf numFmtId="0" fontId="39" fillId="2" borderId="76" xfId="0" applyFont="1" applyFill="1" applyBorder="1" applyAlignment="1">
      <alignment horizontal="left" indent="1"/>
    </xf>
    <xf numFmtId="0" fontId="39" fillId="4" borderId="71" xfId="0" applyFont="1" applyFill="1" applyBorder="1" applyAlignment="1">
      <alignment horizontal="left" indent="1"/>
    </xf>
    <xf numFmtId="0" fontId="32" fillId="0" borderId="81" xfId="0" applyFont="1" applyBorder="1"/>
    <xf numFmtId="3" fontId="32" fillId="0" borderId="81" xfId="0" applyNumberFormat="1" applyFont="1" applyBorder="1"/>
    <xf numFmtId="0" fontId="39" fillId="4" borderId="55" xfId="0" applyFont="1" applyFill="1" applyBorder="1" applyAlignment="1">
      <alignment horizontal="center" vertical="center"/>
    </xf>
    <xf numFmtId="0" fontId="39" fillId="4" borderId="50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0" xfId="0" applyNumberFormat="1" applyFont="1" applyFill="1" applyBorder="1" applyAlignment="1">
      <alignment horizontal="center" vertical="center"/>
    </xf>
    <xf numFmtId="3" fontId="53" fillId="2" borderId="78" xfId="0" applyNumberFormat="1" applyFont="1" applyFill="1" applyBorder="1" applyAlignment="1">
      <alignment horizontal="center" vertical="center" wrapText="1"/>
    </xf>
    <xf numFmtId="173" fontId="39" fillId="4" borderId="64" xfId="0" applyNumberFormat="1" applyFont="1" applyFill="1" applyBorder="1" applyAlignment="1"/>
    <xf numFmtId="173" fontId="39" fillId="4" borderId="58" xfId="0" applyNumberFormat="1" applyFont="1" applyFill="1" applyBorder="1" applyAlignment="1"/>
    <xf numFmtId="173" fontId="39" fillId="0" borderId="66" xfId="0" applyNumberFormat="1" applyFont="1" applyBorder="1"/>
    <xf numFmtId="173" fontId="32" fillId="0" borderId="68" xfId="0" applyNumberFormat="1" applyFont="1" applyBorder="1"/>
    <xf numFmtId="173" fontId="39" fillId="0" borderId="77" xfId="0" applyNumberFormat="1" applyFont="1" applyBorder="1"/>
    <xf numFmtId="173" fontId="32" fillId="0" borderId="61" xfId="0" applyNumberFormat="1" applyFont="1" applyBorder="1"/>
    <xf numFmtId="173" fontId="39" fillId="2" borderId="79" xfId="0" applyNumberFormat="1" applyFont="1" applyFill="1" applyBorder="1" applyAlignment="1"/>
    <xf numFmtId="173" fontId="39" fillId="2" borderId="58" xfId="0" applyNumberFormat="1" applyFont="1" applyFill="1" applyBorder="1" applyAlignment="1"/>
    <xf numFmtId="173" fontId="39" fillId="0" borderId="72" xfId="0" applyNumberFormat="1" applyFont="1" applyBorder="1"/>
    <xf numFmtId="173" fontId="32" fillId="0" borderId="74" xfId="0" applyNumberFormat="1" applyFont="1" applyBorder="1"/>
    <xf numFmtId="174" fontId="39" fillId="2" borderId="64" xfId="0" applyNumberFormat="1" applyFont="1" applyFill="1" applyBorder="1" applyAlignment="1"/>
    <xf numFmtId="174" fontId="32" fillId="2" borderId="58" xfId="0" applyNumberFormat="1" applyFont="1" applyFill="1" applyBorder="1" applyAlignment="1"/>
    <xf numFmtId="174" fontId="39" fillId="0" borderId="66" xfId="0" applyNumberFormat="1" applyFont="1" applyBorder="1"/>
    <xf numFmtId="174" fontId="32" fillId="0" borderId="68" xfId="0" applyNumberFormat="1" applyFont="1" applyBorder="1"/>
    <xf numFmtId="174" fontId="39" fillId="0" borderId="72" xfId="0" applyNumberFormat="1" applyFont="1" applyBorder="1"/>
    <xf numFmtId="174" fontId="32" fillId="0" borderId="74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4" xfId="0" applyNumberFormat="1" applyFont="1" applyFill="1" applyBorder="1" applyAlignment="1">
      <alignment horizontal="center"/>
    </xf>
    <xf numFmtId="175" fontId="39" fillId="0" borderId="72" xfId="0" applyNumberFormat="1" applyFont="1" applyBorder="1"/>
    <xf numFmtId="0" fontId="31" fillId="2" borderId="84" xfId="74" applyFont="1" applyFill="1" applyBorder="1" applyAlignment="1">
      <alignment horizontal="center"/>
    </xf>
    <xf numFmtId="0" fontId="31" fillId="2" borderId="59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5" xfId="79" applyFont="1" applyFill="1" applyBorder="1" applyAlignment="1">
      <alignment horizontal="right"/>
    </xf>
    <xf numFmtId="9" fontId="32" fillId="0" borderId="26" xfId="0" applyNumberFormat="1" applyFont="1" applyFill="1" applyBorder="1"/>
    <xf numFmtId="9" fontId="32" fillId="0" borderId="19" xfId="0" applyNumberFormat="1" applyFont="1" applyFill="1" applyBorder="1"/>
    <xf numFmtId="9" fontId="32" fillId="0" borderId="27" xfId="0" applyNumberFormat="1" applyFont="1" applyFill="1" applyBorder="1"/>
    <xf numFmtId="3" fontId="6" fillId="0" borderId="18" xfId="78" applyNumberFormat="1" applyFont="1" applyFill="1" applyBorder="1" applyAlignment="1"/>
    <xf numFmtId="3" fontId="6" fillId="0" borderId="26" xfId="78" applyNumberFormat="1" applyFont="1" applyFill="1" applyBorder="1" applyAlignment="1"/>
    <xf numFmtId="3" fontId="6" fillId="0" borderId="19" xfId="78" applyNumberFormat="1" applyFont="1" applyFill="1" applyBorder="1" applyAlignment="1"/>
    <xf numFmtId="0" fontId="32" fillId="5" borderId="69" xfId="0" applyFont="1" applyFill="1" applyBorder="1"/>
    <xf numFmtId="0" fontId="32" fillId="0" borderId="70" xfId="0" applyFont="1" applyBorder="1" applyAlignment="1"/>
    <xf numFmtId="9" fontId="32" fillId="0" borderId="68" xfId="0" applyNumberFormat="1" applyFont="1" applyBorder="1" applyAlignment="1"/>
    <xf numFmtId="0" fontId="25" fillId="2" borderId="33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9" fontId="32" fillId="0" borderId="68" xfId="0" applyNumberFormat="1" applyFont="1" applyBorder="1"/>
    <xf numFmtId="49" fontId="37" fillId="2" borderId="68" xfId="0" quotePrefix="1" applyNumberFormat="1" applyFont="1" applyFill="1" applyBorder="1" applyAlignment="1">
      <alignment horizontal="center" vertical="center"/>
    </xf>
    <xf numFmtId="0" fontId="31" fillId="2" borderId="37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0" fillId="0" borderId="0" xfId="0" applyBorder="1"/>
    <xf numFmtId="0" fontId="31" fillId="2" borderId="23" xfId="74" applyFont="1" applyFill="1" applyBorder="1" applyAlignment="1">
      <alignment horizontal="center"/>
    </xf>
    <xf numFmtId="0" fontId="6" fillId="0" borderId="2" xfId="78" applyFont="1" applyFill="1" applyBorder="1" applyAlignment="1"/>
    <xf numFmtId="173" fontId="32" fillId="0" borderId="87" xfId="0" applyNumberFormat="1" applyFont="1" applyBorder="1"/>
    <xf numFmtId="3" fontId="32" fillId="0" borderId="0" xfId="0" applyNumberFormat="1" applyFont="1" applyBorder="1"/>
    <xf numFmtId="173" fontId="32" fillId="0" borderId="67" xfId="0" applyNumberFormat="1" applyFont="1" applyBorder="1" applyAlignment="1"/>
    <xf numFmtId="173" fontId="32" fillId="0" borderId="68" xfId="0" applyNumberFormat="1" applyFont="1" applyBorder="1" applyAlignment="1"/>
    <xf numFmtId="173" fontId="32" fillId="0" borderId="69" xfId="0" applyNumberFormat="1" applyFont="1" applyBorder="1" applyAlignment="1"/>
    <xf numFmtId="175" fontId="32" fillId="0" borderId="67" xfId="0" applyNumberFormat="1" applyFont="1" applyBorder="1" applyAlignment="1"/>
    <xf numFmtId="175" fontId="32" fillId="0" borderId="68" xfId="0" applyNumberFormat="1" applyFont="1" applyBorder="1" applyAlignment="1"/>
    <xf numFmtId="175" fontId="32" fillId="0" borderId="69" xfId="0" applyNumberFormat="1" applyFont="1" applyBorder="1" applyAlignment="1"/>
    <xf numFmtId="173" fontId="32" fillId="0" borderId="60" xfId="0" applyNumberFormat="1" applyFont="1" applyBorder="1" applyAlignment="1"/>
    <xf numFmtId="173" fontId="32" fillId="0" borderId="61" xfId="0" applyNumberFormat="1" applyFont="1" applyBorder="1" applyAlignment="1"/>
    <xf numFmtId="173" fontId="32" fillId="0" borderId="62" xfId="0" applyNumberFormat="1" applyFont="1" applyBorder="1" applyAlignment="1"/>
    <xf numFmtId="173" fontId="39" fillId="4" borderId="23" xfId="0" applyNumberFormat="1" applyFont="1" applyFill="1" applyBorder="1" applyAlignment="1">
      <alignment horizontal="center"/>
    </xf>
    <xf numFmtId="173" fontId="39" fillId="4" borderId="28" xfId="0" applyNumberFormat="1" applyFont="1" applyFill="1" applyBorder="1" applyAlignment="1">
      <alignment horizontal="center"/>
    </xf>
    <xf numFmtId="173" fontId="39" fillId="4" borderId="24" xfId="0" applyNumberFormat="1" applyFont="1" applyFill="1" applyBorder="1" applyAlignment="1">
      <alignment horizontal="center"/>
    </xf>
    <xf numFmtId="173" fontId="32" fillId="0" borderId="88" xfId="0" applyNumberFormat="1" applyFont="1" applyBorder="1"/>
    <xf numFmtId="9" fontId="32" fillId="0" borderId="65" xfId="0" applyNumberFormat="1" applyFont="1" applyBorder="1"/>
    <xf numFmtId="173" fontId="32" fillId="0" borderId="76" xfId="0" applyNumberFormat="1" applyFont="1" applyBorder="1"/>
    <xf numFmtId="0" fontId="0" fillId="0" borderId="1" xfId="0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173" fontId="39" fillId="0" borderId="17" xfId="0" applyNumberFormat="1" applyFont="1" applyBorder="1"/>
    <xf numFmtId="173" fontId="39" fillId="0" borderId="26" xfId="0" applyNumberFormat="1" applyFont="1" applyBorder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1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31" fillId="2" borderId="52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41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82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31" fillId="2" borderId="77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3" xfId="53" applyNumberFormat="1" applyFont="1" applyFill="1" applyBorder="1" applyAlignment="1">
      <alignment horizontal="right"/>
    </xf>
    <xf numFmtId="164" fontId="29" fillId="2" borderId="28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86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85" xfId="80" applyNumberFormat="1" applyFont="1" applyFill="1" applyBorder="1" applyAlignment="1">
      <alignment horizontal="left"/>
    </xf>
    <xf numFmtId="3" fontId="3" fillId="2" borderId="79" xfId="80" applyNumberFormat="1" applyFont="1" applyFill="1" applyBorder="1" applyAlignment="1">
      <alignment horizontal="left"/>
    </xf>
    <xf numFmtId="166" fontId="39" fillId="2" borderId="56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>
      <alignment horizontal="left"/>
    </xf>
    <xf numFmtId="3" fontId="33" fillId="9" borderId="90" xfId="0" applyNumberFormat="1" applyFont="1" applyFill="1" applyBorder="1" applyAlignment="1">
      <alignment horizontal="right" vertical="top"/>
    </xf>
    <xf numFmtId="3" fontId="33" fillId="9" borderId="91" xfId="0" applyNumberFormat="1" applyFont="1" applyFill="1" applyBorder="1" applyAlignment="1">
      <alignment horizontal="right" vertical="top"/>
    </xf>
    <xf numFmtId="176" fontId="33" fillId="9" borderId="92" xfId="0" applyNumberFormat="1" applyFont="1" applyFill="1" applyBorder="1" applyAlignment="1">
      <alignment horizontal="right" vertical="top"/>
    </xf>
    <xf numFmtId="3" fontId="33" fillId="0" borderId="90" xfId="0" applyNumberFormat="1" applyFont="1" applyBorder="1" applyAlignment="1">
      <alignment horizontal="right" vertical="top"/>
    </xf>
    <xf numFmtId="176" fontId="33" fillId="9" borderId="93" xfId="0" applyNumberFormat="1" applyFont="1" applyFill="1" applyBorder="1" applyAlignment="1">
      <alignment horizontal="right" vertical="top"/>
    </xf>
    <xf numFmtId="3" fontId="35" fillId="9" borderId="95" xfId="0" applyNumberFormat="1" applyFont="1" applyFill="1" applyBorder="1" applyAlignment="1">
      <alignment horizontal="right" vertical="top"/>
    </xf>
    <xf numFmtId="3" fontId="35" fillId="9" borderId="96" xfId="0" applyNumberFormat="1" applyFont="1" applyFill="1" applyBorder="1" applyAlignment="1">
      <alignment horizontal="right" vertical="top"/>
    </xf>
    <xf numFmtId="176" fontId="35" fillId="9" borderId="97" xfId="0" applyNumberFormat="1" applyFont="1" applyFill="1" applyBorder="1" applyAlignment="1">
      <alignment horizontal="right" vertical="top"/>
    </xf>
    <xf numFmtId="3" fontId="35" fillId="0" borderId="95" xfId="0" applyNumberFormat="1" applyFont="1" applyBorder="1" applyAlignment="1">
      <alignment horizontal="right" vertical="top"/>
    </xf>
    <xf numFmtId="176" fontId="35" fillId="9" borderId="98" xfId="0" applyNumberFormat="1" applyFont="1" applyFill="1" applyBorder="1" applyAlignment="1">
      <alignment horizontal="right" vertical="top"/>
    </xf>
    <xf numFmtId="0" fontId="33" fillId="9" borderId="92" xfId="0" applyFont="1" applyFill="1" applyBorder="1" applyAlignment="1">
      <alignment horizontal="right" vertical="top"/>
    </xf>
    <xf numFmtId="0" fontId="33" fillId="9" borderId="93" xfId="0" applyFont="1" applyFill="1" applyBorder="1" applyAlignment="1">
      <alignment horizontal="right" vertical="top"/>
    </xf>
    <xf numFmtId="0" fontId="35" fillId="9" borderId="97" xfId="0" applyFont="1" applyFill="1" applyBorder="1" applyAlignment="1">
      <alignment horizontal="right" vertical="top"/>
    </xf>
    <xf numFmtId="0" fontId="35" fillId="9" borderId="98" xfId="0" applyFont="1" applyFill="1" applyBorder="1" applyAlignment="1">
      <alignment horizontal="right" vertical="top"/>
    </xf>
    <xf numFmtId="3" fontId="35" fillId="0" borderId="99" xfId="0" applyNumberFormat="1" applyFont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176" fontId="35" fillId="9" borderId="102" xfId="0" applyNumberFormat="1" applyFont="1" applyFill="1" applyBorder="1" applyAlignment="1">
      <alignment horizontal="right" vertical="top"/>
    </xf>
    <xf numFmtId="0" fontId="37" fillId="10" borderId="89" xfId="0" applyFont="1" applyFill="1" applyBorder="1" applyAlignment="1">
      <alignment vertical="top"/>
    </xf>
    <xf numFmtId="0" fontId="37" fillId="10" borderId="89" xfId="0" applyFont="1" applyFill="1" applyBorder="1" applyAlignment="1">
      <alignment vertical="top" indent="2"/>
    </xf>
    <xf numFmtId="0" fontId="37" fillId="10" borderId="89" xfId="0" applyFont="1" applyFill="1" applyBorder="1" applyAlignment="1">
      <alignment vertical="top" indent="4"/>
    </xf>
    <xf numFmtId="0" fontId="38" fillId="10" borderId="94" xfId="0" applyFont="1" applyFill="1" applyBorder="1" applyAlignment="1">
      <alignment vertical="top" indent="6"/>
    </xf>
    <xf numFmtId="0" fontId="37" fillId="10" borderId="89" xfId="0" applyFont="1" applyFill="1" applyBorder="1" applyAlignment="1">
      <alignment vertical="top" indent="8"/>
    </xf>
    <xf numFmtId="0" fontId="38" fillId="10" borderId="94" xfId="0" applyFont="1" applyFill="1" applyBorder="1" applyAlignment="1">
      <alignment vertical="top" indent="2"/>
    </xf>
    <xf numFmtId="0" fontId="37" fillId="10" borderId="89" xfId="0" applyFont="1" applyFill="1" applyBorder="1" applyAlignment="1">
      <alignment vertical="top" indent="6"/>
    </xf>
    <xf numFmtId="0" fontId="38" fillId="10" borderId="94" xfId="0" applyFont="1" applyFill="1" applyBorder="1" applyAlignment="1">
      <alignment vertical="top" indent="4"/>
    </xf>
    <xf numFmtId="0" fontId="32" fillId="10" borderId="89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03" xfId="53" applyNumberFormat="1" applyFont="1" applyFill="1" applyBorder="1" applyAlignment="1">
      <alignment horizontal="left"/>
    </xf>
    <xf numFmtId="164" fontId="31" fillId="2" borderId="104" xfId="53" applyNumberFormat="1" applyFont="1" applyFill="1" applyBorder="1" applyAlignment="1">
      <alignment horizontal="left"/>
    </xf>
    <xf numFmtId="0" fontId="31" fillId="2" borderId="104" xfId="53" applyNumberFormat="1" applyFont="1" applyFill="1" applyBorder="1" applyAlignment="1">
      <alignment horizontal="left"/>
    </xf>
    <xf numFmtId="164" fontId="31" fillId="2" borderId="47" xfId="53" applyNumberFormat="1" applyFont="1" applyFill="1" applyBorder="1" applyAlignment="1">
      <alignment horizontal="left"/>
    </xf>
    <xf numFmtId="3" fontId="31" fillId="2" borderId="47" xfId="53" applyNumberFormat="1" applyFont="1" applyFill="1" applyBorder="1" applyAlignment="1">
      <alignment horizontal="left"/>
    </xf>
    <xf numFmtId="3" fontId="31" fillId="2" borderId="51" xfId="53" applyNumberFormat="1" applyFont="1" applyFill="1" applyBorder="1" applyAlignment="1">
      <alignment horizontal="left"/>
    </xf>
    <xf numFmtId="0" fontId="32" fillId="0" borderId="57" xfId="0" applyFont="1" applyFill="1" applyBorder="1"/>
    <xf numFmtId="0" fontId="32" fillId="0" borderId="58" xfId="0" applyFont="1" applyFill="1" applyBorder="1"/>
    <xf numFmtId="164" fontId="32" fillId="0" borderId="58" xfId="0" applyNumberFormat="1" applyFont="1" applyFill="1" applyBorder="1"/>
    <xf numFmtId="164" fontId="32" fillId="0" borderId="58" xfId="0" applyNumberFormat="1" applyFont="1" applyFill="1" applyBorder="1" applyAlignment="1">
      <alignment horizontal="right"/>
    </xf>
    <xf numFmtId="0" fontId="32" fillId="0" borderId="58" xfId="0" applyNumberFormat="1" applyFont="1" applyFill="1" applyBorder="1"/>
    <xf numFmtId="3" fontId="32" fillId="0" borderId="58" xfId="0" applyNumberFormat="1" applyFont="1" applyFill="1" applyBorder="1"/>
    <xf numFmtId="3" fontId="32" fillId="0" borderId="59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0" fontId="32" fillId="0" borderId="68" xfId="0" applyNumberFormat="1" applyFont="1" applyFill="1" applyBorder="1"/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0" borderId="60" xfId="0" applyFont="1" applyFill="1" applyBorder="1"/>
    <xf numFmtId="0" fontId="32" fillId="0" borderId="61" xfId="0" applyFont="1" applyFill="1" applyBorder="1"/>
    <xf numFmtId="164" fontId="32" fillId="0" borderId="61" xfId="0" applyNumberFormat="1" applyFont="1" applyFill="1" applyBorder="1"/>
    <xf numFmtId="164" fontId="32" fillId="0" borderId="61" xfId="0" applyNumberFormat="1" applyFont="1" applyFill="1" applyBorder="1" applyAlignment="1">
      <alignment horizontal="right"/>
    </xf>
    <xf numFmtId="0" fontId="32" fillId="0" borderId="61" xfId="0" applyNumberFormat="1" applyFont="1" applyFill="1" applyBorder="1"/>
    <xf numFmtId="3" fontId="32" fillId="0" borderId="61" xfId="0" applyNumberFormat="1" applyFont="1" applyFill="1" applyBorder="1"/>
    <xf numFmtId="3" fontId="32" fillId="0" borderId="62" xfId="0" applyNumberFormat="1" applyFont="1" applyFill="1" applyBorder="1"/>
    <xf numFmtId="0" fontId="3" fillId="2" borderId="103" xfId="79" applyFont="1" applyFill="1" applyBorder="1" applyAlignment="1">
      <alignment horizontal="left"/>
    </xf>
    <xf numFmtId="3" fontId="3" fillId="2" borderId="74" xfId="80" applyNumberFormat="1" applyFont="1" applyFill="1" applyBorder="1"/>
    <xf numFmtId="3" fontId="3" fillId="2" borderId="75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9" fontId="3" fillId="2" borderId="75" xfId="80" applyNumberFormat="1" applyFont="1" applyFill="1" applyBorder="1"/>
    <xf numFmtId="9" fontId="32" fillId="0" borderId="58" xfId="0" applyNumberFormat="1" applyFont="1" applyFill="1" applyBorder="1"/>
    <xf numFmtId="9" fontId="32" fillId="0" borderId="59" xfId="0" applyNumberFormat="1" applyFont="1" applyFill="1" applyBorder="1"/>
    <xf numFmtId="9" fontId="32" fillId="0" borderId="61" xfId="0" applyNumberFormat="1" applyFont="1" applyFill="1" applyBorder="1"/>
    <xf numFmtId="9" fontId="32" fillId="0" borderId="62" xfId="0" applyNumberFormat="1" applyFont="1" applyFill="1" applyBorder="1"/>
    <xf numFmtId="0" fontId="39" fillId="0" borderId="84" xfId="0" applyFont="1" applyFill="1" applyBorder="1"/>
    <xf numFmtId="0" fontId="39" fillId="0" borderId="83" xfId="0" applyFont="1" applyFill="1" applyBorder="1" applyAlignment="1">
      <alignment horizontal="left" indent="1"/>
    </xf>
    <xf numFmtId="9" fontId="32" fillId="0" borderId="80" xfId="0" applyNumberFormat="1" applyFont="1" applyFill="1" applyBorder="1"/>
    <xf numFmtId="9" fontId="32" fillId="0" borderId="78" xfId="0" applyNumberFormat="1" applyFont="1" applyFill="1" applyBorder="1"/>
    <xf numFmtId="3" fontId="32" fillId="0" borderId="57" xfId="0" applyNumberFormat="1" applyFont="1" applyFill="1" applyBorder="1"/>
    <xf numFmtId="3" fontId="32" fillId="0" borderId="60" xfId="0" applyNumberFormat="1" applyFont="1" applyFill="1" applyBorder="1"/>
    <xf numFmtId="9" fontId="32" fillId="0" borderId="105" xfId="0" applyNumberFormat="1" applyFont="1" applyFill="1" applyBorder="1"/>
    <xf numFmtId="9" fontId="32" fillId="0" borderId="106" xfId="0" applyNumberFormat="1" applyFont="1" applyFill="1" applyBorder="1"/>
    <xf numFmtId="0" fontId="32" fillId="0" borderId="18" xfId="0" applyFont="1" applyFill="1" applyBorder="1"/>
    <xf numFmtId="0" fontId="32" fillId="0" borderId="26" xfId="0" applyFont="1" applyFill="1" applyBorder="1"/>
    <xf numFmtId="164" fontId="32" fillId="0" borderId="26" xfId="0" applyNumberFormat="1" applyFont="1" applyFill="1" applyBorder="1"/>
    <xf numFmtId="164" fontId="32" fillId="0" borderId="26" xfId="0" applyNumberFormat="1" applyFont="1" applyFill="1" applyBorder="1" applyAlignment="1">
      <alignment horizontal="right"/>
    </xf>
    <xf numFmtId="3" fontId="32" fillId="0" borderId="26" xfId="0" applyNumberFormat="1" applyFont="1" applyFill="1" applyBorder="1"/>
    <xf numFmtId="3" fontId="32" fillId="0" borderId="19" xfId="0" applyNumberFormat="1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5" bestFit="1" customWidth="1"/>
    <col min="2" max="2" width="102.21875" style="95" bestFit="1" customWidth="1"/>
    <col min="3" max="3" width="16.109375" style="42" hidden="1" customWidth="1"/>
    <col min="4" max="16384" width="8.88671875" style="95"/>
  </cols>
  <sheetData>
    <row r="1" spans="1:3" ht="18.600000000000001" customHeight="1" thickBot="1" x14ac:dyDescent="0.4">
      <c r="A1" s="271" t="s">
        <v>63</v>
      </c>
      <c r="B1" s="271"/>
    </row>
    <row r="2" spans="1:3" ht="14.4" customHeight="1" thickBot="1" x14ac:dyDescent="0.35">
      <c r="A2" s="173" t="s">
        <v>178</v>
      </c>
      <c r="B2" s="41"/>
    </row>
    <row r="3" spans="1:3" ht="14.4" customHeight="1" thickBot="1" x14ac:dyDescent="0.35">
      <c r="A3" s="267" t="s">
        <v>79</v>
      </c>
      <c r="B3" s="268"/>
    </row>
    <row r="4" spans="1:3" ht="14.4" customHeight="1" x14ac:dyDescent="0.3">
      <c r="A4" s="108" t="str">
        <f t="shared" ref="A4:A7" si="0">HYPERLINK("#'"&amp;C4&amp;"'!A1",C4)</f>
        <v>Motivace</v>
      </c>
      <c r="B4" s="61" t="s">
        <v>73</v>
      </c>
      <c r="C4" s="42" t="s">
        <v>74</v>
      </c>
    </row>
    <row r="5" spans="1:3" ht="14.4" customHeight="1" x14ac:dyDescent="0.3">
      <c r="A5" s="109" t="str">
        <f t="shared" si="0"/>
        <v>HI</v>
      </c>
      <c r="B5" s="62" t="s">
        <v>76</v>
      </c>
      <c r="C5" s="42" t="s">
        <v>66</v>
      </c>
    </row>
    <row r="6" spans="1:3" ht="14.4" customHeight="1" x14ac:dyDescent="0.3">
      <c r="A6" s="110" t="str">
        <f t="shared" si="0"/>
        <v>Man Tab</v>
      </c>
      <c r="B6" s="63" t="s">
        <v>180</v>
      </c>
      <c r="C6" s="42" t="s">
        <v>67</v>
      </c>
    </row>
    <row r="7" spans="1:3" ht="14.4" customHeight="1" thickBot="1" x14ac:dyDescent="0.35">
      <c r="A7" s="111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69" t="s">
        <v>64</v>
      </c>
      <c r="B9" s="268"/>
    </row>
    <row r="10" spans="1:3" ht="14.4" customHeight="1" x14ac:dyDescent="0.3">
      <c r="A10" s="112" t="str">
        <f t="shared" ref="A10" si="1">HYPERLINK("#'"&amp;C10&amp;"'!A1",C10)</f>
        <v>Léky Žádanky</v>
      </c>
      <c r="B10" s="62" t="s">
        <v>77</v>
      </c>
      <c r="C10" s="42" t="s">
        <v>68</v>
      </c>
    </row>
    <row r="11" spans="1:3" ht="14.4" customHeight="1" x14ac:dyDescent="0.3">
      <c r="A11" s="110" t="str">
        <f t="shared" ref="A11:A15" si="2">HYPERLINK("#'"&amp;C11&amp;"'!A1",C11)</f>
        <v>LŽ Detail</v>
      </c>
      <c r="B11" s="63" t="s">
        <v>93</v>
      </c>
      <c r="C11" s="42" t="s">
        <v>69</v>
      </c>
    </row>
    <row r="12" spans="1:3" ht="14.4" customHeight="1" x14ac:dyDescent="0.3">
      <c r="A12" s="110" t="str">
        <f t="shared" si="2"/>
        <v>LŽ Statim</v>
      </c>
      <c r="B12" s="233" t="s">
        <v>133</v>
      </c>
      <c r="C12" s="42" t="s">
        <v>143</v>
      </c>
    </row>
    <row r="13" spans="1:3" ht="14.4" customHeight="1" x14ac:dyDescent="0.3">
      <c r="A13" s="112" t="str">
        <f t="shared" ref="A13" si="3">HYPERLINK("#'"&amp;C13&amp;"'!A1",C13)</f>
        <v>Materiál Žádanky</v>
      </c>
      <c r="B13" s="63" t="s">
        <v>78</v>
      </c>
      <c r="C13" s="42" t="s">
        <v>70</v>
      </c>
    </row>
    <row r="14" spans="1:3" ht="14.4" customHeight="1" x14ac:dyDescent="0.3">
      <c r="A14" s="110" t="str">
        <f t="shared" si="2"/>
        <v>MŽ Detail</v>
      </c>
      <c r="B14" s="63" t="s">
        <v>330</v>
      </c>
      <c r="C14" s="42" t="s">
        <v>71</v>
      </c>
    </row>
    <row r="15" spans="1:3" ht="14.4" customHeight="1" thickBot="1" x14ac:dyDescent="0.35">
      <c r="A15" s="112" t="str">
        <f t="shared" si="2"/>
        <v>Osobní náklady</v>
      </c>
      <c r="B15" s="63" t="s">
        <v>61</v>
      </c>
      <c r="C15" s="42" t="s">
        <v>72</v>
      </c>
    </row>
    <row r="16" spans="1:3" ht="14.4" customHeight="1" thickBot="1" x14ac:dyDescent="0.35">
      <c r="A16" s="66"/>
      <c r="B16" s="66"/>
    </row>
    <row r="17" spans="1:2" ht="14.4" customHeight="1" thickBot="1" x14ac:dyDescent="0.35">
      <c r="A17" s="270" t="s">
        <v>65</v>
      </c>
      <c r="B17" s="268"/>
    </row>
  </sheetData>
  <mergeCells count="4">
    <mergeCell ref="A3:B3"/>
    <mergeCell ref="A9:B9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5" hidden="1" customWidth="1" outlineLevel="1"/>
    <col min="2" max="2" width="28.33203125" style="95" hidden="1" customWidth="1" outlineLevel="1"/>
    <col min="3" max="3" width="5.33203125" style="163" bestFit="1" customWidth="1" collapsed="1"/>
    <col min="4" max="4" width="18.77734375" style="167" customWidth="1"/>
    <col min="5" max="5" width="9" style="163" bestFit="1" customWidth="1"/>
    <col min="6" max="6" width="18.77734375" style="167" customWidth="1"/>
    <col min="7" max="7" width="12.44140625" style="163" hidden="1" customWidth="1" outlineLevel="1"/>
    <col min="8" max="8" width="25.77734375" style="163" customWidth="1" collapsed="1"/>
    <col min="9" max="9" width="7.77734375" style="161" customWidth="1"/>
    <col min="10" max="10" width="10" style="161" customWidth="1"/>
    <col min="11" max="11" width="11.109375" style="161" customWidth="1"/>
    <col min="12" max="16384" width="8.88671875" style="95"/>
  </cols>
  <sheetData>
    <row r="1" spans="1:11" ht="18.600000000000001" customHeight="1" thickBot="1" x14ac:dyDescent="0.4">
      <c r="A1" s="308" t="s">
        <v>330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</row>
    <row r="2" spans="1:11" ht="14.4" customHeight="1" thickBot="1" x14ac:dyDescent="0.35">
      <c r="A2" s="173" t="s">
        <v>178</v>
      </c>
      <c r="B2" s="57"/>
      <c r="C2" s="165"/>
      <c r="D2" s="165"/>
      <c r="E2" s="165"/>
      <c r="F2" s="165"/>
      <c r="G2" s="165"/>
      <c r="H2" s="165"/>
      <c r="I2" s="166"/>
      <c r="J2" s="166"/>
      <c r="K2" s="166"/>
    </row>
    <row r="3" spans="1:11" ht="14.4" customHeight="1" thickBot="1" x14ac:dyDescent="0.35">
      <c r="A3" s="57"/>
      <c r="B3" s="57"/>
      <c r="C3" s="304"/>
      <c r="D3" s="305"/>
      <c r="E3" s="305"/>
      <c r="F3" s="305"/>
      <c r="G3" s="305"/>
      <c r="H3" s="107" t="s">
        <v>75</v>
      </c>
      <c r="I3" s="71">
        <f>IF(J3&lt;&gt;0,K3/J3,0)</f>
        <v>1.8149999999999999</v>
      </c>
      <c r="J3" s="71">
        <f>SUBTOTAL(9,J5:J1048576)</f>
        <v>2000</v>
      </c>
      <c r="K3" s="72">
        <f>SUBTOTAL(9,K5:K1048576)</f>
        <v>3630</v>
      </c>
    </row>
    <row r="4" spans="1:11" s="162" customFormat="1" ht="14.4" customHeight="1" thickBot="1" x14ac:dyDescent="0.35">
      <c r="A4" s="352" t="s">
        <v>3</v>
      </c>
      <c r="B4" s="353" t="s">
        <v>4</v>
      </c>
      <c r="C4" s="353" t="s">
        <v>0</v>
      </c>
      <c r="D4" s="353" t="s">
        <v>5</v>
      </c>
      <c r="E4" s="353" t="s">
        <v>6</v>
      </c>
      <c r="F4" s="353" t="s">
        <v>1</v>
      </c>
      <c r="G4" s="353" t="s">
        <v>54</v>
      </c>
      <c r="H4" s="355" t="s">
        <v>10</v>
      </c>
      <c r="I4" s="356" t="s">
        <v>81</v>
      </c>
      <c r="J4" s="356" t="s">
        <v>12</v>
      </c>
      <c r="K4" s="357" t="s">
        <v>89</v>
      </c>
    </row>
    <row r="5" spans="1:11" ht="14.4" customHeight="1" thickBot="1" x14ac:dyDescent="0.35">
      <c r="A5" s="397" t="s">
        <v>300</v>
      </c>
      <c r="B5" s="398" t="s">
        <v>301</v>
      </c>
      <c r="C5" s="399" t="s">
        <v>306</v>
      </c>
      <c r="D5" s="400" t="s">
        <v>307</v>
      </c>
      <c r="E5" s="399" t="s">
        <v>326</v>
      </c>
      <c r="F5" s="400" t="s">
        <v>327</v>
      </c>
      <c r="G5" s="399" t="s">
        <v>328</v>
      </c>
      <c r="H5" s="399" t="s">
        <v>329</v>
      </c>
      <c r="I5" s="401">
        <v>1.8200000524520874</v>
      </c>
      <c r="J5" s="401">
        <v>2000</v>
      </c>
      <c r="K5" s="402">
        <v>3630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7" ht="18.600000000000001" thickBot="1" x14ac:dyDescent="0.4">
      <c r="A1" s="318" t="s">
        <v>61</v>
      </c>
      <c r="B1" s="318"/>
      <c r="C1" s="262"/>
      <c r="D1" s="262"/>
      <c r="E1" s="262"/>
      <c r="F1" s="262"/>
      <c r="G1" s="242"/>
    </row>
    <row r="2" spans="1:7" ht="15" thickBot="1" x14ac:dyDescent="0.35">
      <c r="A2" s="173" t="s">
        <v>178</v>
      </c>
      <c r="B2" s="174"/>
      <c r="C2" s="174"/>
      <c r="D2" s="174"/>
      <c r="E2" s="174"/>
      <c r="G2" s="242"/>
    </row>
    <row r="3" spans="1:7" x14ac:dyDescent="0.3">
      <c r="A3" s="190" t="s">
        <v>124</v>
      </c>
      <c r="B3" s="316" t="s">
        <v>108</v>
      </c>
      <c r="C3" s="193">
        <v>303</v>
      </c>
      <c r="D3" s="193">
        <v>304</v>
      </c>
      <c r="E3" s="175">
        <v>629</v>
      </c>
      <c r="F3" s="175">
        <v>642</v>
      </c>
      <c r="G3" s="242"/>
    </row>
    <row r="4" spans="1:7" ht="24.6" outlineLevel="1" thickBot="1" x14ac:dyDescent="0.35">
      <c r="A4" s="191">
        <v>2017</v>
      </c>
      <c r="B4" s="317"/>
      <c r="C4" s="194" t="s">
        <v>145</v>
      </c>
      <c r="D4" s="194" t="s">
        <v>146</v>
      </c>
      <c r="E4" s="176" t="s">
        <v>130</v>
      </c>
      <c r="F4" s="176" t="s">
        <v>131</v>
      </c>
      <c r="G4" s="242"/>
    </row>
    <row r="5" spans="1:7" x14ac:dyDescent="0.3">
      <c r="A5" s="177" t="s">
        <v>109</v>
      </c>
      <c r="B5" s="205"/>
      <c r="C5" s="206"/>
      <c r="D5" s="206"/>
      <c r="E5" s="206"/>
      <c r="F5" s="206"/>
      <c r="G5" s="242"/>
    </row>
    <row r="6" spans="1:7" ht="15" collapsed="1" thickBot="1" x14ac:dyDescent="0.35">
      <c r="A6" s="178" t="s">
        <v>55</v>
      </c>
      <c r="B6" s="207">
        <f xml:space="preserve">
TRUNC(IF($A$4&lt;=12,SUMIFS('ON Data'!F:F,'ON Data'!$D:$D,$A$4,'ON Data'!$E:$E,1),SUMIFS('ON Data'!F:F,'ON Data'!$E:$E,1)/'ON Data'!$D$3),1)</f>
        <v>32.799999999999997</v>
      </c>
      <c r="C6" s="208">
        <f xml:space="preserve">
TRUNC(IF($A$4&lt;=12,SUMIFS('ON Data'!Q:Q,'ON Data'!$D:$D,$A$4,'ON Data'!$E:$E,1),SUMIFS('ON Data'!Q:Q,'ON Data'!$E:$E,1)/'ON Data'!$D$3),1)</f>
        <v>10.7</v>
      </c>
      <c r="D6" s="208">
        <f xml:space="preserve">
TRUNC(IF($A$4&lt;=12,SUMIFS('ON Data'!R:R,'ON Data'!$D:$D,$A$4,'ON Data'!$E:$E,1),SUMIFS('ON Data'!R:R,'ON Data'!$E:$E,1)/'ON Data'!$D$3),1)</f>
        <v>5</v>
      </c>
      <c r="E6" s="208">
        <f xml:space="preserve">
TRUNC(IF($A$4&lt;=12,SUMIFS('ON Data'!AO:AO,'ON Data'!$D:$D,$A$4,'ON Data'!$E:$E,1),SUMIFS('ON Data'!AO:AO,'ON Data'!$E:$E,1)/'ON Data'!$D$3),1)</f>
        <v>5.2</v>
      </c>
      <c r="F6" s="208">
        <f xml:space="preserve">
TRUNC(IF($A$4&lt;=12,SUMIFS('ON Data'!AT:AT,'ON Data'!$D:$D,$A$4,'ON Data'!$E:$E,1),SUMIFS('ON Data'!AT:AT,'ON Data'!$E:$E,1)/'ON Data'!$D$3),1)</f>
        <v>11.8</v>
      </c>
      <c r="G6" s="242"/>
    </row>
    <row r="7" spans="1:7" ht="15" hidden="1" outlineLevel="1" thickBot="1" x14ac:dyDescent="0.35">
      <c r="A7" s="178" t="s">
        <v>62</v>
      </c>
      <c r="B7" s="207"/>
      <c r="C7" s="208"/>
      <c r="D7" s="208"/>
      <c r="E7" s="208"/>
      <c r="F7" s="208"/>
      <c r="G7" s="242"/>
    </row>
    <row r="8" spans="1:7" ht="15" hidden="1" outlineLevel="1" thickBot="1" x14ac:dyDescent="0.35">
      <c r="A8" s="178" t="s">
        <v>57</v>
      </c>
      <c r="B8" s="207"/>
      <c r="C8" s="208"/>
      <c r="D8" s="208"/>
      <c r="E8" s="208"/>
      <c r="F8" s="208"/>
      <c r="G8" s="242"/>
    </row>
    <row r="9" spans="1:7" ht="15" hidden="1" outlineLevel="1" thickBot="1" x14ac:dyDescent="0.35">
      <c r="A9" s="179" t="s">
        <v>52</v>
      </c>
      <c r="B9" s="209"/>
      <c r="C9" s="210"/>
      <c r="D9" s="210"/>
      <c r="E9" s="210"/>
      <c r="F9" s="210"/>
      <c r="G9" s="242"/>
    </row>
    <row r="10" spans="1:7" x14ac:dyDescent="0.3">
      <c r="A10" s="180" t="s">
        <v>110</v>
      </c>
      <c r="B10" s="195"/>
      <c r="C10" s="196"/>
      <c r="D10" s="196"/>
      <c r="E10" s="196"/>
      <c r="F10" s="196"/>
      <c r="G10" s="242"/>
    </row>
    <row r="11" spans="1:7" x14ac:dyDescent="0.3">
      <c r="A11" s="181" t="s">
        <v>111</v>
      </c>
      <c r="B11" s="197">
        <f xml:space="preserve">
IF($A$4&lt;=12,SUMIFS('ON Data'!F:F,'ON Data'!$D:$D,$A$4,'ON Data'!$E:$E,2),SUMIFS('ON Data'!F:F,'ON Data'!$E:$E,2))</f>
        <v>19088.75</v>
      </c>
      <c r="C11" s="198">
        <f xml:space="preserve">
IF($A$4&lt;=12,SUMIFS('ON Data'!Q:Q,'ON Data'!$D:$D,$A$4,'ON Data'!$E:$E,2),SUMIFS('ON Data'!Q:Q,'ON Data'!$E:$E,2))</f>
        <v>6474.75</v>
      </c>
      <c r="D11" s="198">
        <f xml:space="preserve">
IF($A$4&lt;=12,SUMIFS('ON Data'!R:R,'ON Data'!$D:$D,$A$4,'ON Data'!$E:$E,2),SUMIFS('ON Data'!R:R,'ON Data'!$E:$E,2))</f>
        <v>3211.75</v>
      </c>
      <c r="E11" s="198">
        <f xml:space="preserve">
IF($A$4&lt;=12,SUMIFS('ON Data'!AO:AO,'ON Data'!$D:$D,$A$4,'ON Data'!$E:$E,2),SUMIFS('ON Data'!AO:AO,'ON Data'!$E:$E,2))</f>
        <v>2928</v>
      </c>
      <c r="F11" s="198">
        <f xml:space="preserve">
IF($A$4&lt;=12,SUMIFS('ON Data'!AT:AT,'ON Data'!$D:$D,$A$4,'ON Data'!$E:$E,2),SUMIFS('ON Data'!AT:AT,'ON Data'!$E:$E,2))</f>
        <v>6474.25</v>
      </c>
      <c r="G11" s="242"/>
    </row>
    <row r="12" spans="1:7" x14ac:dyDescent="0.3">
      <c r="A12" s="181" t="s">
        <v>112</v>
      </c>
      <c r="B12" s="197">
        <f xml:space="preserve">
IF($A$4&lt;=12,SUMIFS('ON Data'!F:F,'ON Data'!$D:$D,$A$4,'ON Data'!$E:$E,3),SUMIFS('ON Data'!F:F,'ON Data'!$E:$E,3))</f>
        <v>0</v>
      </c>
      <c r="C12" s="198">
        <f xml:space="preserve">
IF($A$4&lt;=12,SUMIFS('ON Data'!Q:Q,'ON Data'!$D:$D,$A$4,'ON Data'!$E:$E,3),SUMIFS('ON Data'!Q:Q,'ON Data'!$E:$E,3))</f>
        <v>0</v>
      </c>
      <c r="D12" s="198">
        <f xml:space="preserve">
IF($A$4&lt;=12,SUMIFS('ON Data'!R:R,'ON Data'!$D:$D,$A$4,'ON Data'!$E:$E,3),SUMIFS('ON Data'!R:R,'ON Data'!$E:$E,3))</f>
        <v>0</v>
      </c>
      <c r="E12" s="198">
        <f xml:space="preserve">
IF($A$4&lt;=12,SUMIFS('ON Data'!AO:AO,'ON Data'!$D:$D,$A$4,'ON Data'!$E:$E,3),SUMIFS('ON Data'!AO:AO,'ON Data'!$E:$E,3))</f>
        <v>0</v>
      </c>
      <c r="F12" s="198">
        <f xml:space="preserve">
IF($A$4&lt;=12,SUMIFS('ON Data'!AT:AT,'ON Data'!$D:$D,$A$4,'ON Data'!$E:$E,3),SUMIFS('ON Data'!AT:AT,'ON Data'!$E:$E,3))</f>
        <v>0</v>
      </c>
      <c r="G12" s="242"/>
    </row>
    <row r="13" spans="1:7" x14ac:dyDescent="0.3">
      <c r="A13" s="181" t="s">
        <v>119</v>
      </c>
      <c r="B13" s="197">
        <f xml:space="preserve">
IF($A$4&lt;=12,SUMIFS('ON Data'!F:F,'ON Data'!$D:$D,$A$4,'ON Data'!$E:$E,4),SUMIFS('ON Data'!F:F,'ON Data'!$E:$E,4))</f>
        <v>0</v>
      </c>
      <c r="C13" s="198">
        <f xml:space="preserve">
IF($A$4&lt;=12,SUMIFS('ON Data'!Q:Q,'ON Data'!$D:$D,$A$4,'ON Data'!$E:$E,4),SUMIFS('ON Data'!Q:Q,'ON Data'!$E:$E,4))</f>
        <v>0</v>
      </c>
      <c r="D13" s="198">
        <f xml:space="preserve">
IF($A$4&lt;=12,SUMIFS('ON Data'!R:R,'ON Data'!$D:$D,$A$4,'ON Data'!$E:$E,4),SUMIFS('ON Data'!R:R,'ON Data'!$E:$E,4))</f>
        <v>0</v>
      </c>
      <c r="E13" s="198">
        <f xml:space="preserve">
IF($A$4&lt;=12,SUMIFS('ON Data'!AO:AO,'ON Data'!$D:$D,$A$4,'ON Data'!$E:$E,4),SUMIFS('ON Data'!AO:AO,'ON Data'!$E:$E,4))</f>
        <v>0</v>
      </c>
      <c r="F13" s="198">
        <f xml:space="preserve">
IF($A$4&lt;=12,SUMIFS('ON Data'!AT:AT,'ON Data'!$D:$D,$A$4,'ON Data'!$E:$E,4),SUMIFS('ON Data'!AT:AT,'ON Data'!$E:$E,4))</f>
        <v>0</v>
      </c>
      <c r="G13" s="242"/>
    </row>
    <row r="14" spans="1:7" ht="15" thickBot="1" x14ac:dyDescent="0.35">
      <c r="A14" s="182" t="s">
        <v>113</v>
      </c>
      <c r="B14" s="199">
        <f xml:space="preserve">
IF($A$4&lt;=12,SUMIFS('ON Data'!F:F,'ON Data'!$D:$D,$A$4,'ON Data'!$E:$E,5),SUMIFS('ON Data'!F:F,'ON Data'!$E:$E,5))</f>
        <v>0</v>
      </c>
      <c r="C14" s="200">
        <f xml:space="preserve">
IF($A$4&lt;=12,SUMIFS('ON Data'!Q:Q,'ON Data'!$D:$D,$A$4,'ON Data'!$E:$E,5),SUMIFS('ON Data'!Q:Q,'ON Data'!$E:$E,5))</f>
        <v>0</v>
      </c>
      <c r="D14" s="200">
        <f xml:space="preserve">
IF($A$4&lt;=12,SUMIFS('ON Data'!R:R,'ON Data'!$D:$D,$A$4,'ON Data'!$E:$E,5),SUMIFS('ON Data'!R:R,'ON Data'!$E:$E,5))</f>
        <v>0</v>
      </c>
      <c r="E14" s="200">
        <f xml:space="preserve">
IF($A$4&lt;=12,SUMIFS('ON Data'!AO:AO,'ON Data'!$D:$D,$A$4,'ON Data'!$E:$E,5),SUMIFS('ON Data'!AO:AO,'ON Data'!$E:$E,5))</f>
        <v>0</v>
      </c>
      <c r="F14" s="200">
        <f xml:space="preserve">
IF($A$4&lt;=12,SUMIFS('ON Data'!AT:AT,'ON Data'!$D:$D,$A$4,'ON Data'!$E:$E,5),SUMIFS('ON Data'!AT:AT,'ON Data'!$E:$E,5))</f>
        <v>0</v>
      </c>
      <c r="G14" s="242"/>
    </row>
    <row r="15" spans="1:7" x14ac:dyDescent="0.3">
      <c r="A15" s="125" t="s">
        <v>123</v>
      </c>
      <c r="B15" s="201"/>
      <c r="C15" s="202"/>
      <c r="D15" s="202"/>
      <c r="E15" s="202"/>
      <c r="F15" s="202"/>
      <c r="G15" s="242"/>
    </row>
    <row r="16" spans="1:7" x14ac:dyDescent="0.3">
      <c r="A16" s="183" t="s">
        <v>114</v>
      </c>
      <c r="B16" s="197">
        <f xml:space="preserve">
IF($A$4&lt;=12,SUMIFS('ON Data'!F:F,'ON Data'!$D:$D,$A$4,'ON Data'!$E:$E,7),SUMIFS('ON Data'!F:F,'ON Data'!$E:$E,7))</f>
        <v>0</v>
      </c>
      <c r="C16" s="198">
        <f xml:space="preserve">
IF($A$4&lt;=12,SUMIFS('ON Data'!Q:Q,'ON Data'!$D:$D,$A$4,'ON Data'!$E:$E,7),SUMIFS('ON Data'!Q:Q,'ON Data'!$E:$E,7))</f>
        <v>0</v>
      </c>
      <c r="D16" s="198">
        <f xml:space="preserve">
IF($A$4&lt;=12,SUMIFS('ON Data'!R:R,'ON Data'!$D:$D,$A$4,'ON Data'!$E:$E,7),SUMIFS('ON Data'!R:R,'ON Data'!$E:$E,7))</f>
        <v>0</v>
      </c>
      <c r="E16" s="198">
        <f xml:space="preserve">
IF($A$4&lt;=12,SUMIFS('ON Data'!AO:AO,'ON Data'!$D:$D,$A$4,'ON Data'!$E:$E,7),SUMIFS('ON Data'!AO:AO,'ON Data'!$E:$E,7))</f>
        <v>0</v>
      </c>
      <c r="F16" s="198">
        <f xml:space="preserve">
IF($A$4&lt;=12,SUMIFS('ON Data'!AT:AT,'ON Data'!$D:$D,$A$4,'ON Data'!$E:$E,7),SUMIFS('ON Data'!AT:AT,'ON Data'!$E:$E,7))</f>
        <v>0</v>
      </c>
      <c r="G16" s="242"/>
    </row>
    <row r="17" spans="1:46" x14ac:dyDescent="0.3">
      <c r="A17" s="183" t="s">
        <v>115</v>
      </c>
      <c r="B17" s="197">
        <f xml:space="preserve">
IF($A$4&lt;=12,SUMIFS('ON Data'!F:F,'ON Data'!$D:$D,$A$4,'ON Data'!$E:$E,8),SUMIFS('ON Data'!F:F,'ON Data'!$E:$E,8))</f>
        <v>0</v>
      </c>
      <c r="C17" s="198">
        <f xml:space="preserve">
IF($A$4&lt;=12,SUMIFS('ON Data'!Q:Q,'ON Data'!$D:$D,$A$4,'ON Data'!$E:$E,8),SUMIFS('ON Data'!Q:Q,'ON Data'!$E:$E,8))</f>
        <v>0</v>
      </c>
      <c r="D17" s="198">
        <f xml:space="preserve">
IF($A$4&lt;=12,SUMIFS('ON Data'!R:R,'ON Data'!$D:$D,$A$4,'ON Data'!$E:$E,8),SUMIFS('ON Data'!R:R,'ON Data'!$E:$E,8))</f>
        <v>0</v>
      </c>
      <c r="E17" s="198">
        <f xml:space="preserve">
IF($A$4&lt;=12,SUMIFS('ON Data'!AO:AO,'ON Data'!$D:$D,$A$4,'ON Data'!$E:$E,8),SUMIFS('ON Data'!AO:AO,'ON Data'!$E:$E,8))</f>
        <v>0</v>
      </c>
      <c r="F17" s="198">
        <f xml:space="preserve">
IF($A$4&lt;=12,SUMIFS('ON Data'!AT:AT,'ON Data'!$D:$D,$A$4,'ON Data'!$E:$E,8),SUMIFS('ON Data'!AT:AT,'ON Data'!$E:$E,8))</f>
        <v>0</v>
      </c>
      <c r="G17" s="242"/>
    </row>
    <row r="18" spans="1:46" x14ac:dyDescent="0.3">
      <c r="A18" s="183" t="s">
        <v>116</v>
      </c>
      <c r="B18" s="197">
        <f xml:space="preserve">
B19-B16-B17</f>
        <v>55296</v>
      </c>
      <c r="C18" s="198">
        <f t="shared" ref="C18:F18" si="0" xml:space="preserve">
C19-C16-C17</f>
        <v>8200</v>
      </c>
      <c r="D18" s="198">
        <f t="shared" si="0"/>
        <v>10000</v>
      </c>
      <c r="E18" s="198">
        <f t="shared" si="0"/>
        <v>6088</v>
      </c>
      <c r="F18" s="198">
        <f t="shared" si="0"/>
        <v>31008</v>
      </c>
      <c r="G18" s="242"/>
    </row>
    <row r="19" spans="1:46" ht="15" thickBot="1" x14ac:dyDescent="0.35">
      <c r="A19" s="184" t="s">
        <v>117</v>
      </c>
      <c r="B19" s="203">
        <f xml:space="preserve">
IF($A$4&lt;=12,SUMIFS('ON Data'!F:F,'ON Data'!$D:$D,$A$4,'ON Data'!$E:$E,9),SUMIFS('ON Data'!F:F,'ON Data'!$E:$E,9))</f>
        <v>55296</v>
      </c>
      <c r="C19" s="204">
        <f xml:space="preserve">
IF($A$4&lt;=12,SUMIFS('ON Data'!Q:Q,'ON Data'!$D:$D,$A$4,'ON Data'!$E:$E,9),SUMIFS('ON Data'!Q:Q,'ON Data'!$E:$E,9))</f>
        <v>8200</v>
      </c>
      <c r="D19" s="204">
        <f xml:space="preserve">
IF($A$4&lt;=12,SUMIFS('ON Data'!R:R,'ON Data'!$D:$D,$A$4,'ON Data'!$E:$E,9),SUMIFS('ON Data'!R:R,'ON Data'!$E:$E,9))</f>
        <v>10000</v>
      </c>
      <c r="E19" s="204">
        <f xml:space="preserve">
IF($A$4&lt;=12,SUMIFS('ON Data'!AO:AO,'ON Data'!$D:$D,$A$4,'ON Data'!$E:$E,9),SUMIFS('ON Data'!AO:AO,'ON Data'!$E:$E,9))</f>
        <v>6088</v>
      </c>
      <c r="F19" s="204">
        <f xml:space="preserve">
IF($A$4&lt;=12,SUMIFS('ON Data'!AT:AT,'ON Data'!$D:$D,$A$4,'ON Data'!$E:$E,9),SUMIFS('ON Data'!AT:AT,'ON Data'!$E:$E,9))</f>
        <v>31008</v>
      </c>
      <c r="G19" s="242"/>
    </row>
    <row r="20" spans="1:46" ht="15" collapsed="1" thickBot="1" x14ac:dyDescent="0.35">
      <c r="A20" s="185" t="s">
        <v>55</v>
      </c>
      <c r="B20" s="265">
        <f xml:space="preserve">
IF($A$4&lt;=12,SUMIFS('ON Data'!F:F,'ON Data'!$D:$D,$A$4,'ON Data'!$E:$E,6),SUMIFS('ON Data'!F:F,'ON Data'!$E:$E,6))</f>
        <v>3415596</v>
      </c>
      <c r="C20" s="266">
        <f xml:space="preserve">
IF($A$4&lt;=12,SUMIFS('ON Data'!Q:Q,'ON Data'!$D:$D,$A$4,'ON Data'!$E:$E,6),SUMIFS('ON Data'!Q:Q,'ON Data'!$E:$E,6))</f>
        <v>1318046</v>
      </c>
      <c r="D20" s="266">
        <f xml:space="preserve">
IF($A$4&lt;=12,SUMIFS('ON Data'!R:R,'ON Data'!$D:$D,$A$4,'ON Data'!$E:$E,6),SUMIFS('ON Data'!R:R,'ON Data'!$E:$E,6))</f>
        <v>804475</v>
      </c>
      <c r="E20" s="266">
        <f xml:space="preserve">
IF($A$4&lt;=12,SUMIFS('ON Data'!AO:AO,'ON Data'!$D:$D,$A$4,'ON Data'!$E:$E,6),SUMIFS('ON Data'!AO:AO,'ON Data'!$E:$E,6))</f>
        <v>456422</v>
      </c>
      <c r="F20" s="266">
        <f xml:space="preserve">
IF($A$4&lt;=12,SUMIFS('ON Data'!AT:AT,'ON Data'!$D:$D,$A$4,'ON Data'!$E:$E,6),SUMIFS('ON Data'!AT:AT,'ON Data'!$E:$E,6))</f>
        <v>836653</v>
      </c>
      <c r="G20" s="242"/>
    </row>
    <row r="21" spans="1:46" ht="15" hidden="1" outlineLevel="1" thickBot="1" x14ac:dyDescent="0.35">
      <c r="A21" s="178" t="s">
        <v>62</v>
      </c>
      <c r="B21" s="259">
        <f xml:space="preserve">
IF($A$4&lt;=12,SUMIFS('ON Data'!F:F,'ON Data'!$D:$D,$A$4,'ON Data'!$E:$E,12),SUMIFS('ON Data'!F:F,'ON Data'!$E:$E,12))</f>
        <v>0</v>
      </c>
      <c r="C21" s="245">
        <f xml:space="preserve">
IF($A$4&lt;=12,SUMIFS('ON Data'!Q:Q,'ON Data'!$D:$D,$A$4,'ON Data'!$E:$E,12),SUMIFS('ON Data'!Q:Q,'ON Data'!$E:$E,12))</f>
        <v>0</v>
      </c>
      <c r="D21" s="245">
        <f xml:space="preserve">
IF($A$4&lt;=12,SUMIFS('ON Data'!R:R,'ON Data'!$D:$D,$A$4,'ON Data'!$E:$E,12),SUMIFS('ON Data'!R:R,'ON Data'!$E:$E,12))</f>
        <v>0</v>
      </c>
      <c r="E21" s="245">
        <f xml:space="preserve">
IF($A$4&lt;=12,SUMIFS('ON Data'!AO:AO,'ON Data'!$D:$D,$A$4,'ON Data'!$E:$E,12),SUMIFS('ON Data'!AO:AO,'ON Data'!$E:$E,12))</f>
        <v>0</v>
      </c>
      <c r="F21" s="245"/>
      <c r="G21" s="242"/>
    </row>
    <row r="22" spans="1:46" ht="15" hidden="1" outlineLevel="1" thickBot="1" x14ac:dyDescent="0.35">
      <c r="A22" s="178" t="s">
        <v>57</v>
      </c>
      <c r="B22" s="260" t="str">
        <f xml:space="preserve">
IF(OR(B21="",B21=0),"",B20/B21)</f>
        <v/>
      </c>
      <c r="C22" s="238" t="str">
        <f t="shared" ref="C22:E22" si="1" xml:space="preserve">
IF(OR(C21="",C21=0),"",C20/C21)</f>
        <v/>
      </c>
      <c r="D22" s="238" t="str">
        <f t="shared" si="1"/>
        <v/>
      </c>
      <c r="E22" s="238" t="str">
        <f t="shared" si="1"/>
        <v/>
      </c>
      <c r="F22" s="238"/>
      <c r="G22" s="242"/>
    </row>
    <row r="23" spans="1:46" ht="15" hidden="1" outlineLevel="1" thickBot="1" x14ac:dyDescent="0.35">
      <c r="A23" s="186" t="s">
        <v>52</v>
      </c>
      <c r="B23" s="261">
        <f xml:space="preserve">
IF(B21="","",B20-B21)</f>
        <v>3415596</v>
      </c>
      <c r="C23" s="200">
        <f t="shared" ref="C23:E23" si="2" xml:space="preserve">
IF(C21="","",C20-C21)</f>
        <v>1318046</v>
      </c>
      <c r="D23" s="200">
        <f t="shared" si="2"/>
        <v>804475</v>
      </c>
      <c r="E23" s="200">
        <f t="shared" si="2"/>
        <v>456422</v>
      </c>
      <c r="F23" s="200"/>
      <c r="G23" s="242"/>
    </row>
    <row r="24" spans="1:46" x14ac:dyDescent="0.3">
      <c r="A24" s="180" t="s">
        <v>118</v>
      </c>
      <c r="B24" s="215" t="s">
        <v>2</v>
      </c>
      <c r="C24" s="256" t="s">
        <v>175</v>
      </c>
      <c r="D24" s="257" t="s">
        <v>176</v>
      </c>
      <c r="E24" s="257" t="s">
        <v>177</v>
      </c>
      <c r="F24" s="258" t="s">
        <v>128</v>
      </c>
      <c r="AT24" s="242"/>
    </row>
    <row r="25" spans="1:46" x14ac:dyDescent="0.3">
      <c r="A25" s="181" t="s">
        <v>55</v>
      </c>
      <c r="B25" s="197">
        <f xml:space="preserve">
SUM(C25:F25)</f>
        <v>0</v>
      </c>
      <c r="C25" s="247">
        <f xml:space="preserve">
IF($A$4&lt;=12,SUMIFS('ON Data'!$G:$G,'ON Data'!$D:$D,$A$4,'ON Data'!$E:$E,10),SUMIFS('ON Data'!$G:$G,'ON Data'!$E:$E,10))</f>
        <v>0</v>
      </c>
      <c r="D25" s="248">
        <f xml:space="preserve">
IF($A$4&lt;=12,SUMIFS('ON Data'!$J:$J,'ON Data'!$D:$D,$A$4,'ON Data'!$E:$E,10),SUMIFS('ON Data'!$J:$J,'ON Data'!$E:$E,10))</f>
        <v>0</v>
      </c>
      <c r="E25" s="248">
        <f xml:space="preserve">
IF($A$4&lt;=12,SUMIFS('ON Data'!$H:$H,'ON Data'!$D:$D,$A$4,'ON Data'!$E:$E,10),SUMIFS('ON Data'!$H:$H,'ON Data'!$E:$E,10))</f>
        <v>0</v>
      </c>
      <c r="F25" s="249">
        <f xml:space="preserve">
IF($A$4&lt;=12,SUMIFS('ON Data'!$I:$I,'ON Data'!$D:$D,$A$4,'ON Data'!$E:$E,10),SUMIFS('ON Data'!$I:$I,'ON Data'!$E:$E,10))</f>
        <v>0</v>
      </c>
    </row>
    <row r="26" spans="1:46" x14ac:dyDescent="0.3">
      <c r="A26" s="187" t="s">
        <v>127</v>
      </c>
      <c r="B26" s="203">
        <f xml:space="preserve">
SUM(C26:F26)</f>
        <v>0</v>
      </c>
      <c r="C26" s="247">
        <f xml:space="preserve">
IF($A$4&lt;=12,SUMIFS('ON Data'!$G:$G,'ON Data'!$D:$D,$A$4,'ON Data'!$E:$E,11),SUMIFS('ON Data'!$G:$G,'ON Data'!$E:$E,11))</f>
        <v>0</v>
      </c>
      <c r="D26" s="248">
        <f xml:space="preserve">
IF($A$4&lt;=12,SUMIFS('ON Data'!$J:$J,'ON Data'!$D:$D,$A$4,'ON Data'!$E:$E,11),SUMIFS('ON Data'!$J:$J,'ON Data'!$E:$E,11))</f>
        <v>0</v>
      </c>
      <c r="E26" s="248">
        <f xml:space="preserve">
IF($A$4&lt;=12,SUMIFS('ON Data'!$H:$H,'ON Data'!$D:$D,$A$4,'ON Data'!$E:$E,11),SUMIFS('ON Data'!$H:$H,'ON Data'!$E:$E,11))</f>
        <v>0</v>
      </c>
      <c r="F26" s="249">
        <f xml:space="preserve">
IF($A$4&lt;=12,SUMIFS('ON Data'!$I:$I,'ON Data'!$D:$D,$A$4,'ON Data'!$E:$E,11),SUMIFS('ON Data'!$I:$I,'ON Data'!$E:$E,11))</f>
        <v>0</v>
      </c>
    </row>
    <row r="27" spans="1:46" x14ac:dyDescent="0.3">
      <c r="A27" s="187" t="s">
        <v>57</v>
      </c>
      <c r="B27" s="216">
        <f xml:space="preserve">
IF(B26=0,0,B25/B26)</f>
        <v>0</v>
      </c>
      <c r="C27" s="250">
        <f xml:space="preserve">
IF(C26=0,0,C25/C26)</f>
        <v>0</v>
      </c>
      <c r="D27" s="251">
        <f t="shared" ref="D27:E27" si="3" xml:space="preserve">
IF(D26=0,0,D25/D26)</f>
        <v>0</v>
      </c>
      <c r="E27" s="251">
        <f t="shared" si="3"/>
        <v>0</v>
      </c>
      <c r="F27" s="252">
        <f xml:space="preserve">
IF(F26=0,0,F25/F26)</f>
        <v>0</v>
      </c>
    </row>
    <row r="28" spans="1:46" ht="15" thickBot="1" x14ac:dyDescent="0.35">
      <c r="A28" s="187" t="s">
        <v>126</v>
      </c>
      <c r="B28" s="203">
        <f xml:space="preserve">
SUM(C28:F28)</f>
        <v>0</v>
      </c>
      <c r="C28" s="253">
        <f xml:space="preserve">
C26-C25</f>
        <v>0</v>
      </c>
      <c r="D28" s="254">
        <f t="shared" ref="D28:E28" si="4" xml:space="preserve">
D26-D25</f>
        <v>0</v>
      </c>
      <c r="E28" s="254">
        <f t="shared" si="4"/>
        <v>0</v>
      </c>
      <c r="F28" s="255">
        <f xml:space="preserve">
F26-F25</f>
        <v>0</v>
      </c>
      <c r="G28" s="242"/>
      <c r="H28" s="242"/>
      <c r="I28" s="242"/>
      <c r="J28" s="242"/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2"/>
      <c r="X28" s="242"/>
      <c r="Y28" s="242"/>
      <c r="Z28" s="242"/>
      <c r="AA28" s="242"/>
      <c r="AB28" s="242"/>
      <c r="AC28" s="242"/>
      <c r="AD28" s="242"/>
      <c r="AE28" s="242"/>
      <c r="AF28" s="242"/>
      <c r="AG28" s="242"/>
      <c r="AH28" s="242"/>
      <c r="AI28" s="242"/>
      <c r="AJ28" s="242"/>
      <c r="AK28" s="242"/>
      <c r="AL28" s="242"/>
      <c r="AM28" s="242"/>
      <c r="AN28" s="242"/>
      <c r="AO28" s="242"/>
      <c r="AP28" s="242"/>
      <c r="AQ28" s="242"/>
      <c r="AR28" s="242"/>
      <c r="AS28" s="242"/>
    </row>
    <row r="29" spans="1:46" x14ac:dyDescent="0.3">
      <c r="A29" s="188"/>
      <c r="B29" s="188"/>
      <c r="C29" s="189"/>
      <c r="D29" s="188"/>
      <c r="E29" s="188"/>
      <c r="F29" s="188"/>
      <c r="G29" s="246"/>
      <c r="H29" s="246"/>
      <c r="I29" s="246"/>
      <c r="J29" s="246"/>
      <c r="K29" s="246"/>
      <c r="L29" s="246"/>
      <c r="M29" s="246"/>
      <c r="N29" s="246"/>
      <c r="O29" s="246"/>
      <c r="P29" s="246"/>
      <c r="Q29" s="246"/>
      <c r="R29" s="246"/>
      <c r="S29" s="246"/>
      <c r="T29" s="246"/>
      <c r="U29" s="246"/>
      <c r="V29" s="246"/>
      <c r="W29" s="246"/>
      <c r="X29" s="246"/>
      <c r="Y29" s="246"/>
      <c r="Z29" s="246"/>
      <c r="AA29" s="246"/>
      <c r="AB29" s="246"/>
      <c r="AC29" s="246"/>
      <c r="AD29" s="246"/>
      <c r="AE29" s="246"/>
      <c r="AF29" s="246"/>
      <c r="AG29" s="246"/>
      <c r="AH29" s="246"/>
      <c r="AI29" s="117"/>
      <c r="AJ29" s="117"/>
      <c r="AK29" s="117"/>
      <c r="AL29" s="117"/>
      <c r="AM29" s="117"/>
    </row>
    <row r="30" spans="1:46" x14ac:dyDescent="0.3">
      <c r="A30" s="79" t="s">
        <v>90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113"/>
      <c r="AL30" s="113"/>
      <c r="AM30" s="113"/>
    </row>
    <row r="31" spans="1:46" x14ac:dyDescent="0.3">
      <c r="A31" s="80" t="s">
        <v>125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113"/>
      <c r="AL31" s="113"/>
      <c r="AM31" s="113"/>
    </row>
    <row r="32" spans="1:46" ht="14.4" customHeight="1" x14ac:dyDescent="0.3">
      <c r="A32" s="212" t="s">
        <v>122</v>
      </c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  <c r="R32" s="213"/>
      <c r="S32" s="213"/>
      <c r="T32" s="213"/>
      <c r="U32" s="213"/>
      <c r="V32" s="213"/>
      <c r="W32" s="213"/>
      <c r="X32" s="213"/>
      <c r="Y32" s="213"/>
      <c r="Z32" s="213"/>
      <c r="AA32" s="213"/>
      <c r="AB32" s="213"/>
      <c r="AC32" s="213"/>
      <c r="AD32" s="213"/>
      <c r="AE32" s="213"/>
      <c r="AF32" s="213"/>
      <c r="AG32" s="213"/>
      <c r="AH32" s="213"/>
      <c r="AI32" s="213"/>
      <c r="AJ32" s="213"/>
    </row>
    <row r="33" spans="1:1" x14ac:dyDescent="0.3">
      <c r="A33" s="214" t="s">
        <v>171</v>
      </c>
    </row>
    <row r="34" spans="1:1" x14ac:dyDescent="0.3">
      <c r="A34" s="214" t="s">
        <v>172</v>
      </c>
    </row>
    <row r="35" spans="1:1" x14ac:dyDescent="0.3">
      <c r="A35" s="214" t="s">
        <v>173</v>
      </c>
    </row>
    <row r="36" spans="1:1" x14ac:dyDescent="0.3">
      <c r="A36" s="214" t="s">
        <v>174</v>
      </c>
    </row>
    <row r="37" spans="1:1" x14ac:dyDescent="0.3">
      <c r="A37" s="214" t="s">
        <v>129</v>
      </c>
    </row>
  </sheetData>
  <mergeCells count="2">
    <mergeCell ref="B3:B4"/>
    <mergeCell ref="A1:B1"/>
  </mergeCells>
  <conditionalFormatting sqref="C27">
    <cfRule type="cellIs" dxfId="9" priority="17" operator="greaterThan">
      <formula>1</formula>
    </cfRule>
  </conditionalFormatting>
  <conditionalFormatting sqref="C28">
    <cfRule type="cellIs" dxfId="8" priority="16" operator="lessThan">
      <formula>0</formula>
    </cfRule>
  </conditionalFormatting>
  <conditionalFormatting sqref="B22:F22">
    <cfRule type="cellIs" dxfId="7" priority="15" operator="greaterThan">
      <formula>1</formula>
    </cfRule>
  </conditionalFormatting>
  <conditionalFormatting sqref="B23:F23">
    <cfRule type="cellIs" dxfId="6" priority="14" operator="greaterThan">
      <formula>0</formula>
    </cfRule>
  </conditionalFormatting>
  <conditionalFormatting sqref="F27">
    <cfRule type="cellIs" dxfId="5" priority="9" operator="greaterThan">
      <formula>1</formula>
    </cfRule>
  </conditionalFormatting>
  <conditionalFormatting sqref="F28">
    <cfRule type="cellIs" dxfId="4" priority="8" operator="lessThan">
      <formula>0</formula>
    </cfRule>
  </conditionalFormatting>
  <conditionalFormatting sqref="E28">
    <cfRule type="cellIs" dxfId="3" priority="1" operator="lessThan">
      <formula>0</formula>
    </cfRule>
  </conditionalFormatting>
  <conditionalFormatting sqref="D28">
    <cfRule type="cellIs" dxfId="2" priority="3" operator="lessThan">
      <formula>0</formula>
    </cfRule>
  </conditionalFormatting>
  <conditionalFormatting sqref="D27">
    <cfRule type="cellIs" dxfId="1" priority="4" operator="greaterThan">
      <formula>1</formula>
    </cfRule>
  </conditionalFormatting>
  <conditionalFormatting sqref="E27">
    <cfRule type="cellIs" dxfId="0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20"/>
  <sheetViews>
    <sheetView showGridLines="0" workbookViewId="0"/>
  </sheetViews>
  <sheetFormatPr defaultRowHeight="14.4" x14ac:dyDescent="0.3"/>
  <cols>
    <col min="1" max="16384" width="8.88671875" style="169"/>
  </cols>
  <sheetData>
    <row r="1" spans="1:49" x14ac:dyDescent="0.3">
      <c r="A1" s="169" t="s">
        <v>331</v>
      </c>
    </row>
    <row r="2" spans="1:49" x14ac:dyDescent="0.3">
      <c r="A2" s="173" t="s">
        <v>178</v>
      </c>
    </row>
    <row r="3" spans="1:49" x14ac:dyDescent="0.3">
      <c r="A3" s="169" t="s">
        <v>95</v>
      </c>
      <c r="B3" s="192">
        <v>2017</v>
      </c>
      <c r="D3" s="170">
        <f>MAX(D5:D1048576)</f>
        <v>4</v>
      </c>
      <c r="F3" s="170">
        <f>SUMIF($E5:$E1048576,"&lt;10",F5:F1048576)</f>
        <v>3490112</v>
      </c>
      <c r="G3" s="170">
        <f t="shared" ref="G3:AW3" si="0">SUMIF($E5:$E1048576,"&lt;10",G5:G1048576)</f>
        <v>0</v>
      </c>
      <c r="H3" s="170">
        <f t="shared" si="0"/>
        <v>0</v>
      </c>
      <c r="I3" s="170">
        <f t="shared" si="0"/>
        <v>0</v>
      </c>
      <c r="J3" s="170">
        <f t="shared" si="0"/>
        <v>0</v>
      </c>
      <c r="K3" s="170">
        <f t="shared" si="0"/>
        <v>0</v>
      </c>
      <c r="L3" s="170">
        <f t="shared" si="0"/>
        <v>0</v>
      </c>
      <c r="M3" s="170">
        <f t="shared" si="0"/>
        <v>0</v>
      </c>
      <c r="N3" s="170">
        <f t="shared" si="0"/>
        <v>0</v>
      </c>
      <c r="O3" s="170">
        <f t="shared" si="0"/>
        <v>0</v>
      </c>
      <c r="P3" s="170">
        <f t="shared" si="0"/>
        <v>0</v>
      </c>
      <c r="Q3" s="170">
        <f t="shared" si="0"/>
        <v>1332763.75</v>
      </c>
      <c r="R3" s="170">
        <f t="shared" si="0"/>
        <v>817706.75</v>
      </c>
      <c r="S3" s="170">
        <f t="shared" si="0"/>
        <v>0</v>
      </c>
      <c r="T3" s="170">
        <f t="shared" si="0"/>
        <v>0</v>
      </c>
      <c r="U3" s="170">
        <f t="shared" si="0"/>
        <v>0</v>
      </c>
      <c r="V3" s="170">
        <f t="shared" si="0"/>
        <v>0</v>
      </c>
      <c r="W3" s="170">
        <f t="shared" si="0"/>
        <v>0</v>
      </c>
      <c r="X3" s="170">
        <f t="shared" si="0"/>
        <v>0</v>
      </c>
      <c r="Y3" s="170">
        <f t="shared" si="0"/>
        <v>0</v>
      </c>
      <c r="Z3" s="170">
        <f t="shared" si="0"/>
        <v>0</v>
      </c>
      <c r="AA3" s="170">
        <f t="shared" si="0"/>
        <v>0</v>
      </c>
      <c r="AB3" s="170">
        <f t="shared" si="0"/>
        <v>0</v>
      </c>
      <c r="AC3" s="170">
        <f t="shared" si="0"/>
        <v>0</v>
      </c>
      <c r="AD3" s="170">
        <f t="shared" si="0"/>
        <v>0</v>
      </c>
      <c r="AE3" s="170">
        <f t="shared" si="0"/>
        <v>0</v>
      </c>
      <c r="AF3" s="170">
        <f t="shared" si="0"/>
        <v>0</v>
      </c>
      <c r="AG3" s="170">
        <f t="shared" si="0"/>
        <v>0</v>
      </c>
      <c r="AH3" s="170">
        <f t="shared" si="0"/>
        <v>0</v>
      </c>
      <c r="AI3" s="170">
        <f t="shared" si="0"/>
        <v>0</v>
      </c>
      <c r="AJ3" s="170">
        <f t="shared" si="0"/>
        <v>0</v>
      </c>
      <c r="AK3" s="170">
        <f t="shared" si="0"/>
        <v>0</v>
      </c>
      <c r="AL3" s="170">
        <f t="shared" si="0"/>
        <v>0</v>
      </c>
      <c r="AM3" s="170">
        <f t="shared" si="0"/>
        <v>0</v>
      </c>
      <c r="AN3" s="170">
        <f t="shared" si="0"/>
        <v>0</v>
      </c>
      <c r="AO3" s="170">
        <f t="shared" si="0"/>
        <v>465459</v>
      </c>
      <c r="AP3" s="170">
        <f t="shared" si="0"/>
        <v>0</v>
      </c>
      <c r="AQ3" s="170">
        <f t="shared" si="0"/>
        <v>0</v>
      </c>
      <c r="AR3" s="170">
        <f t="shared" si="0"/>
        <v>0</v>
      </c>
      <c r="AS3" s="170">
        <f t="shared" si="0"/>
        <v>0</v>
      </c>
      <c r="AT3" s="170">
        <f t="shared" si="0"/>
        <v>874182.5</v>
      </c>
      <c r="AU3" s="170">
        <f t="shared" si="0"/>
        <v>0</v>
      </c>
      <c r="AV3" s="170">
        <f t="shared" si="0"/>
        <v>0</v>
      </c>
      <c r="AW3" s="170">
        <f t="shared" si="0"/>
        <v>0</v>
      </c>
    </row>
    <row r="4" spans="1:49" x14ac:dyDescent="0.3">
      <c r="A4" s="169" t="s">
        <v>96</v>
      </c>
      <c r="B4" s="192">
        <v>1</v>
      </c>
      <c r="C4" s="171" t="s">
        <v>4</v>
      </c>
      <c r="D4" s="172" t="s">
        <v>51</v>
      </c>
      <c r="E4" s="172" t="s">
        <v>94</v>
      </c>
      <c r="F4" s="172" t="s">
        <v>2</v>
      </c>
      <c r="G4" s="172">
        <v>0</v>
      </c>
      <c r="H4" s="172">
        <v>25</v>
      </c>
      <c r="I4" s="172">
        <v>30</v>
      </c>
      <c r="J4" s="172">
        <v>99</v>
      </c>
      <c r="K4" s="172">
        <v>100</v>
      </c>
      <c r="L4" s="172">
        <v>101</v>
      </c>
      <c r="M4" s="172">
        <v>102</v>
      </c>
      <c r="N4" s="172">
        <v>103</v>
      </c>
      <c r="O4" s="172">
        <v>203</v>
      </c>
      <c r="P4" s="172">
        <v>302</v>
      </c>
      <c r="Q4" s="172">
        <v>303</v>
      </c>
      <c r="R4" s="172">
        <v>304</v>
      </c>
      <c r="S4" s="172">
        <v>305</v>
      </c>
      <c r="T4" s="172">
        <v>306</v>
      </c>
      <c r="U4" s="172">
        <v>407</v>
      </c>
      <c r="V4" s="172">
        <v>408</v>
      </c>
      <c r="W4" s="172">
        <v>409</v>
      </c>
      <c r="X4" s="172">
        <v>410</v>
      </c>
      <c r="Y4" s="172">
        <v>415</v>
      </c>
      <c r="Z4" s="172">
        <v>416</v>
      </c>
      <c r="AA4" s="172">
        <v>418</v>
      </c>
      <c r="AB4" s="172">
        <v>419</v>
      </c>
      <c r="AC4" s="172">
        <v>420</v>
      </c>
      <c r="AD4" s="172">
        <v>421</v>
      </c>
      <c r="AE4" s="172">
        <v>422</v>
      </c>
      <c r="AF4" s="172">
        <v>520</v>
      </c>
      <c r="AG4" s="172">
        <v>521</v>
      </c>
      <c r="AH4" s="172">
        <v>522</v>
      </c>
      <c r="AI4" s="172">
        <v>523</v>
      </c>
      <c r="AJ4" s="172">
        <v>524</v>
      </c>
      <c r="AK4" s="172">
        <v>525</v>
      </c>
      <c r="AL4" s="172">
        <v>526</v>
      </c>
      <c r="AM4" s="172">
        <v>527</v>
      </c>
      <c r="AN4" s="172">
        <v>528</v>
      </c>
      <c r="AO4" s="172">
        <v>629</v>
      </c>
      <c r="AP4" s="172">
        <v>630</v>
      </c>
      <c r="AQ4" s="172">
        <v>636</v>
      </c>
      <c r="AR4" s="172">
        <v>637</v>
      </c>
      <c r="AS4" s="172">
        <v>640</v>
      </c>
      <c r="AT4" s="172">
        <v>642</v>
      </c>
      <c r="AU4" s="172">
        <v>743</v>
      </c>
      <c r="AV4" s="172">
        <v>745</v>
      </c>
      <c r="AW4" s="172">
        <v>746</v>
      </c>
    </row>
    <row r="5" spans="1:49" x14ac:dyDescent="0.3">
      <c r="A5" s="169" t="s">
        <v>97</v>
      </c>
      <c r="B5" s="192">
        <v>2</v>
      </c>
      <c r="C5" s="169">
        <v>56</v>
      </c>
      <c r="D5" s="169">
        <v>1</v>
      </c>
      <c r="E5" s="169">
        <v>1</v>
      </c>
      <c r="F5" s="169">
        <v>32.75</v>
      </c>
      <c r="G5" s="169">
        <v>0</v>
      </c>
      <c r="H5" s="169">
        <v>0</v>
      </c>
      <c r="I5" s="169">
        <v>0</v>
      </c>
      <c r="J5" s="169">
        <v>0</v>
      </c>
      <c r="K5" s="169">
        <v>0</v>
      </c>
      <c r="L5" s="169">
        <v>0</v>
      </c>
      <c r="M5" s="169">
        <v>0</v>
      </c>
      <c r="N5" s="169">
        <v>0</v>
      </c>
      <c r="O5" s="169">
        <v>0</v>
      </c>
      <c r="P5" s="169">
        <v>0</v>
      </c>
      <c r="Q5" s="169">
        <v>10.75</v>
      </c>
      <c r="R5" s="169">
        <v>5</v>
      </c>
      <c r="S5" s="169">
        <v>0</v>
      </c>
      <c r="T5" s="169">
        <v>0</v>
      </c>
      <c r="U5" s="169">
        <v>0</v>
      </c>
      <c r="V5" s="169">
        <v>0</v>
      </c>
      <c r="W5" s="169">
        <v>0</v>
      </c>
      <c r="X5" s="169">
        <v>0</v>
      </c>
      <c r="Y5" s="169">
        <v>0</v>
      </c>
      <c r="Z5" s="169">
        <v>0</v>
      </c>
      <c r="AA5" s="169">
        <v>0</v>
      </c>
      <c r="AB5" s="169">
        <v>0</v>
      </c>
      <c r="AC5" s="169">
        <v>0</v>
      </c>
      <c r="AD5" s="169">
        <v>0</v>
      </c>
      <c r="AE5" s="169">
        <v>0</v>
      </c>
      <c r="AF5" s="169">
        <v>0</v>
      </c>
      <c r="AG5" s="169">
        <v>0</v>
      </c>
      <c r="AH5" s="169">
        <v>0</v>
      </c>
      <c r="AI5" s="169">
        <v>0</v>
      </c>
      <c r="AJ5" s="169">
        <v>0</v>
      </c>
      <c r="AK5" s="169">
        <v>0</v>
      </c>
      <c r="AL5" s="169">
        <v>0</v>
      </c>
      <c r="AM5" s="169">
        <v>0</v>
      </c>
      <c r="AN5" s="169">
        <v>0</v>
      </c>
      <c r="AO5" s="169">
        <v>5</v>
      </c>
      <c r="AP5" s="169">
        <v>0</v>
      </c>
      <c r="AQ5" s="169">
        <v>0</v>
      </c>
      <c r="AR5" s="169">
        <v>0</v>
      </c>
      <c r="AS5" s="169">
        <v>0</v>
      </c>
      <c r="AT5" s="169">
        <v>12</v>
      </c>
      <c r="AU5" s="169">
        <v>0</v>
      </c>
      <c r="AV5" s="169">
        <v>0</v>
      </c>
      <c r="AW5" s="169">
        <v>0</v>
      </c>
    </row>
    <row r="6" spans="1:49" x14ac:dyDescent="0.3">
      <c r="A6" s="169" t="s">
        <v>98</v>
      </c>
      <c r="B6" s="192">
        <v>3</v>
      </c>
      <c r="C6" s="169">
        <v>56</v>
      </c>
      <c r="D6" s="169">
        <v>1</v>
      </c>
      <c r="E6" s="169">
        <v>2</v>
      </c>
      <c r="F6" s="169">
        <v>5175.5</v>
      </c>
      <c r="G6" s="169">
        <v>0</v>
      </c>
      <c r="H6" s="169">
        <v>0</v>
      </c>
      <c r="I6" s="169">
        <v>0</v>
      </c>
      <c r="J6" s="169">
        <v>0</v>
      </c>
      <c r="K6" s="169">
        <v>0</v>
      </c>
      <c r="L6" s="169">
        <v>0</v>
      </c>
      <c r="M6" s="169">
        <v>0</v>
      </c>
      <c r="N6" s="169">
        <v>0</v>
      </c>
      <c r="O6" s="169">
        <v>0</v>
      </c>
      <c r="P6" s="169">
        <v>0</v>
      </c>
      <c r="Q6" s="169">
        <v>1733.5</v>
      </c>
      <c r="R6" s="169">
        <v>841</v>
      </c>
      <c r="S6" s="169">
        <v>0</v>
      </c>
      <c r="T6" s="169">
        <v>0</v>
      </c>
      <c r="U6" s="169">
        <v>0</v>
      </c>
      <c r="V6" s="169">
        <v>0</v>
      </c>
      <c r="W6" s="169">
        <v>0</v>
      </c>
      <c r="X6" s="169">
        <v>0</v>
      </c>
      <c r="Y6" s="169">
        <v>0</v>
      </c>
      <c r="Z6" s="169">
        <v>0</v>
      </c>
      <c r="AA6" s="169">
        <v>0</v>
      </c>
      <c r="AB6" s="169">
        <v>0</v>
      </c>
      <c r="AC6" s="169">
        <v>0</v>
      </c>
      <c r="AD6" s="169">
        <v>0</v>
      </c>
      <c r="AE6" s="169">
        <v>0</v>
      </c>
      <c r="AF6" s="169">
        <v>0</v>
      </c>
      <c r="AG6" s="169">
        <v>0</v>
      </c>
      <c r="AH6" s="169">
        <v>0</v>
      </c>
      <c r="AI6" s="169">
        <v>0</v>
      </c>
      <c r="AJ6" s="169">
        <v>0</v>
      </c>
      <c r="AK6" s="169">
        <v>0</v>
      </c>
      <c r="AL6" s="169">
        <v>0</v>
      </c>
      <c r="AM6" s="169">
        <v>0</v>
      </c>
      <c r="AN6" s="169">
        <v>0</v>
      </c>
      <c r="AO6" s="169">
        <v>787.5</v>
      </c>
      <c r="AP6" s="169">
        <v>0</v>
      </c>
      <c r="AQ6" s="169">
        <v>0</v>
      </c>
      <c r="AR6" s="169">
        <v>0</v>
      </c>
      <c r="AS6" s="169">
        <v>0</v>
      </c>
      <c r="AT6" s="169">
        <v>1813.5</v>
      </c>
      <c r="AU6" s="169">
        <v>0</v>
      </c>
      <c r="AV6" s="169">
        <v>0</v>
      </c>
      <c r="AW6" s="169">
        <v>0</v>
      </c>
    </row>
    <row r="7" spans="1:49" x14ac:dyDescent="0.3">
      <c r="A7" s="169" t="s">
        <v>99</v>
      </c>
      <c r="B7" s="192">
        <v>4</v>
      </c>
      <c r="C7" s="169">
        <v>56</v>
      </c>
      <c r="D7" s="169">
        <v>1</v>
      </c>
      <c r="E7" s="169">
        <v>6</v>
      </c>
      <c r="F7" s="169">
        <v>863324</v>
      </c>
      <c r="G7" s="169">
        <v>0</v>
      </c>
      <c r="H7" s="169">
        <v>0</v>
      </c>
      <c r="I7" s="169">
        <v>0</v>
      </c>
      <c r="J7" s="169">
        <v>0</v>
      </c>
      <c r="K7" s="169">
        <v>0</v>
      </c>
      <c r="L7" s="169">
        <v>0</v>
      </c>
      <c r="M7" s="169">
        <v>0</v>
      </c>
      <c r="N7" s="169">
        <v>0</v>
      </c>
      <c r="O7" s="169">
        <v>0</v>
      </c>
      <c r="P7" s="169">
        <v>0</v>
      </c>
      <c r="Q7" s="169">
        <v>331776</v>
      </c>
      <c r="R7" s="169">
        <v>197955</v>
      </c>
      <c r="S7" s="169">
        <v>0</v>
      </c>
      <c r="T7" s="169">
        <v>0</v>
      </c>
      <c r="U7" s="169">
        <v>0</v>
      </c>
      <c r="V7" s="169">
        <v>0</v>
      </c>
      <c r="W7" s="169">
        <v>0</v>
      </c>
      <c r="X7" s="169">
        <v>0</v>
      </c>
      <c r="Y7" s="169">
        <v>0</v>
      </c>
      <c r="Z7" s="169">
        <v>0</v>
      </c>
      <c r="AA7" s="169">
        <v>0</v>
      </c>
      <c r="AB7" s="169">
        <v>0</v>
      </c>
      <c r="AC7" s="169">
        <v>0</v>
      </c>
      <c r="AD7" s="169">
        <v>0</v>
      </c>
      <c r="AE7" s="169">
        <v>0</v>
      </c>
      <c r="AF7" s="169">
        <v>0</v>
      </c>
      <c r="AG7" s="169">
        <v>0</v>
      </c>
      <c r="AH7" s="169">
        <v>0</v>
      </c>
      <c r="AI7" s="169">
        <v>0</v>
      </c>
      <c r="AJ7" s="169">
        <v>0</v>
      </c>
      <c r="AK7" s="169">
        <v>0</v>
      </c>
      <c r="AL7" s="169">
        <v>0</v>
      </c>
      <c r="AM7" s="169">
        <v>0</v>
      </c>
      <c r="AN7" s="169">
        <v>0</v>
      </c>
      <c r="AO7" s="169">
        <v>107536</v>
      </c>
      <c r="AP7" s="169">
        <v>0</v>
      </c>
      <c r="AQ7" s="169">
        <v>0</v>
      </c>
      <c r="AR7" s="169">
        <v>0</v>
      </c>
      <c r="AS7" s="169">
        <v>0</v>
      </c>
      <c r="AT7" s="169">
        <v>226057</v>
      </c>
      <c r="AU7" s="169">
        <v>0</v>
      </c>
      <c r="AV7" s="169">
        <v>0</v>
      </c>
      <c r="AW7" s="169">
        <v>0</v>
      </c>
    </row>
    <row r="8" spans="1:49" x14ac:dyDescent="0.3">
      <c r="A8" s="169" t="s">
        <v>100</v>
      </c>
      <c r="B8" s="192">
        <v>5</v>
      </c>
      <c r="C8" s="169">
        <v>56</v>
      </c>
      <c r="D8" s="169">
        <v>1</v>
      </c>
      <c r="E8" s="169">
        <v>9</v>
      </c>
      <c r="F8" s="169">
        <v>6144</v>
      </c>
      <c r="G8" s="169">
        <v>0</v>
      </c>
      <c r="H8" s="169">
        <v>0</v>
      </c>
      <c r="I8" s="169">
        <v>0</v>
      </c>
      <c r="J8" s="169">
        <v>0</v>
      </c>
      <c r="K8" s="169">
        <v>0</v>
      </c>
      <c r="L8" s="169">
        <v>0</v>
      </c>
      <c r="M8" s="169">
        <v>0</v>
      </c>
      <c r="N8" s="169">
        <v>0</v>
      </c>
      <c r="O8" s="169">
        <v>0</v>
      </c>
      <c r="P8" s="169">
        <v>0</v>
      </c>
      <c r="Q8" s="169">
        <v>0</v>
      </c>
      <c r="R8" s="169">
        <v>0</v>
      </c>
      <c r="S8" s="169">
        <v>0</v>
      </c>
      <c r="T8" s="169">
        <v>0</v>
      </c>
      <c r="U8" s="169">
        <v>0</v>
      </c>
      <c r="V8" s="169">
        <v>0</v>
      </c>
      <c r="W8" s="169">
        <v>0</v>
      </c>
      <c r="X8" s="169">
        <v>0</v>
      </c>
      <c r="Y8" s="169">
        <v>0</v>
      </c>
      <c r="Z8" s="169">
        <v>0</v>
      </c>
      <c r="AA8" s="169">
        <v>0</v>
      </c>
      <c r="AB8" s="169">
        <v>0</v>
      </c>
      <c r="AC8" s="169">
        <v>0</v>
      </c>
      <c r="AD8" s="169">
        <v>0</v>
      </c>
      <c r="AE8" s="169">
        <v>0</v>
      </c>
      <c r="AF8" s="169">
        <v>0</v>
      </c>
      <c r="AG8" s="169">
        <v>0</v>
      </c>
      <c r="AH8" s="169">
        <v>0</v>
      </c>
      <c r="AI8" s="169">
        <v>0</v>
      </c>
      <c r="AJ8" s="169">
        <v>0</v>
      </c>
      <c r="AK8" s="169">
        <v>0</v>
      </c>
      <c r="AL8" s="169">
        <v>0</v>
      </c>
      <c r="AM8" s="169">
        <v>0</v>
      </c>
      <c r="AN8" s="169">
        <v>0</v>
      </c>
      <c r="AO8" s="169">
        <v>0</v>
      </c>
      <c r="AP8" s="169">
        <v>0</v>
      </c>
      <c r="AQ8" s="169">
        <v>0</v>
      </c>
      <c r="AR8" s="169">
        <v>0</v>
      </c>
      <c r="AS8" s="169">
        <v>0</v>
      </c>
      <c r="AT8" s="169">
        <v>6144</v>
      </c>
      <c r="AU8" s="169">
        <v>0</v>
      </c>
      <c r="AV8" s="169">
        <v>0</v>
      </c>
      <c r="AW8" s="169">
        <v>0</v>
      </c>
    </row>
    <row r="9" spans="1:49" x14ac:dyDescent="0.3">
      <c r="A9" s="169" t="s">
        <v>101</v>
      </c>
      <c r="B9" s="192">
        <v>6</v>
      </c>
      <c r="C9" s="169">
        <v>56</v>
      </c>
      <c r="D9" s="169">
        <v>2</v>
      </c>
      <c r="E9" s="169">
        <v>1</v>
      </c>
      <c r="F9" s="169">
        <v>32.5</v>
      </c>
      <c r="G9" s="169">
        <v>0</v>
      </c>
      <c r="H9" s="169">
        <v>0</v>
      </c>
      <c r="I9" s="169">
        <v>0</v>
      </c>
      <c r="J9" s="169">
        <v>0</v>
      </c>
      <c r="K9" s="169">
        <v>0</v>
      </c>
      <c r="L9" s="169">
        <v>0</v>
      </c>
      <c r="M9" s="169">
        <v>0</v>
      </c>
      <c r="N9" s="169">
        <v>0</v>
      </c>
      <c r="O9" s="169">
        <v>0</v>
      </c>
      <c r="P9" s="169">
        <v>0</v>
      </c>
      <c r="Q9" s="169">
        <v>10.75</v>
      </c>
      <c r="R9" s="169">
        <v>5</v>
      </c>
      <c r="S9" s="169">
        <v>0</v>
      </c>
      <c r="T9" s="169">
        <v>0</v>
      </c>
      <c r="U9" s="169">
        <v>0</v>
      </c>
      <c r="V9" s="169">
        <v>0</v>
      </c>
      <c r="W9" s="169">
        <v>0</v>
      </c>
      <c r="X9" s="169">
        <v>0</v>
      </c>
      <c r="Y9" s="169">
        <v>0</v>
      </c>
      <c r="Z9" s="169">
        <v>0</v>
      </c>
      <c r="AA9" s="169">
        <v>0</v>
      </c>
      <c r="AB9" s="169">
        <v>0</v>
      </c>
      <c r="AC9" s="169">
        <v>0</v>
      </c>
      <c r="AD9" s="169">
        <v>0</v>
      </c>
      <c r="AE9" s="169">
        <v>0</v>
      </c>
      <c r="AF9" s="169">
        <v>0</v>
      </c>
      <c r="AG9" s="169">
        <v>0</v>
      </c>
      <c r="AH9" s="169">
        <v>0</v>
      </c>
      <c r="AI9" s="169">
        <v>0</v>
      </c>
      <c r="AJ9" s="169">
        <v>0</v>
      </c>
      <c r="AK9" s="169">
        <v>0</v>
      </c>
      <c r="AL9" s="169">
        <v>0</v>
      </c>
      <c r="AM9" s="169">
        <v>0</v>
      </c>
      <c r="AN9" s="169">
        <v>0</v>
      </c>
      <c r="AO9" s="169">
        <v>5</v>
      </c>
      <c r="AP9" s="169">
        <v>0</v>
      </c>
      <c r="AQ9" s="169">
        <v>0</v>
      </c>
      <c r="AR9" s="169">
        <v>0</v>
      </c>
      <c r="AS9" s="169">
        <v>0</v>
      </c>
      <c r="AT9" s="169">
        <v>11.75</v>
      </c>
      <c r="AU9" s="169">
        <v>0</v>
      </c>
      <c r="AV9" s="169">
        <v>0</v>
      </c>
      <c r="AW9" s="169">
        <v>0</v>
      </c>
    </row>
    <row r="10" spans="1:49" x14ac:dyDescent="0.3">
      <c r="A10" s="169" t="s">
        <v>102</v>
      </c>
      <c r="B10" s="192">
        <v>7</v>
      </c>
      <c r="C10" s="169">
        <v>56</v>
      </c>
      <c r="D10" s="169">
        <v>2</v>
      </c>
      <c r="E10" s="169">
        <v>2</v>
      </c>
      <c r="F10" s="169">
        <v>4514</v>
      </c>
      <c r="G10" s="169">
        <v>0</v>
      </c>
      <c r="H10" s="169">
        <v>0</v>
      </c>
      <c r="I10" s="169">
        <v>0</v>
      </c>
      <c r="J10" s="169">
        <v>0</v>
      </c>
      <c r="K10" s="169">
        <v>0</v>
      </c>
      <c r="L10" s="169">
        <v>0</v>
      </c>
      <c r="M10" s="169">
        <v>0</v>
      </c>
      <c r="N10" s="169">
        <v>0</v>
      </c>
      <c r="O10" s="169">
        <v>0</v>
      </c>
      <c r="P10" s="169">
        <v>0</v>
      </c>
      <c r="Q10" s="169">
        <v>1594.5</v>
      </c>
      <c r="R10" s="169">
        <v>765.75</v>
      </c>
      <c r="S10" s="169">
        <v>0</v>
      </c>
      <c r="T10" s="169">
        <v>0</v>
      </c>
      <c r="U10" s="169">
        <v>0</v>
      </c>
      <c r="V10" s="169">
        <v>0</v>
      </c>
      <c r="W10" s="169">
        <v>0</v>
      </c>
      <c r="X10" s="169">
        <v>0</v>
      </c>
      <c r="Y10" s="169">
        <v>0</v>
      </c>
      <c r="Z10" s="169">
        <v>0</v>
      </c>
      <c r="AA10" s="169">
        <v>0</v>
      </c>
      <c r="AB10" s="169">
        <v>0</v>
      </c>
      <c r="AC10" s="169">
        <v>0</v>
      </c>
      <c r="AD10" s="169">
        <v>0</v>
      </c>
      <c r="AE10" s="169">
        <v>0</v>
      </c>
      <c r="AF10" s="169">
        <v>0</v>
      </c>
      <c r="AG10" s="169">
        <v>0</v>
      </c>
      <c r="AH10" s="169">
        <v>0</v>
      </c>
      <c r="AI10" s="169">
        <v>0</v>
      </c>
      <c r="AJ10" s="169">
        <v>0</v>
      </c>
      <c r="AK10" s="169">
        <v>0</v>
      </c>
      <c r="AL10" s="169">
        <v>0</v>
      </c>
      <c r="AM10" s="169">
        <v>0</v>
      </c>
      <c r="AN10" s="169">
        <v>0</v>
      </c>
      <c r="AO10" s="169">
        <v>632.75</v>
      </c>
      <c r="AP10" s="169">
        <v>0</v>
      </c>
      <c r="AQ10" s="169">
        <v>0</v>
      </c>
      <c r="AR10" s="169">
        <v>0</v>
      </c>
      <c r="AS10" s="169">
        <v>0</v>
      </c>
      <c r="AT10" s="169">
        <v>1521</v>
      </c>
      <c r="AU10" s="169">
        <v>0</v>
      </c>
      <c r="AV10" s="169">
        <v>0</v>
      </c>
      <c r="AW10" s="169">
        <v>0</v>
      </c>
    </row>
    <row r="11" spans="1:49" x14ac:dyDescent="0.3">
      <c r="A11" s="169" t="s">
        <v>103</v>
      </c>
      <c r="B11" s="192">
        <v>8</v>
      </c>
      <c r="C11" s="169">
        <v>56</v>
      </c>
      <c r="D11" s="169">
        <v>2</v>
      </c>
      <c r="E11" s="169">
        <v>6</v>
      </c>
      <c r="F11" s="169">
        <v>831041</v>
      </c>
      <c r="G11" s="169">
        <v>0</v>
      </c>
      <c r="H11" s="169">
        <v>0</v>
      </c>
      <c r="I11" s="169">
        <v>0</v>
      </c>
      <c r="J11" s="169">
        <v>0</v>
      </c>
      <c r="K11" s="169">
        <v>0</v>
      </c>
      <c r="L11" s="169">
        <v>0</v>
      </c>
      <c r="M11" s="169">
        <v>0</v>
      </c>
      <c r="N11" s="169">
        <v>0</v>
      </c>
      <c r="O11" s="169">
        <v>0</v>
      </c>
      <c r="P11" s="169">
        <v>0</v>
      </c>
      <c r="Q11" s="169">
        <v>329874</v>
      </c>
      <c r="R11" s="169">
        <v>198378</v>
      </c>
      <c r="S11" s="169">
        <v>0</v>
      </c>
      <c r="T11" s="169">
        <v>0</v>
      </c>
      <c r="U11" s="169">
        <v>0</v>
      </c>
      <c r="V11" s="169">
        <v>0</v>
      </c>
      <c r="W11" s="169">
        <v>0</v>
      </c>
      <c r="X11" s="169">
        <v>0</v>
      </c>
      <c r="Y11" s="169">
        <v>0</v>
      </c>
      <c r="Z11" s="169">
        <v>0</v>
      </c>
      <c r="AA11" s="169">
        <v>0</v>
      </c>
      <c r="AB11" s="169">
        <v>0</v>
      </c>
      <c r="AC11" s="169">
        <v>0</v>
      </c>
      <c r="AD11" s="169">
        <v>0</v>
      </c>
      <c r="AE11" s="169">
        <v>0</v>
      </c>
      <c r="AF11" s="169">
        <v>0</v>
      </c>
      <c r="AG11" s="169">
        <v>0</v>
      </c>
      <c r="AH11" s="169">
        <v>0</v>
      </c>
      <c r="AI11" s="169">
        <v>0</v>
      </c>
      <c r="AJ11" s="169">
        <v>0</v>
      </c>
      <c r="AK11" s="169">
        <v>0</v>
      </c>
      <c r="AL11" s="169">
        <v>0</v>
      </c>
      <c r="AM11" s="169">
        <v>0</v>
      </c>
      <c r="AN11" s="169">
        <v>0</v>
      </c>
      <c r="AO11" s="169">
        <v>104158</v>
      </c>
      <c r="AP11" s="169">
        <v>0</v>
      </c>
      <c r="AQ11" s="169">
        <v>0</v>
      </c>
      <c r="AR11" s="169">
        <v>0</v>
      </c>
      <c r="AS11" s="169">
        <v>0</v>
      </c>
      <c r="AT11" s="169">
        <v>198631</v>
      </c>
      <c r="AU11" s="169">
        <v>0</v>
      </c>
      <c r="AV11" s="169">
        <v>0</v>
      </c>
      <c r="AW11" s="169">
        <v>0</v>
      </c>
    </row>
    <row r="12" spans="1:49" x14ac:dyDescent="0.3">
      <c r="A12" s="169" t="s">
        <v>104</v>
      </c>
      <c r="B12" s="192">
        <v>9</v>
      </c>
      <c r="C12" s="169">
        <v>56</v>
      </c>
      <c r="D12" s="169">
        <v>2</v>
      </c>
      <c r="E12" s="169">
        <v>9</v>
      </c>
      <c r="F12" s="169">
        <v>6144</v>
      </c>
      <c r="G12" s="169">
        <v>0</v>
      </c>
      <c r="H12" s="169">
        <v>0</v>
      </c>
      <c r="I12" s="169">
        <v>0</v>
      </c>
      <c r="J12" s="169">
        <v>0</v>
      </c>
      <c r="K12" s="169">
        <v>0</v>
      </c>
      <c r="L12" s="169">
        <v>0</v>
      </c>
      <c r="M12" s="169">
        <v>0</v>
      </c>
      <c r="N12" s="169">
        <v>0</v>
      </c>
      <c r="O12" s="169">
        <v>0</v>
      </c>
      <c r="P12" s="169">
        <v>0</v>
      </c>
      <c r="Q12" s="169">
        <v>3100</v>
      </c>
      <c r="R12" s="169">
        <v>0</v>
      </c>
      <c r="S12" s="169">
        <v>0</v>
      </c>
      <c r="T12" s="169">
        <v>0</v>
      </c>
      <c r="U12" s="169">
        <v>0</v>
      </c>
      <c r="V12" s="169">
        <v>0</v>
      </c>
      <c r="W12" s="169">
        <v>0</v>
      </c>
      <c r="X12" s="169">
        <v>0</v>
      </c>
      <c r="Y12" s="169">
        <v>0</v>
      </c>
      <c r="Z12" s="169">
        <v>0</v>
      </c>
      <c r="AA12" s="169">
        <v>0</v>
      </c>
      <c r="AB12" s="169">
        <v>0</v>
      </c>
      <c r="AC12" s="169">
        <v>0</v>
      </c>
      <c r="AD12" s="169">
        <v>0</v>
      </c>
      <c r="AE12" s="169">
        <v>0</v>
      </c>
      <c r="AF12" s="169">
        <v>0</v>
      </c>
      <c r="AG12" s="169">
        <v>0</v>
      </c>
      <c r="AH12" s="169">
        <v>0</v>
      </c>
      <c r="AI12" s="169">
        <v>0</v>
      </c>
      <c r="AJ12" s="169">
        <v>0</v>
      </c>
      <c r="AK12" s="169">
        <v>0</v>
      </c>
      <c r="AL12" s="169">
        <v>0</v>
      </c>
      <c r="AM12" s="169">
        <v>0</v>
      </c>
      <c r="AN12" s="169">
        <v>0</v>
      </c>
      <c r="AO12" s="169">
        <v>1544</v>
      </c>
      <c r="AP12" s="169">
        <v>0</v>
      </c>
      <c r="AQ12" s="169">
        <v>0</v>
      </c>
      <c r="AR12" s="169">
        <v>0</v>
      </c>
      <c r="AS12" s="169">
        <v>0</v>
      </c>
      <c r="AT12" s="169">
        <v>1500</v>
      </c>
      <c r="AU12" s="169">
        <v>0</v>
      </c>
      <c r="AV12" s="169">
        <v>0</v>
      </c>
      <c r="AW12" s="169">
        <v>0</v>
      </c>
    </row>
    <row r="13" spans="1:49" x14ac:dyDescent="0.3">
      <c r="A13" s="169" t="s">
        <v>105</v>
      </c>
      <c r="B13" s="192">
        <v>10</v>
      </c>
      <c r="C13" s="169">
        <v>56</v>
      </c>
      <c r="D13" s="169">
        <v>3</v>
      </c>
      <c r="E13" s="169">
        <v>1</v>
      </c>
      <c r="F13" s="169">
        <v>32.5</v>
      </c>
      <c r="G13" s="169">
        <v>0</v>
      </c>
      <c r="H13" s="169">
        <v>0</v>
      </c>
      <c r="I13" s="169">
        <v>0</v>
      </c>
      <c r="J13" s="169">
        <v>0</v>
      </c>
      <c r="K13" s="169">
        <v>0</v>
      </c>
      <c r="L13" s="169">
        <v>0</v>
      </c>
      <c r="M13" s="169">
        <v>0</v>
      </c>
      <c r="N13" s="169">
        <v>0</v>
      </c>
      <c r="O13" s="169">
        <v>0</v>
      </c>
      <c r="P13" s="169">
        <v>0</v>
      </c>
      <c r="Q13" s="169">
        <v>10.75</v>
      </c>
      <c r="R13" s="169">
        <v>5</v>
      </c>
      <c r="S13" s="169">
        <v>0</v>
      </c>
      <c r="T13" s="169">
        <v>0</v>
      </c>
      <c r="U13" s="169">
        <v>0</v>
      </c>
      <c r="V13" s="169">
        <v>0</v>
      </c>
      <c r="W13" s="169">
        <v>0</v>
      </c>
      <c r="X13" s="169">
        <v>0</v>
      </c>
      <c r="Y13" s="169">
        <v>0</v>
      </c>
      <c r="Z13" s="169">
        <v>0</v>
      </c>
      <c r="AA13" s="169">
        <v>0</v>
      </c>
      <c r="AB13" s="169">
        <v>0</v>
      </c>
      <c r="AC13" s="169">
        <v>0</v>
      </c>
      <c r="AD13" s="169">
        <v>0</v>
      </c>
      <c r="AE13" s="169">
        <v>0</v>
      </c>
      <c r="AF13" s="169">
        <v>0</v>
      </c>
      <c r="AG13" s="169">
        <v>0</v>
      </c>
      <c r="AH13" s="169">
        <v>0</v>
      </c>
      <c r="AI13" s="169">
        <v>0</v>
      </c>
      <c r="AJ13" s="169">
        <v>0</v>
      </c>
      <c r="AK13" s="169">
        <v>0</v>
      </c>
      <c r="AL13" s="169">
        <v>0</v>
      </c>
      <c r="AM13" s="169">
        <v>0</v>
      </c>
      <c r="AN13" s="169">
        <v>0</v>
      </c>
      <c r="AO13" s="169">
        <v>5</v>
      </c>
      <c r="AP13" s="169">
        <v>0</v>
      </c>
      <c r="AQ13" s="169">
        <v>0</v>
      </c>
      <c r="AR13" s="169">
        <v>0</v>
      </c>
      <c r="AS13" s="169">
        <v>0</v>
      </c>
      <c r="AT13" s="169">
        <v>11.75</v>
      </c>
      <c r="AU13" s="169">
        <v>0</v>
      </c>
      <c r="AV13" s="169">
        <v>0</v>
      </c>
      <c r="AW13" s="169">
        <v>0</v>
      </c>
    </row>
    <row r="14" spans="1:49" x14ac:dyDescent="0.3">
      <c r="A14" s="169" t="s">
        <v>106</v>
      </c>
      <c r="B14" s="192">
        <v>11</v>
      </c>
      <c r="C14" s="169">
        <v>56</v>
      </c>
      <c r="D14" s="169">
        <v>3</v>
      </c>
      <c r="E14" s="169">
        <v>2</v>
      </c>
      <c r="F14" s="169">
        <v>5038</v>
      </c>
      <c r="G14" s="169">
        <v>0</v>
      </c>
      <c r="H14" s="169">
        <v>0</v>
      </c>
      <c r="I14" s="169">
        <v>0</v>
      </c>
      <c r="J14" s="169">
        <v>0</v>
      </c>
      <c r="K14" s="169">
        <v>0</v>
      </c>
      <c r="L14" s="169">
        <v>0</v>
      </c>
      <c r="M14" s="169">
        <v>0</v>
      </c>
      <c r="N14" s="169">
        <v>0</v>
      </c>
      <c r="O14" s="169">
        <v>0</v>
      </c>
      <c r="P14" s="169">
        <v>0</v>
      </c>
      <c r="Q14" s="169">
        <v>1704</v>
      </c>
      <c r="R14" s="169">
        <v>839.5</v>
      </c>
      <c r="S14" s="169">
        <v>0</v>
      </c>
      <c r="T14" s="169">
        <v>0</v>
      </c>
      <c r="U14" s="169">
        <v>0</v>
      </c>
      <c r="V14" s="169">
        <v>0</v>
      </c>
      <c r="W14" s="169">
        <v>0</v>
      </c>
      <c r="X14" s="169">
        <v>0</v>
      </c>
      <c r="Y14" s="169">
        <v>0</v>
      </c>
      <c r="Z14" s="169">
        <v>0</v>
      </c>
      <c r="AA14" s="169">
        <v>0</v>
      </c>
      <c r="AB14" s="169">
        <v>0</v>
      </c>
      <c r="AC14" s="169">
        <v>0</v>
      </c>
      <c r="AD14" s="169">
        <v>0</v>
      </c>
      <c r="AE14" s="169">
        <v>0</v>
      </c>
      <c r="AF14" s="169">
        <v>0</v>
      </c>
      <c r="AG14" s="169">
        <v>0</v>
      </c>
      <c r="AH14" s="169">
        <v>0</v>
      </c>
      <c r="AI14" s="169">
        <v>0</v>
      </c>
      <c r="AJ14" s="169">
        <v>0</v>
      </c>
      <c r="AK14" s="169">
        <v>0</v>
      </c>
      <c r="AL14" s="169">
        <v>0</v>
      </c>
      <c r="AM14" s="169">
        <v>0</v>
      </c>
      <c r="AN14" s="169">
        <v>0</v>
      </c>
      <c r="AO14" s="169">
        <v>841</v>
      </c>
      <c r="AP14" s="169">
        <v>0</v>
      </c>
      <c r="AQ14" s="169">
        <v>0</v>
      </c>
      <c r="AR14" s="169">
        <v>0</v>
      </c>
      <c r="AS14" s="169">
        <v>0</v>
      </c>
      <c r="AT14" s="169">
        <v>1653.5</v>
      </c>
      <c r="AU14" s="169">
        <v>0</v>
      </c>
      <c r="AV14" s="169">
        <v>0</v>
      </c>
      <c r="AW14" s="169">
        <v>0</v>
      </c>
    </row>
    <row r="15" spans="1:49" x14ac:dyDescent="0.3">
      <c r="A15" s="169" t="s">
        <v>107</v>
      </c>
      <c r="B15" s="192">
        <v>12</v>
      </c>
      <c r="C15" s="169">
        <v>56</v>
      </c>
      <c r="D15" s="169">
        <v>3</v>
      </c>
      <c r="E15" s="169">
        <v>6</v>
      </c>
      <c r="F15" s="169">
        <v>836192</v>
      </c>
      <c r="G15" s="169">
        <v>0</v>
      </c>
      <c r="H15" s="169">
        <v>0</v>
      </c>
      <c r="I15" s="169">
        <v>0</v>
      </c>
      <c r="J15" s="169">
        <v>0</v>
      </c>
      <c r="K15" s="169">
        <v>0</v>
      </c>
      <c r="L15" s="169">
        <v>0</v>
      </c>
      <c r="M15" s="169">
        <v>0</v>
      </c>
      <c r="N15" s="169">
        <v>0</v>
      </c>
      <c r="O15" s="169">
        <v>0</v>
      </c>
      <c r="P15" s="169">
        <v>0</v>
      </c>
      <c r="Q15" s="169">
        <v>325041</v>
      </c>
      <c r="R15" s="169">
        <v>206522</v>
      </c>
      <c r="S15" s="169">
        <v>0</v>
      </c>
      <c r="T15" s="169">
        <v>0</v>
      </c>
      <c r="U15" s="169">
        <v>0</v>
      </c>
      <c r="V15" s="169">
        <v>0</v>
      </c>
      <c r="W15" s="169">
        <v>0</v>
      </c>
      <c r="X15" s="169">
        <v>0</v>
      </c>
      <c r="Y15" s="169">
        <v>0</v>
      </c>
      <c r="Z15" s="169">
        <v>0</v>
      </c>
      <c r="AA15" s="169">
        <v>0</v>
      </c>
      <c r="AB15" s="169">
        <v>0</v>
      </c>
      <c r="AC15" s="169">
        <v>0</v>
      </c>
      <c r="AD15" s="169">
        <v>0</v>
      </c>
      <c r="AE15" s="169">
        <v>0</v>
      </c>
      <c r="AF15" s="169">
        <v>0</v>
      </c>
      <c r="AG15" s="169">
        <v>0</v>
      </c>
      <c r="AH15" s="169">
        <v>0</v>
      </c>
      <c r="AI15" s="169">
        <v>0</v>
      </c>
      <c r="AJ15" s="169">
        <v>0</v>
      </c>
      <c r="AK15" s="169">
        <v>0</v>
      </c>
      <c r="AL15" s="169">
        <v>0</v>
      </c>
      <c r="AM15" s="169">
        <v>0</v>
      </c>
      <c r="AN15" s="169">
        <v>0</v>
      </c>
      <c r="AO15" s="169">
        <v>107328</v>
      </c>
      <c r="AP15" s="169">
        <v>0</v>
      </c>
      <c r="AQ15" s="169">
        <v>0</v>
      </c>
      <c r="AR15" s="169">
        <v>0</v>
      </c>
      <c r="AS15" s="169">
        <v>0</v>
      </c>
      <c r="AT15" s="169">
        <v>197301</v>
      </c>
      <c r="AU15" s="169">
        <v>0</v>
      </c>
      <c r="AV15" s="169">
        <v>0</v>
      </c>
      <c r="AW15" s="169">
        <v>0</v>
      </c>
    </row>
    <row r="16" spans="1:49" x14ac:dyDescent="0.3">
      <c r="A16" s="169" t="s">
        <v>95</v>
      </c>
      <c r="B16" s="192">
        <v>2017</v>
      </c>
      <c r="C16" s="169">
        <v>56</v>
      </c>
      <c r="D16" s="169">
        <v>3</v>
      </c>
      <c r="E16" s="169">
        <v>9</v>
      </c>
      <c r="F16" s="169">
        <v>12288</v>
      </c>
      <c r="G16" s="169">
        <v>0</v>
      </c>
      <c r="H16" s="169">
        <v>0</v>
      </c>
      <c r="I16" s="169">
        <v>0</v>
      </c>
      <c r="J16" s="169">
        <v>0</v>
      </c>
      <c r="K16" s="169">
        <v>0</v>
      </c>
      <c r="L16" s="169">
        <v>0</v>
      </c>
      <c r="M16" s="169">
        <v>0</v>
      </c>
      <c r="N16" s="169">
        <v>0</v>
      </c>
      <c r="O16" s="169">
        <v>0</v>
      </c>
      <c r="P16" s="169">
        <v>0</v>
      </c>
      <c r="Q16" s="169">
        <v>0</v>
      </c>
      <c r="R16" s="169">
        <v>5000</v>
      </c>
      <c r="S16" s="169">
        <v>0</v>
      </c>
      <c r="T16" s="169">
        <v>0</v>
      </c>
      <c r="U16" s="169">
        <v>0</v>
      </c>
      <c r="V16" s="169">
        <v>0</v>
      </c>
      <c r="W16" s="169">
        <v>0</v>
      </c>
      <c r="X16" s="169">
        <v>0</v>
      </c>
      <c r="Y16" s="169">
        <v>0</v>
      </c>
      <c r="Z16" s="169">
        <v>0</v>
      </c>
      <c r="AA16" s="169">
        <v>0</v>
      </c>
      <c r="AB16" s="169">
        <v>0</v>
      </c>
      <c r="AC16" s="169">
        <v>0</v>
      </c>
      <c r="AD16" s="169">
        <v>0</v>
      </c>
      <c r="AE16" s="169">
        <v>0</v>
      </c>
      <c r="AF16" s="169">
        <v>0</v>
      </c>
      <c r="AG16" s="169">
        <v>0</v>
      </c>
      <c r="AH16" s="169">
        <v>0</v>
      </c>
      <c r="AI16" s="169">
        <v>0</v>
      </c>
      <c r="AJ16" s="169">
        <v>0</v>
      </c>
      <c r="AK16" s="169">
        <v>0</v>
      </c>
      <c r="AL16" s="169">
        <v>0</v>
      </c>
      <c r="AM16" s="169">
        <v>0</v>
      </c>
      <c r="AN16" s="169">
        <v>0</v>
      </c>
      <c r="AO16" s="169">
        <v>0</v>
      </c>
      <c r="AP16" s="169">
        <v>0</v>
      </c>
      <c r="AQ16" s="169">
        <v>0</v>
      </c>
      <c r="AR16" s="169">
        <v>0</v>
      </c>
      <c r="AS16" s="169">
        <v>0</v>
      </c>
      <c r="AT16" s="169">
        <v>7288</v>
      </c>
      <c r="AU16" s="169">
        <v>0</v>
      </c>
      <c r="AV16" s="169">
        <v>0</v>
      </c>
      <c r="AW16" s="169">
        <v>0</v>
      </c>
    </row>
    <row r="17" spans="3:49" x14ac:dyDescent="0.3">
      <c r="C17" s="169">
        <v>56</v>
      </c>
      <c r="D17" s="169">
        <v>4</v>
      </c>
      <c r="E17" s="169">
        <v>1</v>
      </c>
      <c r="F17" s="169">
        <v>33.5</v>
      </c>
      <c r="G17" s="169">
        <v>0</v>
      </c>
      <c r="H17" s="169">
        <v>0</v>
      </c>
      <c r="I17" s="169">
        <v>0</v>
      </c>
      <c r="J17" s="169">
        <v>0</v>
      </c>
      <c r="K17" s="169">
        <v>0</v>
      </c>
      <c r="L17" s="169">
        <v>0</v>
      </c>
      <c r="M17" s="169">
        <v>0</v>
      </c>
      <c r="N17" s="169">
        <v>0</v>
      </c>
      <c r="O17" s="169">
        <v>0</v>
      </c>
      <c r="P17" s="169">
        <v>0</v>
      </c>
      <c r="Q17" s="169">
        <v>10.75</v>
      </c>
      <c r="R17" s="169">
        <v>5</v>
      </c>
      <c r="S17" s="169">
        <v>0</v>
      </c>
      <c r="T17" s="169">
        <v>0</v>
      </c>
      <c r="U17" s="169">
        <v>0</v>
      </c>
      <c r="V17" s="169">
        <v>0</v>
      </c>
      <c r="W17" s="169">
        <v>0</v>
      </c>
      <c r="X17" s="169">
        <v>0</v>
      </c>
      <c r="Y17" s="169">
        <v>0</v>
      </c>
      <c r="Z17" s="169">
        <v>0</v>
      </c>
      <c r="AA17" s="169">
        <v>0</v>
      </c>
      <c r="AB17" s="169">
        <v>0</v>
      </c>
      <c r="AC17" s="169">
        <v>0</v>
      </c>
      <c r="AD17" s="169">
        <v>0</v>
      </c>
      <c r="AE17" s="169">
        <v>0</v>
      </c>
      <c r="AF17" s="169">
        <v>0</v>
      </c>
      <c r="AG17" s="169">
        <v>0</v>
      </c>
      <c r="AH17" s="169">
        <v>0</v>
      </c>
      <c r="AI17" s="169">
        <v>0</v>
      </c>
      <c r="AJ17" s="169">
        <v>0</v>
      </c>
      <c r="AK17" s="169">
        <v>0</v>
      </c>
      <c r="AL17" s="169">
        <v>0</v>
      </c>
      <c r="AM17" s="169">
        <v>0</v>
      </c>
      <c r="AN17" s="169">
        <v>0</v>
      </c>
      <c r="AO17" s="169">
        <v>6</v>
      </c>
      <c r="AP17" s="169">
        <v>0</v>
      </c>
      <c r="AQ17" s="169">
        <v>0</v>
      </c>
      <c r="AR17" s="169">
        <v>0</v>
      </c>
      <c r="AS17" s="169">
        <v>0</v>
      </c>
      <c r="AT17" s="169">
        <v>11.75</v>
      </c>
      <c r="AU17" s="169">
        <v>0</v>
      </c>
      <c r="AV17" s="169">
        <v>0</v>
      </c>
      <c r="AW17" s="169">
        <v>0</v>
      </c>
    </row>
    <row r="18" spans="3:49" x14ac:dyDescent="0.3">
      <c r="C18" s="169">
        <v>56</v>
      </c>
      <c r="D18" s="169">
        <v>4</v>
      </c>
      <c r="E18" s="169">
        <v>2</v>
      </c>
      <c r="F18" s="169">
        <v>4361.25</v>
      </c>
      <c r="G18" s="169">
        <v>0</v>
      </c>
      <c r="H18" s="169">
        <v>0</v>
      </c>
      <c r="I18" s="169">
        <v>0</v>
      </c>
      <c r="J18" s="169">
        <v>0</v>
      </c>
      <c r="K18" s="169">
        <v>0</v>
      </c>
      <c r="L18" s="169">
        <v>0</v>
      </c>
      <c r="M18" s="169">
        <v>0</v>
      </c>
      <c r="N18" s="169">
        <v>0</v>
      </c>
      <c r="O18" s="169">
        <v>0</v>
      </c>
      <c r="P18" s="169">
        <v>0</v>
      </c>
      <c r="Q18" s="169">
        <v>1442.75</v>
      </c>
      <c r="R18" s="169">
        <v>765.5</v>
      </c>
      <c r="S18" s="169">
        <v>0</v>
      </c>
      <c r="T18" s="169">
        <v>0</v>
      </c>
      <c r="U18" s="169">
        <v>0</v>
      </c>
      <c r="V18" s="169">
        <v>0</v>
      </c>
      <c r="W18" s="169">
        <v>0</v>
      </c>
      <c r="X18" s="169">
        <v>0</v>
      </c>
      <c r="Y18" s="169">
        <v>0</v>
      </c>
      <c r="Z18" s="169">
        <v>0</v>
      </c>
      <c r="AA18" s="169">
        <v>0</v>
      </c>
      <c r="AB18" s="169">
        <v>0</v>
      </c>
      <c r="AC18" s="169">
        <v>0</v>
      </c>
      <c r="AD18" s="169">
        <v>0</v>
      </c>
      <c r="AE18" s="169">
        <v>0</v>
      </c>
      <c r="AF18" s="169">
        <v>0</v>
      </c>
      <c r="AG18" s="169">
        <v>0</v>
      </c>
      <c r="AH18" s="169">
        <v>0</v>
      </c>
      <c r="AI18" s="169">
        <v>0</v>
      </c>
      <c r="AJ18" s="169">
        <v>0</v>
      </c>
      <c r="AK18" s="169">
        <v>0</v>
      </c>
      <c r="AL18" s="169">
        <v>0</v>
      </c>
      <c r="AM18" s="169">
        <v>0</v>
      </c>
      <c r="AN18" s="169">
        <v>0</v>
      </c>
      <c r="AO18" s="169">
        <v>666.75</v>
      </c>
      <c r="AP18" s="169">
        <v>0</v>
      </c>
      <c r="AQ18" s="169">
        <v>0</v>
      </c>
      <c r="AR18" s="169">
        <v>0</v>
      </c>
      <c r="AS18" s="169">
        <v>0</v>
      </c>
      <c r="AT18" s="169">
        <v>1486.25</v>
      </c>
      <c r="AU18" s="169">
        <v>0</v>
      </c>
      <c r="AV18" s="169">
        <v>0</v>
      </c>
      <c r="AW18" s="169">
        <v>0</v>
      </c>
    </row>
    <row r="19" spans="3:49" x14ac:dyDescent="0.3">
      <c r="C19" s="169">
        <v>56</v>
      </c>
      <c r="D19" s="169">
        <v>4</v>
      </c>
      <c r="E19" s="169">
        <v>6</v>
      </c>
      <c r="F19" s="169">
        <v>885039</v>
      </c>
      <c r="G19" s="169">
        <v>0</v>
      </c>
      <c r="H19" s="169">
        <v>0</v>
      </c>
      <c r="I19" s="169">
        <v>0</v>
      </c>
      <c r="J19" s="169">
        <v>0</v>
      </c>
      <c r="K19" s="169">
        <v>0</v>
      </c>
      <c r="L19" s="169">
        <v>0</v>
      </c>
      <c r="M19" s="169">
        <v>0</v>
      </c>
      <c r="N19" s="169">
        <v>0</v>
      </c>
      <c r="O19" s="169">
        <v>0</v>
      </c>
      <c r="P19" s="169">
        <v>0</v>
      </c>
      <c r="Q19" s="169">
        <v>331355</v>
      </c>
      <c r="R19" s="169">
        <v>201620</v>
      </c>
      <c r="S19" s="169">
        <v>0</v>
      </c>
      <c r="T19" s="169">
        <v>0</v>
      </c>
      <c r="U19" s="169">
        <v>0</v>
      </c>
      <c r="V19" s="169">
        <v>0</v>
      </c>
      <c r="W19" s="169">
        <v>0</v>
      </c>
      <c r="X19" s="169">
        <v>0</v>
      </c>
      <c r="Y19" s="169">
        <v>0</v>
      </c>
      <c r="Z19" s="169">
        <v>0</v>
      </c>
      <c r="AA19" s="169">
        <v>0</v>
      </c>
      <c r="AB19" s="169">
        <v>0</v>
      </c>
      <c r="AC19" s="169">
        <v>0</v>
      </c>
      <c r="AD19" s="169">
        <v>0</v>
      </c>
      <c r="AE19" s="169">
        <v>0</v>
      </c>
      <c r="AF19" s="169">
        <v>0</v>
      </c>
      <c r="AG19" s="169">
        <v>0</v>
      </c>
      <c r="AH19" s="169">
        <v>0</v>
      </c>
      <c r="AI19" s="169">
        <v>0</v>
      </c>
      <c r="AJ19" s="169">
        <v>0</v>
      </c>
      <c r="AK19" s="169">
        <v>0</v>
      </c>
      <c r="AL19" s="169">
        <v>0</v>
      </c>
      <c r="AM19" s="169">
        <v>0</v>
      </c>
      <c r="AN19" s="169">
        <v>0</v>
      </c>
      <c r="AO19" s="169">
        <v>137400</v>
      </c>
      <c r="AP19" s="169">
        <v>0</v>
      </c>
      <c r="AQ19" s="169">
        <v>0</v>
      </c>
      <c r="AR19" s="169">
        <v>0</v>
      </c>
      <c r="AS19" s="169">
        <v>0</v>
      </c>
      <c r="AT19" s="169">
        <v>214664</v>
      </c>
      <c r="AU19" s="169">
        <v>0</v>
      </c>
      <c r="AV19" s="169">
        <v>0</v>
      </c>
      <c r="AW19" s="169">
        <v>0</v>
      </c>
    </row>
    <row r="20" spans="3:49" x14ac:dyDescent="0.3">
      <c r="C20" s="169">
        <v>56</v>
      </c>
      <c r="D20" s="169">
        <v>4</v>
      </c>
      <c r="E20" s="169">
        <v>9</v>
      </c>
      <c r="F20" s="169">
        <v>30720</v>
      </c>
      <c r="G20" s="169">
        <v>0</v>
      </c>
      <c r="H20" s="169">
        <v>0</v>
      </c>
      <c r="I20" s="169">
        <v>0</v>
      </c>
      <c r="J20" s="169">
        <v>0</v>
      </c>
      <c r="K20" s="169">
        <v>0</v>
      </c>
      <c r="L20" s="169">
        <v>0</v>
      </c>
      <c r="M20" s="169">
        <v>0</v>
      </c>
      <c r="N20" s="169">
        <v>0</v>
      </c>
      <c r="O20" s="169">
        <v>0</v>
      </c>
      <c r="P20" s="169">
        <v>0</v>
      </c>
      <c r="Q20" s="169">
        <v>5100</v>
      </c>
      <c r="R20" s="169">
        <v>5000</v>
      </c>
      <c r="S20" s="169">
        <v>0</v>
      </c>
      <c r="T20" s="169">
        <v>0</v>
      </c>
      <c r="U20" s="169">
        <v>0</v>
      </c>
      <c r="V20" s="169">
        <v>0</v>
      </c>
      <c r="W20" s="169">
        <v>0</v>
      </c>
      <c r="X20" s="169">
        <v>0</v>
      </c>
      <c r="Y20" s="169">
        <v>0</v>
      </c>
      <c r="Z20" s="169">
        <v>0</v>
      </c>
      <c r="AA20" s="169">
        <v>0</v>
      </c>
      <c r="AB20" s="169">
        <v>0</v>
      </c>
      <c r="AC20" s="169">
        <v>0</v>
      </c>
      <c r="AD20" s="169">
        <v>0</v>
      </c>
      <c r="AE20" s="169">
        <v>0</v>
      </c>
      <c r="AF20" s="169">
        <v>0</v>
      </c>
      <c r="AG20" s="169">
        <v>0</v>
      </c>
      <c r="AH20" s="169">
        <v>0</v>
      </c>
      <c r="AI20" s="169">
        <v>0</v>
      </c>
      <c r="AJ20" s="169">
        <v>0</v>
      </c>
      <c r="AK20" s="169">
        <v>0</v>
      </c>
      <c r="AL20" s="169">
        <v>0</v>
      </c>
      <c r="AM20" s="169">
        <v>0</v>
      </c>
      <c r="AN20" s="169">
        <v>0</v>
      </c>
      <c r="AO20" s="169">
        <v>4544</v>
      </c>
      <c r="AP20" s="169">
        <v>0</v>
      </c>
      <c r="AQ20" s="169">
        <v>0</v>
      </c>
      <c r="AR20" s="169">
        <v>0</v>
      </c>
      <c r="AS20" s="169">
        <v>0</v>
      </c>
      <c r="AT20" s="169">
        <v>16076</v>
      </c>
      <c r="AU20" s="169">
        <v>0</v>
      </c>
      <c r="AV20" s="169">
        <v>0</v>
      </c>
      <c r="AW20" s="16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3" bestFit="1" customWidth="1"/>
    <col min="2" max="2" width="11.6640625" style="113" hidden="1" customWidth="1"/>
    <col min="3" max="4" width="11" style="115" customWidth="1"/>
    <col min="5" max="5" width="11" style="116" customWidth="1"/>
    <col min="6" max="16384" width="8.88671875" style="113"/>
  </cols>
  <sheetData>
    <row r="1" spans="1:5" ht="18.600000000000001" thickBot="1" x14ac:dyDescent="0.4">
      <c r="A1" s="271" t="s">
        <v>73</v>
      </c>
      <c r="B1" s="271"/>
      <c r="C1" s="272"/>
      <c r="D1" s="272"/>
      <c r="E1" s="272"/>
    </row>
    <row r="2" spans="1:5" ht="14.4" customHeight="1" thickBot="1" x14ac:dyDescent="0.35">
      <c r="A2" s="173" t="s">
        <v>178</v>
      </c>
      <c r="B2" s="114"/>
    </row>
    <row r="3" spans="1:5" ht="14.4" customHeight="1" thickBot="1" x14ac:dyDescent="0.35">
      <c r="A3" s="117"/>
      <c r="C3" s="118" t="s">
        <v>62</v>
      </c>
      <c r="D3" s="119" t="s">
        <v>55</v>
      </c>
      <c r="E3" s="120" t="s">
        <v>57</v>
      </c>
    </row>
    <row r="4" spans="1:5" ht="14.4" customHeight="1" thickBot="1" x14ac:dyDescent="0.35">
      <c r="A4" s="121" t="str">
        <f>HYPERLINK("#HI!A1","NÁKLADY CELKEM (v tisících Kč)")</f>
        <v>NÁKLADY CELKEM (v tisících Kč)</v>
      </c>
      <c r="B4" s="122"/>
      <c r="C4" s="123">
        <f ca="1">IF(ISERROR(VLOOKUP("Náklady celkem",INDIRECT("HI!$A:$G"),6,0)),0,VLOOKUP("Náklady celkem",INDIRECT("HI!$A:$G"),6,0))</f>
        <v>8939.9248477983474</v>
      </c>
      <c r="D4" s="123">
        <f ca="1">IF(ISERROR(VLOOKUP("Náklady celkem",INDIRECT("HI!$A:$G"),5,0)),0,VLOOKUP("Náklady celkem",INDIRECT("HI!$A:$G"),5,0))</f>
        <v>9277.6682300000011</v>
      </c>
      <c r="E4" s="124">
        <f ca="1">IF(C4=0,0,D4/C4)</f>
        <v>1.0377792193952089</v>
      </c>
    </row>
    <row r="5" spans="1:5" ht="14.4" customHeight="1" x14ac:dyDescent="0.3">
      <c r="A5" s="125" t="s">
        <v>82</v>
      </c>
      <c r="B5" s="126"/>
      <c r="C5" s="127"/>
      <c r="D5" s="127"/>
      <c r="E5" s="128"/>
    </row>
    <row r="6" spans="1:5" ht="14.4" customHeight="1" x14ac:dyDescent="0.3">
      <c r="A6" s="129" t="s">
        <v>87</v>
      </c>
      <c r="B6" s="130"/>
      <c r="C6" s="131"/>
      <c r="D6" s="131"/>
      <c r="E6" s="128"/>
    </row>
    <row r="7" spans="1:5" ht="14.4" customHeight="1" x14ac:dyDescent="0.3">
      <c r="A7" s="23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0" t="s">
        <v>66</v>
      </c>
      <c r="C7" s="131">
        <f>IF(ISERROR(HI!F5),"",HI!F5)</f>
        <v>20.000000244140622</v>
      </c>
      <c r="D7" s="131">
        <f>IF(ISERROR(HI!E5),"",HI!E5)</f>
        <v>19.169739999999997</v>
      </c>
      <c r="E7" s="128">
        <f t="shared" ref="E7:E12" si="0">IF(C7=0,0,D7/C7)</f>
        <v>0.95848698829971934</v>
      </c>
    </row>
    <row r="8" spans="1:5" ht="14.4" customHeight="1" x14ac:dyDescent="0.3">
      <c r="A8" s="236" t="str">
        <f>HYPERLINK("#'LŽ Statim'!A1","Podíl statimových žádanek (max. 30%)")</f>
        <v>Podíl statimových žádanek (max. 30%)</v>
      </c>
      <c r="B8" s="234" t="s">
        <v>143</v>
      </c>
      <c r="C8" s="235">
        <v>0.3</v>
      </c>
      <c r="D8" s="235">
        <f>IF('LŽ Statim'!G3="",0,'LŽ Statim'!G3)</f>
        <v>0</v>
      </c>
      <c r="E8" s="128">
        <f>IF(C8=0,0,D8/C8)</f>
        <v>0</v>
      </c>
    </row>
    <row r="9" spans="1:5" ht="14.4" customHeight="1" x14ac:dyDescent="0.3">
      <c r="A9" s="132" t="s">
        <v>83</v>
      </c>
      <c r="B9" s="130"/>
      <c r="C9" s="131"/>
      <c r="D9" s="131"/>
      <c r="E9" s="128"/>
    </row>
    <row r="10" spans="1:5" ht="14.4" customHeight="1" x14ac:dyDescent="0.3">
      <c r="A10" s="132" t="s">
        <v>84</v>
      </c>
      <c r="B10" s="130"/>
      <c r="C10" s="131"/>
      <c r="D10" s="131"/>
      <c r="E10" s="128"/>
    </row>
    <row r="11" spans="1:5" ht="14.4" customHeight="1" x14ac:dyDescent="0.3">
      <c r="A11" s="133" t="s">
        <v>88</v>
      </c>
      <c r="B11" s="130"/>
      <c r="C11" s="127"/>
      <c r="D11" s="127"/>
      <c r="E11" s="128"/>
    </row>
    <row r="12" spans="1:5" ht="14.4" customHeight="1" x14ac:dyDescent="0.3">
      <c r="A12" s="13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0" t="s">
        <v>66</v>
      </c>
      <c r="C12" s="131">
        <f>IF(ISERROR(HI!F6),"",HI!F6)</f>
        <v>6.6666665039062503</v>
      </c>
      <c r="D12" s="131">
        <f>IF(ISERROR(HI!E6),"",HI!E6)</f>
        <v>3.63</v>
      </c>
      <c r="E12" s="128">
        <f t="shared" si="0"/>
        <v>0.54450001329345732</v>
      </c>
    </row>
    <row r="13" spans="1:5" ht="14.4" customHeight="1" thickBot="1" x14ac:dyDescent="0.35">
      <c r="A13" s="135" t="str">
        <f>HYPERLINK("#HI!A1","Osobní náklady")</f>
        <v>Osobní náklady</v>
      </c>
      <c r="B13" s="130"/>
      <c r="C13" s="127">
        <f ca="1">IF(ISERROR(VLOOKUP("Osobní náklady (Kč) *",INDIRECT("HI!$A:$G"),6,0)),0,VLOOKUP("Osobní náklady (Kč) *",INDIRECT("HI!$A:$G"),6,0))</f>
        <v>4423.9999953002934</v>
      </c>
      <c r="D13" s="127">
        <f ca="1">IF(ISERROR(VLOOKUP("Osobní náklady (Kč) *",INDIRECT("HI!$A:$G"),5,0)),0,VLOOKUP("Osobní náklady (Kč) *",INDIRECT("HI!$A:$G"),5,0))</f>
        <v>4638.2521099999994</v>
      </c>
      <c r="E13" s="128">
        <f ca="1">IF(C13=0,0,D13/C13)</f>
        <v>1.0484295015658478</v>
      </c>
    </row>
    <row r="14" spans="1:5" ht="14.4" customHeight="1" thickBot="1" x14ac:dyDescent="0.35">
      <c r="A14" s="139"/>
      <c r="B14" s="140"/>
      <c r="C14" s="141"/>
      <c r="D14" s="141"/>
      <c r="E14" s="142"/>
    </row>
    <row r="15" spans="1:5" ht="14.4" customHeight="1" thickBot="1" x14ac:dyDescent="0.35">
      <c r="A15" s="143" t="str">
        <f>HYPERLINK("#HI!A1","VÝNOSY CELKEM (v tisících)")</f>
        <v>VÝNOSY CELKEM (v tisících)</v>
      </c>
      <c r="B15" s="144"/>
      <c r="C15" s="145">
        <f ca="1">IF(ISERROR(VLOOKUP("Výnosy celkem",INDIRECT("HI!$A:$G"),6,0)),0,VLOOKUP("Výnosy celkem",INDIRECT("HI!$A:$G"),6,0))</f>
        <v>0</v>
      </c>
      <c r="D15" s="145">
        <f ca="1">IF(ISERROR(VLOOKUP("Výnosy celkem",INDIRECT("HI!$A:$G"),5,0)),0,VLOOKUP("Výnosy celkem",INDIRECT("HI!$A:$G"),5,0))</f>
        <v>0</v>
      </c>
      <c r="E15" s="146">
        <f t="shared" ref="E15:E16" ca="1" si="1">IF(C15=0,0,D15/C15)</f>
        <v>0</v>
      </c>
    </row>
    <row r="16" spans="1:5" ht="14.4" customHeight="1" x14ac:dyDescent="0.3">
      <c r="A16" s="147" t="str">
        <f>HYPERLINK("#HI!A1","Ambulance (body za výkony + Kč za ZUM a ZULP)")</f>
        <v>Ambulance (body za výkony + Kč za ZUM a ZULP)</v>
      </c>
      <c r="B16" s="126"/>
      <c r="C16" s="127">
        <f ca="1">IF(ISERROR(VLOOKUP("Ambulance *",INDIRECT("HI!$A:$G"),6,0)),0,VLOOKUP("Ambulance *",INDIRECT("HI!$A:$G"),6,0))</f>
        <v>0</v>
      </c>
      <c r="D16" s="127">
        <f ca="1">IF(ISERROR(VLOOKUP("Ambulance *",INDIRECT("HI!$A:$G"),5,0)),0,VLOOKUP("Ambulance *",INDIRECT("HI!$A:$G"),5,0))</f>
        <v>0</v>
      </c>
      <c r="E16" s="128">
        <f t="shared" ca="1" si="1"/>
        <v>0</v>
      </c>
    </row>
    <row r="17" spans="1:5" ht="14.4" customHeight="1" x14ac:dyDescent="0.3">
      <c r="A17" s="148" t="str">
        <f>HYPERLINK("#HI!A1","Hospitalizace (casemix * 30000)")</f>
        <v>Hospitalizace (casemix * 30000)</v>
      </c>
      <c r="B17" s="130"/>
      <c r="C17" s="127">
        <f ca="1">IF(ISERROR(VLOOKUP("Hospitalizace *",INDIRECT("HI!$A:$G"),6,0)),0,VLOOKUP("Hospitalizace *",INDIRECT("HI!$A:$G"),6,0))</f>
        <v>0</v>
      </c>
      <c r="D17" s="127">
        <f ca="1">IF(ISERROR(VLOOKUP("Hospitalizace *",INDIRECT("HI!$A:$G"),5,0)),0,VLOOKUP("Hospitalizace *",INDIRECT("HI!$A:$G"),5,0))</f>
        <v>0</v>
      </c>
      <c r="E17" s="128">
        <f ca="1">IF(C17=0,0,D17/C17)</f>
        <v>0</v>
      </c>
    </row>
    <row r="18" spans="1:5" ht="14.4" customHeight="1" thickBot="1" x14ac:dyDescent="0.35">
      <c r="A18" s="149" t="s">
        <v>85</v>
      </c>
      <c r="B18" s="136"/>
      <c r="C18" s="137"/>
      <c r="D18" s="137"/>
      <c r="E18" s="138"/>
    </row>
    <row r="19" spans="1:5" ht="14.4" customHeight="1" thickBot="1" x14ac:dyDescent="0.35">
      <c r="A19" s="150"/>
      <c r="B19" s="151"/>
      <c r="C19" s="152"/>
      <c r="D19" s="152"/>
      <c r="E19" s="153"/>
    </row>
    <row r="20" spans="1:5" ht="14.4" customHeight="1" thickBot="1" x14ac:dyDescent="0.35">
      <c r="A20" s="154" t="s">
        <v>86</v>
      </c>
      <c r="B20" s="155"/>
      <c r="C20" s="156"/>
      <c r="D20" s="156"/>
      <c r="E20" s="157"/>
    </row>
  </sheetData>
  <mergeCells count="1">
    <mergeCell ref="A1:E1"/>
  </mergeCells>
  <conditionalFormatting sqref="E5">
    <cfRule type="cellIs" dxfId="5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6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4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7">
    <cfRule type="cellIs" dxfId="53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51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50" priority="29" operator="lessThan">
      <formula>1</formula>
    </cfRule>
    <cfRule type="iconSet" priority="30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9" priority="35" operator="greaterThan">
      <formula>1</formula>
    </cfRule>
    <cfRule type="iconSet" priority="3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95" bestFit="1" customWidth="1"/>
    <col min="2" max="2" width="9.5546875" style="95" hidden="1" customWidth="1" outlineLevel="1"/>
    <col min="3" max="3" width="9.5546875" style="95" customWidth="1" collapsed="1"/>
    <col min="4" max="4" width="2.21875" style="95" customWidth="1"/>
    <col min="5" max="8" width="9.5546875" style="95" customWidth="1"/>
    <col min="9" max="10" width="9.77734375" style="95" hidden="1" customWidth="1" outlineLevel="1"/>
    <col min="11" max="11" width="8.88671875" style="95" collapsed="1"/>
    <col min="12" max="16384" width="8.88671875" style="95"/>
  </cols>
  <sheetData>
    <row r="1" spans="1:10" ht="18.600000000000001" customHeight="1" thickBot="1" x14ac:dyDescent="0.4">
      <c r="A1" s="282" t="s">
        <v>76</v>
      </c>
      <c r="B1" s="282"/>
      <c r="C1" s="282"/>
      <c r="D1" s="282"/>
      <c r="E1" s="282"/>
      <c r="F1" s="282"/>
      <c r="G1" s="282"/>
      <c r="H1" s="282"/>
      <c r="I1" s="282"/>
      <c r="J1" s="282"/>
    </row>
    <row r="2" spans="1:10" ht="14.4" customHeight="1" thickBot="1" x14ac:dyDescent="0.35">
      <c r="A2" s="173" t="s">
        <v>178</v>
      </c>
      <c r="B2" s="77"/>
      <c r="C2" s="77"/>
      <c r="D2" s="77"/>
      <c r="E2" s="77"/>
      <c r="F2" s="77"/>
    </row>
    <row r="3" spans="1:10" ht="14.4" customHeight="1" x14ac:dyDescent="0.3">
      <c r="A3" s="273"/>
      <c r="B3" s="73">
        <v>2015</v>
      </c>
      <c r="C3" s="40">
        <v>2016</v>
      </c>
      <c r="D3" s="7"/>
      <c r="E3" s="277">
        <v>2017</v>
      </c>
      <c r="F3" s="278"/>
      <c r="G3" s="278"/>
      <c r="H3" s="279"/>
      <c r="I3" s="280">
        <v>2017</v>
      </c>
      <c r="J3" s="281"/>
    </row>
    <row r="4" spans="1:10" ht="14.4" customHeight="1" thickBot="1" x14ac:dyDescent="0.35">
      <c r="A4" s="274"/>
      <c r="B4" s="275" t="s">
        <v>55</v>
      </c>
      <c r="C4" s="276"/>
      <c r="D4" s="7"/>
      <c r="E4" s="94" t="s">
        <v>55</v>
      </c>
      <c r="F4" s="75" t="s">
        <v>56</v>
      </c>
      <c r="G4" s="75" t="s">
        <v>52</v>
      </c>
      <c r="H4" s="76" t="s">
        <v>57</v>
      </c>
      <c r="I4" s="240" t="s">
        <v>169</v>
      </c>
      <c r="J4" s="241" t="s">
        <v>170</v>
      </c>
    </row>
    <row r="5" spans="1:10" ht="14.4" customHeight="1" x14ac:dyDescent="0.3">
      <c r="A5" s="78" t="str">
        <f>HYPERLINK("#'Léky Žádanky'!A1","Léky (Kč)")</f>
        <v>Léky (Kč)</v>
      </c>
      <c r="B5" s="27">
        <v>13.791309999999999</v>
      </c>
      <c r="C5" s="29">
        <v>20.903059999999996</v>
      </c>
      <c r="D5" s="8"/>
      <c r="E5" s="83">
        <v>19.169739999999997</v>
      </c>
      <c r="F5" s="28">
        <v>20.000000244140622</v>
      </c>
      <c r="G5" s="82">
        <f>E5-F5</f>
        <v>-0.83026024414062505</v>
      </c>
      <c r="H5" s="88">
        <f>IF(F5&lt;0.00000001,"",E5/F5)</f>
        <v>0.95848698829971934</v>
      </c>
    </row>
    <row r="6" spans="1:10" ht="14.4" customHeight="1" x14ac:dyDescent="0.3">
      <c r="A6" s="78" t="str">
        <f>HYPERLINK("#'Materiál Žádanky'!A1","Materiál - SZM (Kč)")</f>
        <v>Materiál - SZM (Kč)</v>
      </c>
      <c r="B6" s="10">
        <v>0</v>
      </c>
      <c r="C6" s="31">
        <v>4.1180000000000003</v>
      </c>
      <c r="D6" s="8"/>
      <c r="E6" s="84">
        <v>3.63</v>
      </c>
      <c r="F6" s="30">
        <v>6.6666665039062503</v>
      </c>
      <c r="G6" s="85">
        <f>E6-F6</f>
        <v>-3.0366665039062504</v>
      </c>
      <c r="H6" s="89">
        <f>IF(F6&lt;0.00000001,"",E6/F6)</f>
        <v>0.54450001329345732</v>
      </c>
    </row>
    <row r="7" spans="1:10" ht="14.4" customHeight="1" x14ac:dyDescent="0.3">
      <c r="A7" s="78" t="str">
        <f>HYPERLINK("#'Osobní náklady'!A1","Osobní náklady (Kč) *")</f>
        <v>Osobní náklady (Kč) *</v>
      </c>
      <c r="B7" s="10">
        <v>3804.7132899999997</v>
      </c>
      <c r="C7" s="31">
        <v>3941.8843200000001</v>
      </c>
      <c r="D7" s="8"/>
      <c r="E7" s="84">
        <v>4638.2521099999994</v>
      </c>
      <c r="F7" s="30">
        <v>4423.9999953002934</v>
      </c>
      <c r="G7" s="85">
        <f>E7-F7</f>
        <v>214.252114699706</v>
      </c>
      <c r="H7" s="89">
        <f>IF(F7&lt;0.00000001,"",E7/F7)</f>
        <v>1.0484295015658478</v>
      </c>
    </row>
    <row r="8" spans="1:10" ht="14.4" customHeight="1" thickBot="1" x14ac:dyDescent="0.35">
      <c r="A8" s="1" t="s">
        <v>58</v>
      </c>
      <c r="B8" s="11">
        <v>4817.1261600000007</v>
      </c>
      <c r="C8" s="33">
        <v>4843.5856899999999</v>
      </c>
      <c r="D8" s="8"/>
      <c r="E8" s="86">
        <v>4616.6163800000013</v>
      </c>
      <c r="F8" s="32">
        <v>4489.2581857500072</v>
      </c>
      <c r="G8" s="87">
        <f>E8-F8</f>
        <v>127.35819424999409</v>
      </c>
      <c r="H8" s="90">
        <f>IF(F8&lt;0.00000001,"",E8/F8)</f>
        <v>1.0283695410199973</v>
      </c>
    </row>
    <row r="9" spans="1:10" ht="14.4" customHeight="1" thickBot="1" x14ac:dyDescent="0.35">
      <c r="A9" s="2" t="s">
        <v>59</v>
      </c>
      <c r="B9" s="3">
        <v>8635.63076</v>
      </c>
      <c r="C9" s="35">
        <v>8810.49107</v>
      </c>
      <c r="D9" s="8"/>
      <c r="E9" s="3">
        <v>9277.6682300000011</v>
      </c>
      <c r="F9" s="34">
        <v>8939.9248477983474</v>
      </c>
      <c r="G9" s="34">
        <f>E9-F9</f>
        <v>337.74338220165373</v>
      </c>
      <c r="H9" s="91">
        <f>IF(F9&lt;0.00000001,"",E9/F9)</f>
        <v>1.0377792193952089</v>
      </c>
    </row>
    <row r="10" spans="1:10" ht="14.4" customHeight="1" thickBot="1" x14ac:dyDescent="0.35">
      <c r="A10" s="12"/>
      <c r="B10" s="12"/>
      <c r="C10" s="74"/>
      <c r="D10" s="8"/>
      <c r="E10" s="12"/>
      <c r="F10" s="13"/>
    </row>
    <row r="11" spans="1:10" ht="14.4" customHeight="1" x14ac:dyDescent="0.3">
      <c r="A11" s="98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3">
        <f>IF(ISERROR(VLOOKUP("Celkem:",#REF!,8,0)),0,VLOOKUP("Celkem:",#REF!,8,0)/1000)</f>
        <v>0</v>
      </c>
      <c r="F11" s="28">
        <f>C11</f>
        <v>0</v>
      </c>
      <c r="G11" s="82">
        <f>E11-F11</f>
        <v>0</v>
      </c>
      <c r="H11" s="88" t="str">
        <f>IF(F11&lt;0.00000001,"",E11/F11)</f>
        <v/>
      </c>
      <c r="I11" s="82">
        <f>E11-B11</f>
        <v>0</v>
      </c>
      <c r="J11" s="88" t="str">
        <f>IF(B11&lt;0.00000001,"",E11/B11)</f>
        <v/>
      </c>
    </row>
    <row r="12" spans="1:10" ht="14.4" customHeight="1" thickBot="1" x14ac:dyDescent="0.35">
      <c r="A12" s="9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C12</f>
        <v>0</v>
      </c>
      <c r="G12" s="87">
        <f>E12-F12</f>
        <v>0</v>
      </c>
      <c r="H12" s="90" t="str">
        <f>IF(F12&lt;0.00000001,"",E12/F12)</f>
        <v/>
      </c>
      <c r="I12" s="87">
        <f>E12-B12</f>
        <v>0</v>
      </c>
      <c r="J12" s="90" t="str">
        <f>IF(B12&lt;0.00000001,"",E12/B12)</f>
        <v/>
      </c>
    </row>
    <row r="13" spans="1:10" ht="14.4" customHeight="1" thickBot="1" x14ac:dyDescent="0.35">
      <c r="A13" s="4" t="s">
        <v>60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  <c r="I13" s="36">
        <f>SUM(I11:I12)</f>
        <v>0</v>
      </c>
      <c r="J13" s="92" t="str">
        <f>IF(B13&lt;0.00000001,"",E13/B13)</f>
        <v/>
      </c>
    </row>
    <row r="14" spans="1:10" ht="14.4" customHeight="1" thickBot="1" x14ac:dyDescent="0.35">
      <c r="A14" s="12"/>
      <c r="B14" s="12"/>
      <c r="C14" s="74"/>
      <c r="D14" s="8"/>
      <c r="E14" s="12"/>
      <c r="F14" s="13"/>
    </row>
    <row r="15" spans="1:10" ht="14.4" customHeight="1" thickBot="1" x14ac:dyDescent="0.35">
      <c r="A15" s="100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90</v>
      </c>
    </row>
    <row r="18" spans="1:8" ht="14.4" customHeight="1" x14ac:dyDescent="0.3">
      <c r="A18" s="212" t="s">
        <v>121</v>
      </c>
      <c r="B18" s="213"/>
      <c r="C18" s="213"/>
      <c r="D18" s="213"/>
      <c r="E18" s="213"/>
      <c r="F18" s="213"/>
      <c r="G18" s="213"/>
      <c r="H18" s="213"/>
    </row>
    <row r="19" spans="1:8" x14ac:dyDescent="0.3">
      <c r="A19" s="211" t="s">
        <v>120</v>
      </c>
      <c r="B19" s="213"/>
      <c r="C19" s="213"/>
      <c r="D19" s="213"/>
      <c r="E19" s="213"/>
      <c r="F19" s="213"/>
      <c r="G19" s="213"/>
      <c r="H19" s="213"/>
    </row>
    <row r="20" spans="1:8" ht="14.4" customHeight="1" x14ac:dyDescent="0.3">
      <c r="A20" s="80" t="s">
        <v>144</v>
      </c>
    </row>
    <row r="21" spans="1:8" ht="14.4" customHeight="1" x14ac:dyDescent="0.3">
      <c r="A21" s="80" t="s">
        <v>91</v>
      </c>
    </row>
    <row r="22" spans="1:8" ht="14.4" customHeight="1" x14ac:dyDescent="0.3">
      <c r="A22" s="81" t="s">
        <v>168</v>
      </c>
    </row>
    <row r="23" spans="1:8" ht="14.4" customHeight="1" x14ac:dyDescent="0.3">
      <c r="A23" s="81" t="s">
        <v>92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8" priority="8" operator="greaterThan">
      <formula>0</formula>
    </cfRule>
  </conditionalFormatting>
  <conditionalFormatting sqref="G11:G13 G15">
    <cfRule type="cellIs" dxfId="47" priority="7" operator="lessThan">
      <formula>0</formula>
    </cfRule>
  </conditionalFormatting>
  <conditionalFormatting sqref="H5:H9">
    <cfRule type="cellIs" dxfId="46" priority="6" operator="greaterThan">
      <formula>1</formula>
    </cfRule>
  </conditionalFormatting>
  <conditionalFormatting sqref="H11:H13 H15">
    <cfRule type="cellIs" dxfId="45" priority="5" operator="lessThan">
      <formula>1</formula>
    </cfRule>
  </conditionalFormatting>
  <conditionalFormatting sqref="I11:I13">
    <cfRule type="cellIs" dxfId="44" priority="4" operator="lessThan">
      <formula>0</formula>
    </cfRule>
  </conditionalFormatting>
  <conditionalFormatting sqref="J11:J13">
    <cfRule type="cellIs" dxfId="43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5" bestFit="1" customWidth="1"/>
    <col min="2" max="2" width="12.77734375" style="95" bestFit="1" customWidth="1"/>
    <col min="3" max="3" width="13.6640625" style="95" bestFit="1" customWidth="1"/>
    <col min="4" max="15" width="7.77734375" style="95" bestFit="1" customWidth="1"/>
    <col min="16" max="16" width="8.88671875" style="95" customWidth="1"/>
    <col min="17" max="17" width="6.6640625" style="95" bestFit="1" customWidth="1"/>
    <col min="18" max="16384" width="8.88671875" style="95"/>
  </cols>
  <sheetData>
    <row r="1" spans="1:17" s="158" customFormat="1" ht="18.600000000000001" customHeight="1" thickBot="1" x14ac:dyDescent="0.4">
      <c r="A1" s="283" t="s">
        <v>180</v>
      </c>
      <c r="B1" s="283"/>
      <c r="C1" s="283"/>
      <c r="D1" s="283"/>
      <c r="E1" s="283"/>
      <c r="F1" s="283"/>
      <c r="G1" s="283"/>
      <c r="H1" s="271"/>
      <c r="I1" s="271"/>
      <c r="J1" s="271"/>
      <c r="K1" s="271"/>
      <c r="L1" s="271"/>
      <c r="M1" s="271"/>
      <c r="N1" s="271"/>
      <c r="O1" s="271"/>
      <c r="P1" s="271"/>
      <c r="Q1" s="271"/>
    </row>
    <row r="2" spans="1:17" s="158" customFormat="1" ht="14.4" customHeight="1" thickBot="1" x14ac:dyDescent="0.3">
      <c r="A2" s="173" t="s">
        <v>178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7" ht="14.4" customHeight="1" x14ac:dyDescent="0.3">
      <c r="A3" s="58"/>
      <c r="B3" s="284" t="s">
        <v>13</v>
      </c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103"/>
      <c r="Q3" s="105"/>
    </row>
    <row r="4" spans="1:17" ht="14.4" customHeight="1" x14ac:dyDescent="0.3">
      <c r="A4" s="59"/>
      <c r="B4" s="20">
        <v>2017</v>
      </c>
      <c r="C4" s="104" t="s">
        <v>14</v>
      </c>
      <c r="D4" s="239" t="s">
        <v>147</v>
      </c>
      <c r="E4" s="239" t="s">
        <v>148</v>
      </c>
      <c r="F4" s="239" t="s">
        <v>149</v>
      </c>
      <c r="G4" s="239" t="s">
        <v>150</v>
      </c>
      <c r="H4" s="239" t="s">
        <v>151</v>
      </c>
      <c r="I4" s="239" t="s">
        <v>152</v>
      </c>
      <c r="J4" s="239" t="s">
        <v>153</v>
      </c>
      <c r="K4" s="239" t="s">
        <v>154</v>
      </c>
      <c r="L4" s="239" t="s">
        <v>155</v>
      </c>
      <c r="M4" s="239" t="s">
        <v>156</v>
      </c>
      <c r="N4" s="239" t="s">
        <v>157</v>
      </c>
      <c r="O4" s="239" t="s">
        <v>158</v>
      </c>
      <c r="P4" s="286" t="s">
        <v>2</v>
      </c>
      <c r="Q4" s="287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179</v>
      </c>
    </row>
    <row r="7" spans="1:17" ht="14.4" customHeight="1" x14ac:dyDescent="0.3">
      <c r="A7" s="15" t="s">
        <v>19</v>
      </c>
      <c r="B7" s="46">
        <v>60</v>
      </c>
      <c r="C7" s="47">
        <v>5</v>
      </c>
      <c r="D7" s="47">
        <v>6.3456999999999999</v>
      </c>
      <c r="E7" s="47">
        <v>0.22505</v>
      </c>
      <c r="F7" s="47">
        <v>12.598990000000001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19.169740000000001</v>
      </c>
      <c r="Q7" s="68">
        <v>0.95848699999999998</v>
      </c>
    </row>
    <row r="8" spans="1:17" ht="14.4" customHeight="1" x14ac:dyDescent="0.3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179</v>
      </c>
    </row>
    <row r="9" spans="1:17" ht="14.4" customHeight="1" x14ac:dyDescent="0.3">
      <c r="A9" s="15" t="s">
        <v>21</v>
      </c>
      <c r="B9" s="46">
        <v>20</v>
      </c>
      <c r="C9" s="47">
        <v>1.6666666666659999</v>
      </c>
      <c r="D9" s="47">
        <v>0</v>
      </c>
      <c r="E9" s="47">
        <v>0</v>
      </c>
      <c r="F9" s="47">
        <v>3.63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3.63</v>
      </c>
      <c r="Q9" s="68">
        <v>0.54449999999999998</v>
      </c>
    </row>
    <row r="10" spans="1:17" ht="14.4" customHeight="1" x14ac:dyDescent="0.3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179</v>
      </c>
    </row>
    <row r="11" spans="1:17" ht="14.4" customHeight="1" x14ac:dyDescent="0.3">
      <c r="A11" s="15" t="s">
        <v>23</v>
      </c>
      <c r="B11" s="46">
        <v>2638.6676235597702</v>
      </c>
      <c r="C11" s="47">
        <v>219.88896862998101</v>
      </c>
      <c r="D11" s="47">
        <v>100.90476</v>
      </c>
      <c r="E11" s="47">
        <v>173.74797000000001</v>
      </c>
      <c r="F11" s="47">
        <v>216.82832999999999</v>
      </c>
      <c r="G11" s="47">
        <v>106.20461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597.68566999999996</v>
      </c>
      <c r="Q11" s="68">
        <v>0.67953121264299998</v>
      </c>
    </row>
    <row r="12" spans="1:17" ht="14.4" customHeight="1" x14ac:dyDescent="0.3">
      <c r="A12" s="15" t="s">
        <v>24</v>
      </c>
      <c r="B12" s="46">
        <v>81.592349997430006</v>
      </c>
      <c r="C12" s="47">
        <v>6.7993624997850004</v>
      </c>
      <c r="D12" s="47">
        <v>3.3000000000000002E-2</v>
      </c>
      <c r="E12" s="47">
        <v>2.0070000000000001E-2</v>
      </c>
      <c r="F12" s="47">
        <v>0.90700000000000003</v>
      </c>
      <c r="G12" s="47">
        <v>5.1299999999999998E-2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1.0113700000000001</v>
      </c>
      <c r="Q12" s="68">
        <v>3.7186206796000001E-2</v>
      </c>
    </row>
    <row r="13" spans="1:17" ht="14.4" customHeight="1" x14ac:dyDescent="0.3">
      <c r="A13" s="15" t="s">
        <v>25</v>
      </c>
      <c r="B13" s="46">
        <v>269.43326292088602</v>
      </c>
      <c r="C13" s="47">
        <v>22.452771910073</v>
      </c>
      <c r="D13" s="47">
        <v>15.15615</v>
      </c>
      <c r="E13" s="47">
        <v>20.498249999999999</v>
      </c>
      <c r="F13" s="47">
        <v>14.17474</v>
      </c>
      <c r="G13" s="47">
        <v>18.711020000000001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68.54016</v>
      </c>
      <c r="Q13" s="68">
        <v>0.76315922455399998</v>
      </c>
    </row>
    <row r="14" spans="1:17" ht="14.4" customHeight="1" x14ac:dyDescent="0.3">
      <c r="A14" s="15" t="s">
        <v>26</v>
      </c>
      <c r="B14" s="46">
        <v>6366.0415846921596</v>
      </c>
      <c r="C14" s="47">
        <v>530.50346539101395</v>
      </c>
      <c r="D14" s="47">
        <v>899.59299999999996</v>
      </c>
      <c r="E14" s="47">
        <v>685.75800000000004</v>
      </c>
      <c r="F14" s="47">
        <v>612.27900000000102</v>
      </c>
      <c r="G14" s="47">
        <v>484.88099999999997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2682.511</v>
      </c>
      <c r="Q14" s="68">
        <v>1.2641345320999999</v>
      </c>
    </row>
    <row r="15" spans="1:17" ht="14.4" customHeight="1" x14ac:dyDescent="0.3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179</v>
      </c>
    </row>
    <row r="16" spans="1:17" ht="14.4" customHeight="1" x14ac:dyDescent="0.3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179</v>
      </c>
    </row>
    <row r="17" spans="1:17" ht="14.4" customHeight="1" x14ac:dyDescent="0.3">
      <c r="A17" s="15" t="s">
        <v>29</v>
      </c>
      <c r="B17" s="46">
        <v>510.60969277632898</v>
      </c>
      <c r="C17" s="47">
        <v>42.550807731360003</v>
      </c>
      <c r="D17" s="47">
        <v>44.281170000000003</v>
      </c>
      <c r="E17" s="47">
        <v>51.75526</v>
      </c>
      <c r="F17" s="47">
        <v>44.905970000000003</v>
      </c>
      <c r="G17" s="47">
        <v>34.922080000000001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175.86447999999999</v>
      </c>
      <c r="Q17" s="68">
        <v>1.033261701577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68" t="s">
        <v>179</v>
      </c>
    </row>
    <row r="19" spans="1:17" ht="14.4" customHeight="1" x14ac:dyDescent="0.3">
      <c r="A19" s="15" t="s">
        <v>31</v>
      </c>
      <c r="B19" s="46">
        <v>1800.43009459875</v>
      </c>
      <c r="C19" s="47">
        <v>150.035841216563</v>
      </c>
      <c r="D19" s="47">
        <v>43.875720000000001</v>
      </c>
      <c r="E19" s="47">
        <v>76.03049</v>
      </c>
      <c r="F19" s="47">
        <v>96.289529999999999</v>
      </c>
      <c r="G19" s="47">
        <v>79.450959999999995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295.64670000000001</v>
      </c>
      <c r="Q19" s="68">
        <v>0.492626791043</v>
      </c>
    </row>
    <row r="20" spans="1:17" ht="14.4" customHeight="1" x14ac:dyDescent="0.3">
      <c r="A20" s="15" t="s">
        <v>32</v>
      </c>
      <c r="B20" s="46">
        <v>13272</v>
      </c>
      <c r="C20" s="47">
        <v>1106</v>
      </c>
      <c r="D20" s="47">
        <v>1172.3376499999999</v>
      </c>
      <c r="E20" s="47">
        <v>1127.16957</v>
      </c>
      <c r="F20" s="47">
        <v>1136.45191</v>
      </c>
      <c r="G20" s="47">
        <v>1202.2929799999999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4638.2521100000004</v>
      </c>
      <c r="Q20" s="68">
        <v>1.0484295004519999</v>
      </c>
    </row>
    <row r="21" spans="1:17" ht="14.4" customHeight="1" x14ac:dyDescent="0.3">
      <c r="A21" s="16" t="s">
        <v>33</v>
      </c>
      <c r="B21" s="46">
        <v>1801</v>
      </c>
      <c r="C21" s="47">
        <v>150.083333333334</v>
      </c>
      <c r="D21" s="47">
        <v>212.67099999999999</v>
      </c>
      <c r="E21" s="47">
        <v>212.69499999999999</v>
      </c>
      <c r="F21" s="47">
        <v>212.732</v>
      </c>
      <c r="G21" s="47">
        <v>135.42400000000001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773.52200000000005</v>
      </c>
      <c r="Q21" s="68">
        <v>1.2884875069399999</v>
      </c>
    </row>
    <row r="22" spans="1:17" ht="14.4" customHeight="1" x14ac:dyDescent="0.3">
      <c r="A22" s="15" t="s">
        <v>34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8" t="s">
        <v>179</v>
      </c>
    </row>
    <row r="23" spans="1:17" ht="14.4" customHeight="1" x14ac:dyDescent="0.3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179</v>
      </c>
    </row>
    <row r="24" spans="1:17" ht="14.4" customHeight="1" x14ac:dyDescent="0.3">
      <c r="A24" s="16" t="s">
        <v>36</v>
      </c>
      <c r="B24" s="46">
        <v>0</v>
      </c>
      <c r="C24" s="47">
        <v>0</v>
      </c>
      <c r="D24" s="47">
        <v>-4.5474735088646402E-13</v>
      </c>
      <c r="E24" s="47">
        <v>-4.5474735088646402E-13</v>
      </c>
      <c r="F24" s="47">
        <v>0</v>
      </c>
      <c r="G24" s="47">
        <v>21.835000000000001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21.834999999998999</v>
      </c>
      <c r="Q24" s="68"/>
    </row>
    <row r="25" spans="1:17" ht="14.4" customHeight="1" x14ac:dyDescent="0.3">
      <c r="A25" s="17" t="s">
        <v>37</v>
      </c>
      <c r="B25" s="49">
        <v>26819.7746085453</v>
      </c>
      <c r="C25" s="50">
        <v>2234.98121737878</v>
      </c>
      <c r="D25" s="50">
        <v>2495.1981500000002</v>
      </c>
      <c r="E25" s="50">
        <v>2347.89966</v>
      </c>
      <c r="F25" s="50">
        <v>2350.79747</v>
      </c>
      <c r="G25" s="50">
        <v>2083.77295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9277.6682299999993</v>
      </c>
      <c r="Q25" s="69">
        <v>1.0377792168740001</v>
      </c>
    </row>
    <row r="26" spans="1:17" ht="14.4" customHeight="1" x14ac:dyDescent="0.3">
      <c r="A26" s="15" t="s">
        <v>38</v>
      </c>
      <c r="B26" s="46">
        <v>2296.1491037083601</v>
      </c>
      <c r="C26" s="47">
        <v>191.34575864236299</v>
      </c>
      <c r="D26" s="47">
        <v>168.65123</v>
      </c>
      <c r="E26" s="47">
        <v>160.56172000000001</v>
      </c>
      <c r="F26" s="47">
        <v>194.67744999999999</v>
      </c>
      <c r="G26" s="47">
        <v>189.86098000000001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713.75138000000004</v>
      </c>
      <c r="Q26" s="68">
        <v>0.93254141751499997</v>
      </c>
    </row>
    <row r="27" spans="1:17" ht="14.4" customHeight="1" x14ac:dyDescent="0.3">
      <c r="A27" s="18" t="s">
        <v>39</v>
      </c>
      <c r="B27" s="49">
        <v>29115.923712253702</v>
      </c>
      <c r="C27" s="50">
        <v>2426.3269760211401</v>
      </c>
      <c r="D27" s="50">
        <v>2663.8493800000001</v>
      </c>
      <c r="E27" s="50">
        <v>2508.4613800000002</v>
      </c>
      <c r="F27" s="50">
        <v>2545.4749200000001</v>
      </c>
      <c r="G27" s="50">
        <v>2273.63393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9991.4196100000008</v>
      </c>
      <c r="Q27" s="69">
        <v>1.0294799205480001</v>
      </c>
    </row>
    <row r="28" spans="1:17" ht="14.4" customHeight="1" x14ac:dyDescent="0.3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0</v>
      </c>
    </row>
    <row r="29" spans="1:17" ht="14.4" customHeight="1" x14ac:dyDescent="0.3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179</v>
      </c>
    </row>
    <row r="30" spans="1:17" ht="14.4" customHeight="1" x14ac:dyDescent="0.3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0</v>
      </c>
    </row>
    <row r="31" spans="1:17" ht="14.4" customHeight="1" thickBot="1" x14ac:dyDescent="0.3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179</v>
      </c>
    </row>
    <row r="32" spans="1:17" ht="14.4" customHeight="1" x14ac:dyDescent="0.3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17" ht="14.4" customHeight="1" x14ac:dyDescent="0.3">
      <c r="A33" s="79" t="s">
        <v>90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17" ht="14.4" customHeight="1" x14ac:dyDescent="0.3">
      <c r="A34" s="101" t="s">
        <v>159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ht="14.4" customHeight="1" x14ac:dyDescent="0.3">
      <c r="A35" s="102" t="s">
        <v>44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3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5" customWidth="1"/>
    <col min="2" max="11" width="10" style="95" customWidth="1"/>
    <col min="12" max="16384" width="8.88671875" style="95"/>
  </cols>
  <sheetData>
    <row r="1" spans="1:11" s="55" customFormat="1" ht="18.600000000000001" customHeight="1" thickBot="1" x14ac:dyDescent="0.4">
      <c r="A1" s="283" t="s">
        <v>45</v>
      </c>
      <c r="B1" s="283"/>
      <c r="C1" s="283"/>
      <c r="D1" s="283"/>
      <c r="E1" s="283"/>
      <c r="F1" s="283"/>
      <c r="G1" s="283"/>
      <c r="H1" s="288"/>
      <c r="I1" s="288"/>
      <c r="J1" s="288"/>
      <c r="K1" s="288"/>
    </row>
    <row r="2" spans="1:11" s="55" customFormat="1" ht="14.4" customHeight="1" thickBot="1" x14ac:dyDescent="0.35">
      <c r="A2" s="173" t="s">
        <v>178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84" t="s">
        <v>46</v>
      </c>
      <c r="C3" s="285"/>
      <c r="D3" s="285"/>
      <c r="E3" s="285"/>
      <c r="F3" s="291" t="s">
        <v>47</v>
      </c>
      <c r="G3" s="285"/>
      <c r="H3" s="285"/>
      <c r="I3" s="285"/>
      <c r="J3" s="285"/>
      <c r="K3" s="292"/>
    </row>
    <row r="4" spans="1:11" ht="14.4" customHeight="1" x14ac:dyDescent="0.3">
      <c r="A4" s="59"/>
      <c r="B4" s="289"/>
      <c r="C4" s="290"/>
      <c r="D4" s="290"/>
      <c r="E4" s="290"/>
      <c r="F4" s="293" t="s">
        <v>160</v>
      </c>
      <c r="G4" s="295" t="s">
        <v>48</v>
      </c>
      <c r="H4" s="106" t="s">
        <v>80</v>
      </c>
      <c r="I4" s="293" t="s">
        <v>49</v>
      </c>
      <c r="J4" s="295" t="s">
        <v>167</v>
      </c>
      <c r="K4" s="296" t="s">
        <v>161</v>
      </c>
    </row>
    <row r="5" spans="1:11" ht="42" thickBot="1" x14ac:dyDescent="0.35">
      <c r="A5" s="60"/>
      <c r="B5" s="24" t="s">
        <v>163</v>
      </c>
      <c r="C5" s="25" t="s">
        <v>164</v>
      </c>
      <c r="D5" s="26" t="s">
        <v>165</v>
      </c>
      <c r="E5" s="26" t="s">
        <v>166</v>
      </c>
      <c r="F5" s="294"/>
      <c r="G5" s="294"/>
      <c r="H5" s="25" t="s">
        <v>162</v>
      </c>
      <c r="I5" s="294"/>
      <c r="J5" s="294"/>
      <c r="K5" s="297"/>
    </row>
    <row r="6" spans="1:11" ht="14.4" customHeight="1" thickBot="1" x14ac:dyDescent="0.35">
      <c r="A6" s="337" t="s">
        <v>181</v>
      </c>
      <c r="B6" s="319">
        <v>25702.393919469501</v>
      </c>
      <c r="C6" s="319">
        <v>27305.50707</v>
      </c>
      <c r="D6" s="320">
        <v>1603.11315053051</v>
      </c>
      <c r="E6" s="321">
        <v>1.062372133722</v>
      </c>
      <c r="F6" s="319">
        <v>26819.7746085453</v>
      </c>
      <c r="G6" s="320">
        <v>8939.9248695151091</v>
      </c>
      <c r="H6" s="322">
        <v>2083.77295</v>
      </c>
      <c r="I6" s="319">
        <v>9277.6682299999993</v>
      </c>
      <c r="J6" s="320">
        <v>337.74336048489198</v>
      </c>
      <c r="K6" s="323">
        <v>0.34592640562400001</v>
      </c>
    </row>
    <row r="7" spans="1:11" ht="14.4" customHeight="1" thickBot="1" x14ac:dyDescent="0.35">
      <c r="A7" s="338" t="s">
        <v>182</v>
      </c>
      <c r="B7" s="319">
        <v>8971.3021312641195</v>
      </c>
      <c r="C7" s="319">
        <v>9171.3235399999994</v>
      </c>
      <c r="D7" s="320">
        <v>200.02140873587999</v>
      </c>
      <c r="E7" s="321">
        <v>1.0222956941820001</v>
      </c>
      <c r="F7" s="319">
        <v>9435.7348211702501</v>
      </c>
      <c r="G7" s="320">
        <v>3145.24494039008</v>
      </c>
      <c r="H7" s="322">
        <v>609.84793000000002</v>
      </c>
      <c r="I7" s="319">
        <v>3372.5479399999999</v>
      </c>
      <c r="J7" s="320">
        <v>227.302999609919</v>
      </c>
      <c r="K7" s="323">
        <v>0.357422925073</v>
      </c>
    </row>
    <row r="8" spans="1:11" ht="14.4" customHeight="1" thickBot="1" x14ac:dyDescent="0.35">
      <c r="A8" s="339" t="s">
        <v>183</v>
      </c>
      <c r="B8" s="319">
        <v>2914.4699964042002</v>
      </c>
      <c r="C8" s="319">
        <v>2884.9345400000002</v>
      </c>
      <c r="D8" s="320">
        <v>-29.535456404196999</v>
      </c>
      <c r="E8" s="321">
        <v>0.98986592538499996</v>
      </c>
      <c r="F8" s="319">
        <v>3069.6932364780801</v>
      </c>
      <c r="G8" s="320">
        <v>1023.2310788260299</v>
      </c>
      <c r="H8" s="322">
        <v>124.96693</v>
      </c>
      <c r="I8" s="319">
        <v>690.03693999999996</v>
      </c>
      <c r="J8" s="320">
        <v>-333.19413882602697</v>
      </c>
      <c r="K8" s="323">
        <v>0.22479019460300001</v>
      </c>
    </row>
    <row r="9" spans="1:11" ht="14.4" customHeight="1" thickBot="1" x14ac:dyDescent="0.35">
      <c r="A9" s="340" t="s">
        <v>184</v>
      </c>
      <c r="B9" s="324">
        <v>55.000004965370998</v>
      </c>
      <c r="C9" s="324">
        <v>58.6447</v>
      </c>
      <c r="D9" s="325">
        <v>3.644695034628</v>
      </c>
      <c r="E9" s="326">
        <v>1.066267176465</v>
      </c>
      <c r="F9" s="324">
        <v>60</v>
      </c>
      <c r="G9" s="325">
        <v>20</v>
      </c>
      <c r="H9" s="327">
        <v>0</v>
      </c>
      <c r="I9" s="324">
        <v>19.169740000000001</v>
      </c>
      <c r="J9" s="325">
        <v>-0.83025999999900002</v>
      </c>
      <c r="K9" s="328">
        <v>0.31949566666599999</v>
      </c>
    </row>
    <row r="10" spans="1:11" ht="14.4" customHeight="1" thickBot="1" x14ac:dyDescent="0.35">
      <c r="A10" s="341" t="s">
        <v>185</v>
      </c>
      <c r="B10" s="319">
        <v>55.000004965370998</v>
      </c>
      <c r="C10" s="319">
        <v>58.6447</v>
      </c>
      <c r="D10" s="320">
        <v>3.644695034628</v>
      </c>
      <c r="E10" s="321">
        <v>1.066267176465</v>
      </c>
      <c r="F10" s="319">
        <v>60</v>
      </c>
      <c r="G10" s="320">
        <v>20</v>
      </c>
      <c r="H10" s="322">
        <v>0</v>
      </c>
      <c r="I10" s="319">
        <v>19.169740000000001</v>
      </c>
      <c r="J10" s="320">
        <v>-0.83025999999900002</v>
      </c>
      <c r="K10" s="323">
        <v>0.31949566666599999</v>
      </c>
    </row>
    <row r="11" spans="1:11" ht="14.4" customHeight="1" thickBot="1" x14ac:dyDescent="0.35">
      <c r="A11" s="340" t="s">
        <v>186</v>
      </c>
      <c r="B11" s="324">
        <v>20.999999139313001</v>
      </c>
      <c r="C11" s="324">
        <v>18.534739999999999</v>
      </c>
      <c r="D11" s="325">
        <v>-2.4652591393119998</v>
      </c>
      <c r="E11" s="326">
        <v>0.88260670283999998</v>
      </c>
      <c r="F11" s="324">
        <v>20</v>
      </c>
      <c r="G11" s="325">
        <v>6.6666666666659999</v>
      </c>
      <c r="H11" s="327">
        <v>0</v>
      </c>
      <c r="I11" s="324">
        <v>3.63</v>
      </c>
      <c r="J11" s="325">
        <v>-3.036666666666</v>
      </c>
      <c r="K11" s="328">
        <v>0.18149999999999999</v>
      </c>
    </row>
    <row r="12" spans="1:11" ht="14.4" customHeight="1" thickBot="1" x14ac:dyDescent="0.35">
      <c r="A12" s="341" t="s">
        <v>187</v>
      </c>
      <c r="B12" s="319">
        <v>20.999999139313001</v>
      </c>
      <c r="C12" s="319">
        <v>18.534739999999999</v>
      </c>
      <c r="D12" s="320">
        <v>-2.4652591393119998</v>
      </c>
      <c r="E12" s="321">
        <v>0.88260670283999998</v>
      </c>
      <c r="F12" s="319">
        <v>20</v>
      </c>
      <c r="G12" s="320">
        <v>6.6666666666659999</v>
      </c>
      <c r="H12" s="322">
        <v>0</v>
      </c>
      <c r="I12" s="319">
        <v>3.63</v>
      </c>
      <c r="J12" s="320">
        <v>-3.036666666666</v>
      </c>
      <c r="K12" s="323">
        <v>0.18149999999999999</v>
      </c>
    </row>
    <row r="13" spans="1:11" ht="14.4" customHeight="1" thickBot="1" x14ac:dyDescent="0.35">
      <c r="A13" s="340" t="s">
        <v>188</v>
      </c>
      <c r="B13" s="324">
        <v>2692.1090662463498</v>
      </c>
      <c r="C13" s="324">
        <v>2580.4676100000001</v>
      </c>
      <c r="D13" s="325">
        <v>-111.64145624635201</v>
      </c>
      <c r="E13" s="326">
        <v>0.95853011393700005</v>
      </c>
      <c r="F13" s="324">
        <v>2638.6676235597702</v>
      </c>
      <c r="G13" s="325">
        <v>879.55587451992199</v>
      </c>
      <c r="H13" s="327">
        <v>106.20461</v>
      </c>
      <c r="I13" s="324">
        <v>597.68566999999996</v>
      </c>
      <c r="J13" s="325">
        <v>-281.87020451992203</v>
      </c>
      <c r="K13" s="328">
        <v>0.22651040421400001</v>
      </c>
    </row>
    <row r="14" spans="1:11" ht="14.4" customHeight="1" thickBot="1" x14ac:dyDescent="0.35">
      <c r="A14" s="341" t="s">
        <v>189</v>
      </c>
      <c r="B14" s="319">
        <v>0</v>
      </c>
      <c r="C14" s="319">
        <v>0</v>
      </c>
      <c r="D14" s="320">
        <v>0</v>
      </c>
      <c r="E14" s="329" t="s">
        <v>179</v>
      </c>
      <c r="F14" s="319">
        <v>0</v>
      </c>
      <c r="G14" s="320">
        <v>0</v>
      </c>
      <c r="H14" s="322">
        <v>0</v>
      </c>
      <c r="I14" s="319">
        <v>18.507560000000002</v>
      </c>
      <c r="J14" s="320">
        <v>18.507560000000002</v>
      </c>
      <c r="K14" s="330" t="s">
        <v>179</v>
      </c>
    </row>
    <row r="15" spans="1:11" ht="14.4" customHeight="1" thickBot="1" x14ac:dyDescent="0.35">
      <c r="A15" s="341" t="s">
        <v>190</v>
      </c>
      <c r="B15" s="319">
        <v>92.000008305712001</v>
      </c>
      <c r="C15" s="319">
        <v>25.640239999999999</v>
      </c>
      <c r="D15" s="320">
        <v>-66.359768305711995</v>
      </c>
      <c r="E15" s="321">
        <v>0.27869823570800001</v>
      </c>
      <c r="F15" s="319">
        <v>30</v>
      </c>
      <c r="G15" s="320">
        <v>10</v>
      </c>
      <c r="H15" s="322">
        <v>1.48265</v>
      </c>
      <c r="I15" s="319">
        <v>5.6012899999999997</v>
      </c>
      <c r="J15" s="320">
        <v>-4.3987100000000003</v>
      </c>
      <c r="K15" s="323">
        <v>0.186709666666</v>
      </c>
    </row>
    <row r="16" spans="1:11" ht="14.4" customHeight="1" thickBot="1" x14ac:dyDescent="0.35">
      <c r="A16" s="341" t="s">
        <v>191</v>
      </c>
      <c r="B16" s="319">
        <v>141.249614967425</v>
      </c>
      <c r="C16" s="319">
        <v>220.86199999999999</v>
      </c>
      <c r="D16" s="320">
        <v>79.612385032575006</v>
      </c>
      <c r="E16" s="321">
        <v>1.563629041048</v>
      </c>
      <c r="F16" s="319">
        <v>249.460907107011</v>
      </c>
      <c r="G16" s="320">
        <v>83.153635702336999</v>
      </c>
      <c r="H16" s="322">
        <v>0</v>
      </c>
      <c r="I16" s="319">
        <v>47.63693</v>
      </c>
      <c r="J16" s="320">
        <v>-35.516705702336999</v>
      </c>
      <c r="K16" s="323">
        <v>0.19095949963600001</v>
      </c>
    </row>
    <row r="17" spans="1:11" ht="14.4" customHeight="1" thickBot="1" x14ac:dyDescent="0.35">
      <c r="A17" s="341" t="s">
        <v>192</v>
      </c>
      <c r="B17" s="319">
        <v>29.522955257069999</v>
      </c>
      <c r="C17" s="319">
        <v>50.166910000000001</v>
      </c>
      <c r="D17" s="320">
        <v>20.643954742929001</v>
      </c>
      <c r="E17" s="321">
        <v>1.699250957879</v>
      </c>
      <c r="F17" s="319">
        <v>50</v>
      </c>
      <c r="G17" s="320">
        <v>16.666666666666</v>
      </c>
      <c r="H17" s="322">
        <v>2.8664700000000001</v>
      </c>
      <c r="I17" s="319">
        <v>14.05921</v>
      </c>
      <c r="J17" s="320">
        <v>-2.6074566666660002</v>
      </c>
      <c r="K17" s="323">
        <v>0.2811842</v>
      </c>
    </row>
    <row r="18" spans="1:11" ht="14.4" customHeight="1" thickBot="1" x14ac:dyDescent="0.35">
      <c r="A18" s="341" t="s">
        <v>193</v>
      </c>
      <c r="B18" s="319">
        <v>13.439650414111</v>
      </c>
      <c r="C18" s="319">
        <v>9.3964800000000004</v>
      </c>
      <c r="D18" s="320">
        <v>-4.0431704141109996</v>
      </c>
      <c r="E18" s="321">
        <v>0.69916104291900005</v>
      </c>
      <c r="F18" s="319">
        <v>10.345099381901999</v>
      </c>
      <c r="G18" s="320">
        <v>3.4483664606339999</v>
      </c>
      <c r="H18" s="322">
        <v>0</v>
      </c>
      <c r="I18" s="319">
        <v>0.73843000000000003</v>
      </c>
      <c r="J18" s="320">
        <v>-2.7099364606340002</v>
      </c>
      <c r="K18" s="323">
        <v>7.1379691265999995E-2</v>
      </c>
    </row>
    <row r="19" spans="1:11" ht="14.4" customHeight="1" thickBot="1" x14ac:dyDescent="0.35">
      <c r="A19" s="341" t="s">
        <v>194</v>
      </c>
      <c r="B19" s="319">
        <v>0</v>
      </c>
      <c r="C19" s="319">
        <v>15.87589</v>
      </c>
      <c r="D19" s="320">
        <v>15.87589</v>
      </c>
      <c r="E19" s="329" t="s">
        <v>179</v>
      </c>
      <c r="F19" s="319">
        <v>0</v>
      </c>
      <c r="G19" s="320">
        <v>0</v>
      </c>
      <c r="H19" s="322">
        <v>2.0099999999999998</v>
      </c>
      <c r="I19" s="319">
        <v>6.0514999999999999</v>
      </c>
      <c r="J19" s="320">
        <v>6.0514999999999999</v>
      </c>
      <c r="K19" s="330" t="s">
        <v>179</v>
      </c>
    </row>
    <row r="20" spans="1:11" ht="14.4" customHeight="1" thickBot="1" x14ac:dyDescent="0.35">
      <c r="A20" s="341" t="s">
        <v>195</v>
      </c>
      <c r="B20" s="319">
        <v>3.8768614765349998</v>
      </c>
      <c r="C20" s="319">
        <v>0</v>
      </c>
      <c r="D20" s="320">
        <v>-3.8768614765349998</v>
      </c>
      <c r="E20" s="321">
        <v>0</v>
      </c>
      <c r="F20" s="319">
        <v>0</v>
      </c>
      <c r="G20" s="320">
        <v>0</v>
      </c>
      <c r="H20" s="322">
        <v>0.96799999999999997</v>
      </c>
      <c r="I20" s="319">
        <v>1.83436</v>
      </c>
      <c r="J20" s="320">
        <v>1.83436</v>
      </c>
      <c r="K20" s="330" t="s">
        <v>196</v>
      </c>
    </row>
    <row r="21" spans="1:11" ht="14.4" customHeight="1" thickBot="1" x14ac:dyDescent="0.35">
      <c r="A21" s="341" t="s">
        <v>197</v>
      </c>
      <c r="B21" s="319">
        <v>2305.8927384783601</v>
      </c>
      <c r="C21" s="319">
        <v>2158.8143300000002</v>
      </c>
      <c r="D21" s="320">
        <v>-147.07840847835399</v>
      </c>
      <c r="E21" s="321">
        <v>0.93621628359999998</v>
      </c>
      <c r="F21" s="319">
        <v>2200</v>
      </c>
      <c r="G21" s="320">
        <v>733.33333333333303</v>
      </c>
      <c r="H21" s="322">
        <v>91.428190000000001</v>
      </c>
      <c r="I21" s="319">
        <v>471.66054000000003</v>
      </c>
      <c r="J21" s="320">
        <v>-261.672793333333</v>
      </c>
      <c r="K21" s="323">
        <v>0.21439115454499999</v>
      </c>
    </row>
    <row r="22" spans="1:11" ht="14.4" customHeight="1" thickBot="1" x14ac:dyDescent="0.35">
      <c r="A22" s="341" t="s">
        <v>198</v>
      </c>
      <c r="B22" s="319">
        <v>7.8115606171319998</v>
      </c>
      <c r="C22" s="319">
        <v>3.4448699999999999</v>
      </c>
      <c r="D22" s="320">
        <v>-4.3666906171319999</v>
      </c>
      <c r="E22" s="321">
        <v>0.44099638584900003</v>
      </c>
      <c r="F22" s="319">
        <v>3.8616170708530002</v>
      </c>
      <c r="G22" s="320">
        <v>1.2872056902839999</v>
      </c>
      <c r="H22" s="322">
        <v>0.38235999999999998</v>
      </c>
      <c r="I22" s="319">
        <v>2.3487300000000002</v>
      </c>
      <c r="J22" s="320">
        <v>1.061524309715</v>
      </c>
      <c r="K22" s="323">
        <v>0.60822447096700005</v>
      </c>
    </row>
    <row r="23" spans="1:11" ht="14.4" customHeight="1" thickBot="1" x14ac:dyDescent="0.35">
      <c r="A23" s="341" t="s">
        <v>199</v>
      </c>
      <c r="B23" s="319">
        <v>0</v>
      </c>
      <c r="C23" s="319">
        <v>1.99</v>
      </c>
      <c r="D23" s="320">
        <v>1.99</v>
      </c>
      <c r="E23" s="329" t="s">
        <v>196</v>
      </c>
      <c r="F23" s="319">
        <v>0</v>
      </c>
      <c r="G23" s="320">
        <v>0</v>
      </c>
      <c r="H23" s="322">
        <v>0</v>
      </c>
      <c r="I23" s="319">
        <v>0</v>
      </c>
      <c r="J23" s="320">
        <v>0</v>
      </c>
      <c r="K23" s="330" t="s">
        <v>179</v>
      </c>
    </row>
    <row r="24" spans="1:11" ht="14.4" customHeight="1" thickBot="1" x14ac:dyDescent="0.35">
      <c r="A24" s="341" t="s">
        <v>200</v>
      </c>
      <c r="B24" s="319">
        <v>98.315676730011006</v>
      </c>
      <c r="C24" s="319">
        <v>94.276889999999995</v>
      </c>
      <c r="D24" s="320">
        <v>-4.03878673001</v>
      </c>
      <c r="E24" s="321">
        <v>0.95892021634400004</v>
      </c>
      <c r="F24" s="319">
        <v>95</v>
      </c>
      <c r="G24" s="320">
        <v>31.666666666666</v>
      </c>
      <c r="H24" s="322">
        <v>7.0669399999999998</v>
      </c>
      <c r="I24" s="319">
        <v>29.247119999999999</v>
      </c>
      <c r="J24" s="320">
        <v>-2.4195466666660002</v>
      </c>
      <c r="K24" s="323">
        <v>0.30786442105200001</v>
      </c>
    </row>
    <row r="25" spans="1:11" ht="14.4" customHeight="1" thickBot="1" x14ac:dyDescent="0.35">
      <c r="A25" s="340" t="s">
        <v>201</v>
      </c>
      <c r="B25" s="324">
        <v>9.3898256564979992</v>
      </c>
      <c r="C25" s="324">
        <v>81.783550000000005</v>
      </c>
      <c r="D25" s="325">
        <v>72.393724343501006</v>
      </c>
      <c r="E25" s="326">
        <v>8.7098049518509999</v>
      </c>
      <c r="F25" s="324">
        <v>81.592349997430006</v>
      </c>
      <c r="G25" s="325">
        <v>27.197449999143</v>
      </c>
      <c r="H25" s="327">
        <v>5.1299999999999998E-2</v>
      </c>
      <c r="I25" s="324">
        <v>1.0113700000000001</v>
      </c>
      <c r="J25" s="325">
        <v>-26.186079999143001</v>
      </c>
      <c r="K25" s="328">
        <v>1.2395402264999999E-2</v>
      </c>
    </row>
    <row r="26" spans="1:11" ht="14.4" customHeight="1" thickBot="1" x14ac:dyDescent="0.35">
      <c r="A26" s="341" t="s">
        <v>202</v>
      </c>
      <c r="B26" s="319">
        <v>0</v>
      </c>
      <c r="C26" s="319">
        <v>2.9312999999999998</v>
      </c>
      <c r="D26" s="320">
        <v>2.9312999999999998</v>
      </c>
      <c r="E26" s="329" t="s">
        <v>196</v>
      </c>
      <c r="F26" s="319">
        <v>0</v>
      </c>
      <c r="G26" s="320">
        <v>0</v>
      </c>
      <c r="H26" s="322">
        <v>0</v>
      </c>
      <c r="I26" s="319">
        <v>0</v>
      </c>
      <c r="J26" s="320">
        <v>0</v>
      </c>
      <c r="K26" s="330" t="s">
        <v>179</v>
      </c>
    </row>
    <row r="27" spans="1:11" ht="14.4" customHeight="1" thickBot="1" x14ac:dyDescent="0.35">
      <c r="A27" s="341" t="s">
        <v>203</v>
      </c>
      <c r="B27" s="319">
        <v>0</v>
      </c>
      <c r="C27" s="319">
        <v>20.440000000000001</v>
      </c>
      <c r="D27" s="320">
        <v>20.440000000000001</v>
      </c>
      <c r="E27" s="329" t="s">
        <v>196</v>
      </c>
      <c r="F27" s="319">
        <v>26.652509484155001</v>
      </c>
      <c r="G27" s="320">
        <v>8.8841698280510002</v>
      </c>
      <c r="H27" s="322">
        <v>0</v>
      </c>
      <c r="I27" s="319">
        <v>0.83899999999999997</v>
      </c>
      <c r="J27" s="320">
        <v>-8.0451698280509998</v>
      </c>
      <c r="K27" s="323">
        <v>3.1479212134999997E-2</v>
      </c>
    </row>
    <row r="28" spans="1:11" ht="14.4" customHeight="1" thickBot="1" x14ac:dyDescent="0.35">
      <c r="A28" s="341" t="s">
        <v>204</v>
      </c>
      <c r="B28" s="319">
        <v>0.90833615026799996</v>
      </c>
      <c r="C28" s="319">
        <v>50.460999999999999</v>
      </c>
      <c r="D28" s="320">
        <v>49.552663849730997</v>
      </c>
      <c r="E28" s="321">
        <v>55.553222213052997</v>
      </c>
      <c r="F28" s="319">
        <v>54.006322088216997</v>
      </c>
      <c r="G28" s="320">
        <v>18.002107362739</v>
      </c>
      <c r="H28" s="322">
        <v>0</v>
      </c>
      <c r="I28" s="319">
        <v>0</v>
      </c>
      <c r="J28" s="320">
        <v>-18.002107362739</v>
      </c>
      <c r="K28" s="323">
        <v>0</v>
      </c>
    </row>
    <row r="29" spans="1:11" ht="14.4" customHeight="1" thickBot="1" x14ac:dyDescent="0.35">
      <c r="A29" s="341" t="s">
        <v>205</v>
      </c>
      <c r="B29" s="319">
        <v>0</v>
      </c>
      <c r="C29" s="319">
        <v>7.1117999999999997</v>
      </c>
      <c r="D29" s="320">
        <v>7.1117999999999997</v>
      </c>
      <c r="E29" s="329" t="s">
        <v>179</v>
      </c>
      <c r="F29" s="319">
        <v>0.152039614209</v>
      </c>
      <c r="G29" s="320">
        <v>5.0679871403000003E-2</v>
      </c>
      <c r="H29" s="322">
        <v>0</v>
      </c>
      <c r="I29" s="319">
        <v>0</v>
      </c>
      <c r="J29" s="320">
        <v>-5.0679871403000003E-2</v>
      </c>
      <c r="K29" s="323">
        <v>0</v>
      </c>
    </row>
    <row r="30" spans="1:11" ht="14.4" customHeight="1" thickBot="1" x14ac:dyDescent="0.35">
      <c r="A30" s="341" t="s">
        <v>206</v>
      </c>
      <c r="B30" s="319">
        <v>8.48148950623</v>
      </c>
      <c r="C30" s="319">
        <v>0.83945000000000003</v>
      </c>
      <c r="D30" s="320">
        <v>-7.6420395062299997</v>
      </c>
      <c r="E30" s="321">
        <v>9.8974360503E-2</v>
      </c>
      <c r="F30" s="319">
        <v>0.78147881084699999</v>
      </c>
      <c r="G30" s="320">
        <v>0.260492936949</v>
      </c>
      <c r="H30" s="322">
        <v>5.1299999999999998E-2</v>
      </c>
      <c r="I30" s="319">
        <v>0.17237</v>
      </c>
      <c r="J30" s="320">
        <v>-8.8122936949000003E-2</v>
      </c>
      <c r="K30" s="323">
        <v>0.22056900021699999</v>
      </c>
    </row>
    <row r="31" spans="1:11" ht="14.4" customHeight="1" thickBot="1" x14ac:dyDescent="0.35">
      <c r="A31" s="340" t="s">
        <v>207</v>
      </c>
      <c r="B31" s="324">
        <v>136.97110039666299</v>
      </c>
      <c r="C31" s="324">
        <v>145.50394</v>
      </c>
      <c r="D31" s="325">
        <v>8.5328396033370009</v>
      </c>
      <c r="E31" s="326">
        <v>1.0622966419819999</v>
      </c>
      <c r="F31" s="324">
        <v>269.43326292088602</v>
      </c>
      <c r="G31" s="325">
        <v>89.811087640295</v>
      </c>
      <c r="H31" s="327">
        <v>18.711020000000001</v>
      </c>
      <c r="I31" s="324">
        <v>68.54016</v>
      </c>
      <c r="J31" s="325">
        <v>-21.270927640295</v>
      </c>
      <c r="K31" s="328">
        <v>0.25438640818399999</v>
      </c>
    </row>
    <row r="32" spans="1:11" ht="14.4" customHeight="1" thickBot="1" x14ac:dyDescent="0.35">
      <c r="A32" s="341" t="s">
        <v>208</v>
      </c>
      <c r="B32" s="319">
        <v>0</v>
      </c>
      <c r="C32" s="319">
        <v>10.025</v>
      </c>
      <c r="D32" s="320">
        <v>10.025</v>
      </c>
      <c r="E32" s="329" t="s">
        <v>179</v>
      </c>
      <c r="F32" s="319">
        <v>13</v>
      </c>
      <c r="G32" s="320">
        <v>4.333333333333</v>
      </c>
      <c r="H32" s="322">
        <v>1.39392</v>
      </c>
      <c r="I32" s="319">
        <v>6.24831</v>
      </c>
      <c r="J32" s="320">
        <v>1.914976666666</v>
      </c>
      <c r="K32" s="323">
        <v>0.480639230769</v>
      </c>
    </row>
    <row r="33" spans="1:11" ht="14.4" customHeight="1" thickBot="1" x14ac:dyDescent="0.35">
      <c r="A33" s="341" t="s">
        <v>209</v>
      </c>
      <c r="B33" s="319">
        <v>135.79364930070599</v>
      </c>
      <c r="C33" s="319">
        <v>135.47893999999999</v>
      </c>
      <c r="D33" s="320">
        <v>-0.31470930070600001</v>
      </c>
      <c r="E33" s="321">
        <v>0.99768244463300004</v>
      </c>
      <c r="F33" s="319">
        <v>255.43326292088599</v>
      </c>
      <c r="G33" s="320">
        <v>85.144420973628002</v>
      </c>
      <c r="H33" s="322">
        <v>17.3171</v>
      </c>
      <c r="I33" s="319">
        <v>62.291849999999997</v>
      </c>
      <c r="J33" s="320">
        <v>-22.852570973628001</v>
      </c>
      <c r="K33" s="323">
        <v>0.24386741682599999</v>
      </c>
    </row>
    <row r="34" spans="1:11" ht="14.4" customHeight="1" thickBot="1" x14ac:dyDescent="0.35">
      <c r="A34" s="341" t="s">
        <v>210</v>
      </c>
      <c r="B34" s="319">
        <v>1.1774510959560001</v>
      </c>
      <c r="C34" s="319">
        <v>0</v>
      </c>
      <c r="D34" s="320">
        <v>-1.1774510959560001</v>
      </c>
      <c r="E34" s="321">
        <v>0</v>
      </c>
      <c r="F34" s="319">
        <v>1</v>
      </c>
      <c r="G34" s="320">
        <v>0.33333333333300003</v>
      </c>
      <c r="H34" s="322">
        <v>0</v>
      </c>
      <c r="I34" s="319">
        <v>0</v>
      </c>
      <c r="J34" s="320">
        <v>-0.33333333333300003</v>
      </c>
      <c r="K34" s="323">
        <v>0</v>
      </c>
    </row>
    <row r="35" spans="1:11" ht="14.4" customHeight="1" thickBot="1" x14ac:dyDescent="0.35">
      <c r="A35" s="339" t="s">
        <v>26</v>
      </c>
      <c r="B35" s="319">
        <v>6056.8321348599302</v>
      </c>
      <c r="C35" s="319">
        <v>6286.3890000000001</v>
      </c>
      <c r="D35" s="320">
        <v>229.55686514007601</v>
      </c>
      <c r="E35" s="321">
        <v>1.0379004832930001</v>
      </c>
      <c r="F35" s="319">
        <v>6366.0415846921596</v>
      </c>
      <c r="G35" s="320">
        <v>2122.0138615640499</v>
      </c>
      <c r="H35" s="322">
        <v>484.88099999999997</v>
      </c>
      <c r="I35" s="319">
        <v>2682.511</v>
      </c>
      <c r="J35" s="320">
        <v>560.497138435946</v>
      </c>
      <c r="K35" s="323">
        <v>0.42137817736599997</v>
      </c>
    </row>
    <row r="36" spans="1:11" ht="14.4" customHeight="1" thickBot="1" x14ac:dyDescent="0.35">
      <c r="A36" s="340" t="s">
        <v>211</v>
      </c>
      <c r="B36" s="324">
        <v>6056.8321348599302</v>
      </c>
      <c r="C36" s="324">
        <v>6286.3890000000001</v>
      </c>
      <c r="D36" s="325">
        <v>229.55686514007601</v>
      </c>
      <c r="E36" s="326">
        <v>1.0379004832930001</v>
      </c>
      <c r="F36" s="324">
        <v>6366.0415846921596</v>
      </c>
      <c r="G36" s="325">
        <v>2122.0138615640499</v>
      </c>
      <c r="H36" s="327">
        <v>484.88099999999997</v>
      </c>
      <c r="I36" s="324">
        <v>2682.511</v>
      </c>
      <c r="J36" s="325">
        <v>560.497138435946</v>
      </c>
      <c r="K36" s="328">
        <v>0.42137817736599997</v>
      </c>
    </row>
    <row r="37" spans="1:11" ht="14.4" customHeight="1" thickBot="1" x14ac:dyDescent="0.35">
      <c r="A37" s="341" t="s">
        <v>212</v>
      </c>
      <c r="B37" s="319">
        <v>367.81505741042002</v>
      </c>
      <c r="C37" s="319">
        <v>334.21199999999999</v>
      </c>
      <c r="D37" s="320">
        <v>-33.60305741042</v>
      </c>
      <c r="E37" s="321">
        <v>0.90864143070400005</v>
      </c>
      <c r="F37" s="319">
        <v>344.99999999999898</v>
      </c>
      <c r="G37" s="320">
        <v>115</v>
      </c>
      <c r="H37" s="322">
        <v>27.43</v>
      </c>
      <c r="I37" s="319">
        <v>112.29900000000001</v>
      </c>
      <c r="J37" s="320">
        <v>-2.700999999999</v>
      </c>
      <c r="K37" s="323">
        <v>0.32550434782600002</v>
      </c>
    </row>
    <row r="38" spans="1:11" ht="14.4" customHeight="1" thickBot="1" x14ac:dyDescent="0.35">
      <c r="A38" s="341" t="s">
        <v>213</v>
      </c>
      <c r="B38" s="319">
        <v>1404.7846305745099</v>
      </c>
      <c r="C38" s="319">
        <v>1504.5540000000001</v>
      </c>
      <c r="D38" s="320">
        <v>99.769369425492002</v>
      </c>
      <c r="E38" s="321">
        <v>1.0710211140220001</v>
      </c>
      <c r="F38" s="319">
        <v>1625.0415846921901</v>
      </c>
      <c r="G38" s="320">
        <v>541.68052823072901</v>
      </c>
      <c r="H38" s="322">
        <v>91.004999999999995</v>
      </c>
      <c r="I38" s="319">
        <v>517.64499999999998</v>
      </c>
      <c r="J38" s="320">
        <v>-24.035528230728001</v>
      </c>
      <c r="K38" s="323">
        <v>0.31854261754000002</v>
      </c>
    </row>
    <row r="39" spans="1:11" ht="14.4" customHeight="1" thickBot="1" x14ac:dyDescent="0.35">
      <c r="A39" s="341" t="s">
        <v>214</v>
      </c>
      <c r="B39" s="319">
        <v>4284.2324468750003</v>
      </c>
      <c r="C39" s="319">
        <v>4447.6229999999996</v>
      </c>
      <c r="D39" s="320">
        <v>163.390553125004</v>
      </c>
      <c r="E39" s="321">
        <v>1.03813764896</v>
      </c>
      <c r="F39" s="319">
        <v>4395.99999999998</v>
      </c>
      <c r="G39" s="320">
        <v>1465.3333333333301</v>
      </c>
      <c r="H39" s="322">
        <v>366.44600000000003</v>
      </c>
      <c r="I39" s="319">
        <v>2052.567</v>
      </c>
      <c r="J39" s="320">
        <v>587.23366666667403</v>
      </c>
      <c r="K39" s="323">
        <v>0.466916969972</v>
      </c>
    </row>
    <row r="40" spans="1:11" ht="14.4" customHeight="1" thickBot="1" x14ac:dyDescent="0.35">
      <c r="A40" s="342" t="s">
        <v>215</v>
      </c>
      <c r="B40" s="324">
        <v>1923.7838805280701</v>
      </c>
      <c r="C40" s="324">
        <v>2237.5191300000001</v>
      </c>
      <c r="D40" s="325">
        <v>313.73524947192902</v>
      </c>
      <c r="E40" s="326">
        <v>1.1630823777279999</v>
      </c>
      <c r="F40" s="324">
        <v>2311.0397873750799</v>
      </c>
      <c r="G40" s="325">
        <v>770.34659579169295</v>
      </c>
      <c r="H40" s="327">
        <v>114.37304</v>
      </c>
      <c r="I40" s="324">
        <v>471.51118000000002</v>
      </c>
      <c r="J40" s="325">
        <v>-298.83541579169298</v>
      </c>
      <c r="K40" s="328">
        <v>0.20402555705600001</v>
      </c>
    </row>
    <row r="41" spans="1:11" ht="14.4" customHeight="1" thickBot="1" x14ac:dyDescent="0.35">
      <c r="A41" s="339" t="s">
        <v>29</v>
      </c>
      <c r="B41" s="319">
        <v>443.544766645359</v>
      </c>
      <c r="C41" s="319">
        <v>530.83978999999999</v>
      </c>
      <c r="D41" s="320">
        <v>87.295023354641003</v>
      </c>
      <c r="E41" s="321">
        <v>1.196812204582</v>
      </c>
      <c r="F41" s="319">
        <v>510.60969277632898</v>
      </c>
      <c r="G41" s="320">
        <v>170.20323092544299</v>
      </c>
      <c r="H41" s="322">
        <v>34.922080000000001</v>
      </c>
      <c r="I41" s="319">
        <v>175.86447999999999</v>
      </c>
      <c r="J41" s="320">
        <v>5.6612490745570003</v>
      </c>
      <c r="K41" s="323">
        <v>0.34442056719199998</v>
      </c>
    </row>
    <row r="42" spans="1:11" ht="14.4" customHeight="1" thickBot="1" x14ac:dyDescent="0.35">
      <c r="A42" s="343" t="s">
        <v>216</v>
      </c>
      <c r="B42" s="319">
        <v>443.544766645359</v>
      </c>
      <c r="C42" s="319">
        <v>530.83978999999999</v>
      </c>
      <c r="D42" s="320">
        <v>87.295023354641003</v>
      </c>
      <c r="E42" s="321">
        <v>1.196812204582</v>
      </c>
      <c r="F42" s="319">
        <v>510.60969277632898</v>
      </c>
      <c r="G42" s="320">
        <v>170.20323092544299</v>
      </c>
      <c r="H42" s="322">
        <v>34.922080000000001</v>
      </c>
      <c r="I42" s="319">
        <v>175.86447999999999</v>
      </c>
      <c r="J42" s="320">
        <v>5.6612490745570003</v>
      </c>
      <c r="K42" s="323">
        <v>0.34442056719199998</v>
      </c>
    </row>
    <row r="43" spans="1:11" ht="14.4" customHeight="1" thickBot="1" x14ac:dyDescent="0.35">
      <c r="A43" s="341" t="s">
        <v>217</v>
      </c>
      <c r="B43" s="319">
        <v>349.74122439192399</v>
      </c>
      <c r="C43" s="319">
        <v>502.37607000000003</v>
      </c>
      <c r="D43" s="320">
        <v>152.63484560807601</v>
      </c>
      <c r="E43" s="321">
        <v>1.4364222315320001</v>
      </c>
      <c r="F43" s="319">
        <v>481.195364143809</v>
      </c>
      <c r="G43" s="320">
        <v>160.39845471460299</v>
      </c>
      <c r="H43" s="322">
        <v>31.13148</v>
      </c>
      <c r="I43" s="319">
        <v>159.55468999999999</v>
      </c>
      <c r="J43" s="320">
        <v>-0.84376471460199998</v>
      </c>
      <c r="K43" s="323">
        <v>0.33157985693300002</v>
      </c>
    </row>
    <row r="44" spans="1:11" ht="14.4" customHeight="1" thickBot="1" x14ac:dyDescent="0.35">
      <c r="A44" s="341" t="s">
        <v>218</v>
      </c>
      <c r="B44" s="319">
        <v>57.532935068405997</v>
      </c>
      <c r="C44" s="319">
        <v>2.68912</v>
      </c>
      <c r="D44" s="320">
        <v>-54.843815068406002</v>
      </c>
      <c r="E44" s="321">
        <v>4.6740532128000001E-2</v>
      </c>
      <c r="F44" s="319">
        <v>2.6834651097119999</v>
      </c>
      <c r="G44" s="320">
        <v>0.89448836990400005</v>
      </c>
      <c r="H44" s="322">
        <v>0</v>
      </c>
      <c r="I44" s="319">
        <v>0</v>
      </c>
      <c r="J44" s="320">
        <v>-0.89448836990400005</v>
      </c>
      <c r="K44" s="323">
        <v>0</v>
      </c>
    </row>
    <row r="45" spans="1:11" ht="14.4" customHeight="1" thickBot="1" x14ac:dyDescent="0.35">
      <c r="A45" s="341" t="s">
        <v>219</v>
      </c>
      <c r="B45" s="319">
        <v>15.562822619087999</v>
      </c>
      <c r="C45" s="319">
        <v>3.6177999999999999</v>
      </c>
      <c r="D45" s="320">
        <v>-11.945022619088</v>
      </c>
      <c r="E45" s="321">
        <v>0.23246425719399999</v>
      </c>
      <c r="F45" s="319">
        <v>4.7308635228069997</v>
      </c>
      <c r="G45" s="320">
        <v>1.576954507602</v>
      </c>
      <c r="H45" s="322">
        <v>3.7906</v>
      </c>
      <c r="I45" s="319">
        <v>3.7906</v>
      </c>
      <c r="J45" s="320">
        <v>2.2136454923970001</v>
      </c>
      <c r="K45" s="323">
        <v>0.80124907043399995</v>
      </c>
    </row>
    <row r="46" spans="1:11" ht="14.4" customHeight="1" thickBot="1" x14ac:dyDescent="0.35">
      <c r="A46" s="341" t="s">
        <v>220</v>
      </c>
      <c r="B46" s="319">
        <v>20.707784565939001</v>
      </c>
      <c r="C46" s="319">
        <v>22.1568</v>
      </c>
      <c r="D46" s="320">
        <v>1.4490154340600001</v>
      </c>
      <c r="E46" s="321">
        <v>1.0699744306029999</v>
      </c>
      <c r="F46" s="319">
        <v>21.999999999999002</v>
      </c>
      <c r="G46" s="320">
        <v>7.333333333333</v>
      </c>
      <c r="H46" s="322">
        <v>0</v>
      </c>
      <c r="I46" s="319">
        <v>12.51919</v>
      </c>
      <c r="J46" s="320">
        <v>5.185856666666</v>
      </c>
      <c r="K46" s="323">
        <v>0.56905409090900005</v>
      </c>
    </row>
    <row r="47" spans="1:11" ht="14.4" customHeight="1" thickBot="1" x14ac:dyDescent="0.35">
      <c r="A47" s="344" t="s">
        <v>30</v>
      </c>
      <c r="B47" s="324">
        <v>0</v>
      </c>
      <c r="C47" s="324">
        <v>3.5510000000000002</v>
      </c>
      <c r="D47" s="325">
        <v>3.5510000000000002</v>
      </c>
      <c r="E47" s="331" t="s">
        <v>179</v>
      </c>
      <c r="F47" s="324">
        <v>0</v>
      </c>
      <c r="G47" s="325">
        <v>0</v>
      </c>
      <c r="H47" s="327">
        <v>0</v>
      </c>
      <c r="I47" s="324">
        <v>0</v>
      </c>
      <c r="J47" s="325">
        <v>0</v>
      </c>
      <c r="K47" s="332" t="s">
        <v>179</v>
      </c>
    </row>
    <row r="48" spans="1:11" ht="14.4" customHeight="1" thickBot="1" x14ac:dyDescent="0.35">
      <c r="A48" s="340" t="s">
        <v>221</v>
      </c>
      <c r="B48" s="324">
        <v>0</v>
      </c>
      <c r="C48" s="324">
        <v>3.5510000000000002</v>
      </c>
      <c r="D48" s="325">
        <v>3.5510000000000002</v>
      </c>
      <c r="E48" s="331" t="s">
        <v>179</v>
      </c>
      <c r="F48" s="324">
        <v>0</v>
      </c>
      <c r="G48" s="325">
        <v>0</v>
      </c>
      <c r="H48" s="327">
        <v>0</v>
      </c>
      <c r="I48" s="324">
        <v>0</v>
      </c>
      <c r="J48" s="325">
        <v>0</v>
      </c>
      <c r="K48" s="332" t="s">
        <v>179</v>
      </c>
    </row>
    <row r="49" spans="1:11" ht="14.4" customHeight="1" thickBot="1" x14ac:dyDescent="0.35">
      <c r="A49" s="341" t="s">
        <v>222</v>
      </c>
      <c r="B49" s="319">
        <v>0</v>
      </c>
      <c r="C49" s="319">
        <v>3.5510000000000002</v>
      </c>
      <c r="D49" s="320">
        <v>3.5510000000000002</v>
      </c>
      <c r="E49" s="329" t="s">
        <v>179</v>
      </c>
      <c r="F49" s="319">
        <v>0</v>
      </c>
      <c r="G49" s="320">
        <v>0</v>
      </c>
      <c r="H49" s="322">
        <v>0</v>
      </c>
      <c r="I49" s="319">
        <v>0</v>
      </c>
      <c r="J49" s="320">
        <v>0</v>
      </c>
      <c r="K49" s="330" t="s">
        <v>179</v>
      </c>
    </row>
    <row r="50" spans="1:11" ht="14.4" customHeight="1" thickBot="1" x14ac:dyDescent="0.35">
      <c r="A50" s="339" t="s">
        <v>31</v>
      </c>
      <c r="B50" s="319">
        <v>1480.2391138827099</v>
      </c>
      <c r="C50" s="319">
        <v>1703.12834</v>
      </c>
      <c r="D50" s="320">
        <v>222.88922611728799</v>
      </c>
      <c r="E50" s="321">
        <v>1.150576500801</v>
      </c>
      <c r="F50" s="319">
        <v>1800.43009459875</v>
      </c>
      <c r="G50" s="320">
        <v>600.14336486624995</v>
      </c>
      <c r="H50" s="322">
        <v>79.450959999999995</v>
      </c>
      <c r="I50" s="319">
        <v>295.64670000000001</v>
      </c>
      <c r="J50" s="320">
        <v>-304.49666486625</v>
      </c>
      <c r="K50" s="323">
        <v>0.16420893034699999</v>
      </c>
    </row>
    <row r="51" spans="1:11" ht="14.4" customHeight="1" thickBot="1" x14ac:dyDescent="0.35">
      <c r="A51" s="340" t="s">
        <v>223</v>
      </c>
      <c r="B51" s="324">
        <v>6.9938277921200003</v>
      </c>
      <c r="C51" s="324">
        <v>4.3068499999999998</v>
      </c>
      <c r="D51" s="325">
        <v>-2.68697779212</v>
      </c>
      <c r="E51" s="326">
        <v>0.61580727006900005</v>
      </c>
      <c r="F51" s="324">
        <v>4.8589922706040003</v>
      </c>
      <c r="G51" s="325">
        <v>1.619664090201</v>
      </c>
      <c r="H51" s="327">
        <v>0.46383000000000002</v>
      </c>
      <c r="I51" s="324">
        <v>1.4599599999999999</v>
      </c>
      <c r="J51" s="325">
        <v>-0.15970409020099999</v>
      </c>
      <c r="K51" s="328">
        <v>0.300465594241</v>
      </c>
    </row>
    <row r="52" spans="1:11" ht="14.4" customHeight="1" thickBot="1" x14ac:dyDescent="0.35">
      <c r="A52" s="341" t="s">
        <v>224</v>
      </c>
      <c r="B52" s="319">
        <v>0.67196376455999995</v>
      </c>
      <c r="C52" s="319">
        <v>0.87590000000000001</v>
      </c>
      <c r="D52" s="320">
        <v>0.203936235439</v>
      </c>
      <c r="E52" s="321">
        <v>1.3034929057110001</v>
      </c>
      <c r="F52" s="319">
        <v>0.78388929277599995</v>
      </c>
      <c r="G52" s="320">
        <v>0.26129643092499999</v>
      </c>
      <c r="H52" s="322">
        <v>0</v>
      </c>
      <c r="I52" s="319">
        <v>0</v>
      </c>
      <c r="J52" s="320">
        <v>-0.26129643092499999</v>
      </c>
      <c r="K52" s="323">
        <v>0</v>
      </c>
    </row>
    <row r="53" spans="1:11" ht="14.4" customHeight="1" thickBot="1" x14ac:dyDescent="0.35">
      <c r="A53" s="341" t="s">
        <v>225</v>
      </c>
      <c r="B53" s="319">
        <v>6.3218640275590001</v>
      </c>
      <c r="C53" s="319">
        <v>3.4309500000000002</v>
      </c>
      <c r="D53" s="320">
        <v>-2.890914027559</v>
      </c>
      <c r="E53" s="321">
        <v>0.54271176745299998</v>
      </c>
      <c r="F53" s="319">
        <v>4.0751029778280001</v>
      </c>
      <c r="G53" s="320">
        <v>1.3583676592759999</v>
      </c>
      <c r="H53" s="322">
        <v>0.46383000000000002</v>
      </c>
      <c r="I53" s="319">
        <v>1.4599599999999999</v>
      </c>
      <c r="J53" s="320">
        <v>0.101592340723</v>
      </c>
      <c r="K53" s="323">
        <v>0.358263339096</v>
      </c>
    </row>
    <row r="54" spans="1:11" ht="14.4" customHeight="1" thickBot="1" x14ac:dyDescent="0.35">
      <c r="A54" s="340" t="s">
        <v>226</v>
      </c>
      <c r="B54" s="324">
        <v>1.999996816928</v>
      </c>
      <c r="C54" s="324">
        <v>1.62</v>
      </c>
      <c r="D54" s="325">
        <v>-0.37999681692800003</v>
      </c>
      <c r="E54" s="326">
        <v>0.81000128914500003</v>
      </c>
      <c r="F54" s="324">
        <v>2</v>
      </c>
      <c r="G54" s="325">
        <v>0.66666666666600005</v>
      </c>
      <c r="H54" s="327">
        <v>0.40500000000000003</v>
      </c>
      <c r="I54" s="324">
        <v>0.81</v>
      </c>
      <c r="J54" s="325">
        <v>0.143333333333</v>
      </c>
      <c r="K54" s="328">
        <v>0.40499999999899999</v>
      </c>
    </row>
    <row r="55" spans="1:11" ht="14.4" customHeight="1" thickBot="1" x14ac:dyDescent="0.35">
      <c r="A55" s="341" t="s">
        <v>227</v>
      </c>
      <c r="B55" s="319">
        <v>1.999996816928</v>
      </c>
      <c r="C55" s="319">
        <v>1.62</v>
      </c>
      <c r="D55" s="320">
        <v>-0.37999681692800003</v>
      </c>
      <c r="E55" s="321">
        <v>0.81000128914500003</v>
      </c>
      <c r="F55" s="319">
        <v>2</v>
      </c>
      <c r="G55" s="320">
        <v>0.66666666666600005</v>
      </c>
      <c r="H55" s="322">
        <v>0.40500000000000003</v>
      </c>
      <c r="I55" s="319">
        <v>0.81</v>
      </c>
      <c r="J55" s="320">
        <v>0.143333333333</v>
      </c>
      <c r="K55" s="323">
        <v>0.40499999999899999</v>
      </c>
    </row>
    <row r="56" spans="1:11" ht="14.4" customHeight="1" thickBot="1" x14ac:dyDescent="0.35">
      <c r="A56" s="340" t="s">
        <v>228</v>
      </c>
      <c r="B56" s="324">
        <v>436.59616931502097</v>
      </c>
      <c r="C56" s="324">
        <v>475.72815000000003</v>
      </c>
      <c r="D56" s="325">
        <v>39.131980684978998</v>
      </c>
      <c r="E56" s="326">
        <v>1.089629693147</v>
      </c>
      <c r="F56" s="324">
        <v>442.38043361208099</v>
      </c>
      <c r="G56" s="325">
        <v>147.46014453736001</v>
      </c>
      <c r="H56" s="327">
        <v>39.277070000000002</v>
      </c>
      <c r="I56" s="324">
        <v>152.00570999999999</v>
      </c>
      <c r="J56" s="325">
        <v>4.5455654626389999</v>
      </c>
      <c r="K56" s="328">
        <v>0.34360857409200002</v>
      </c>
    </row>
    <row r="57" spans="1:11" ht="14.4" customHeight="1" thickBot="1" x14ac:dyDescent="0.35">
      <c r="A57" s="341" t="s">
        <v>229</v>
      </c>
      <c r="B57" s="319">
        <v>426.476451106936</v>
      </c>
      <c r="C57" s="319">
        <v>418.49767000000003</v>
      </c>
      <c r="D57" s="320">
        <v>-7.9787811069350001</v>
      </c>
      <c r="E57" s="321">
        <v>0.98129139115099995</v>
      </c>
      <c r="F57" s="319">
        <v>433</v>
      </c>
      <c r="G57" s="320">
        <v>144.333333333333</v>
      </c>
      <c r="H57" s="322">
        <v>38.677070000000001</v>
      </c>
      <c r="I57" s="319">
        <v>149.60570999999999</v>
      </c>
      <c r="J57" s="320">
        <v>5.2723766666660001</v>
      </c>
      <c r="K57" s="323">
        <v>0.34550972286300002</v>
      </c>
    </row>
    <row r="58" spans="1:11" ht="14.4" customHeight="1" thickBot="1" x14ac:dyDescent="0.35">
      <c r="A58" s="341" t="s">
        <v>230</v>
      </c>
      <c r="B58" s="319">
        <v>0</v>
      </c>
      <c r="C58" s="319">
        <v>49.630479999999999</v>
      </c>
      <c r="D58" s="320">
        <v>49.630479999999999</v>
      </c>
      <c r="E58" s="329" t="s">
        <v>196</v>
      </c>
      <c r="F58" s="319">
        <v>0</v>
      </c>
      <c r="G58" s="320">
        <v>0</v>
      </c>
      <c r="H58" s="322">
        <v>0</v>
      </c>
      <c r="I58" s="319">
        <v>0</v>
      </c>
      <c r="J58" s="320">
        <v>0</v>
      </c>
      <c r="K58" s="330" t="s">
        <v>179</v>
      </c>
    </row>
    <row r="59" spans="1:11" ht="14.4" customHeight="1" thickBot="1" x14ac:dyDescent="0.35">
      <c r="A59" s="341" t="s">
        <v>231</v>
      </c>
      <c r="B59" s="319">
        <v>10.119718208084</v>
      </c>
      <c r="C59" s="319">
        <v>7.6</v>
      </c>
      <c r="D59" s="320">
        <v>-2.5197182080839999</v>
      </c>
      <c r="E59" s="321">
        <v>0.75100905417700003</v>
      </c>
      <c r="F59" s="319">
        <v>9.3804336120799992</v>
      </c>
      <c r="G59" s="320">
        <v>3.1268112040260001</v>
      </c>
      <c r="H59" s="322">
        <v>0.6</v>
      </c>
      <c r="I59" s="319">
        <v>2.4</v>
      </c>
      <c r="J59" s="320">
        <v>-0.72681120402599997</v>
      </c>
      <c r="K59" s="323">
        <v>0.255851712111</v>
      </c>
    </row>
    <row r="60" spans="1:11" ht="14.4" customHeight="1" thickBot="1" x14ac:dyDescent="0.35">
      <c r="A60" s="340" t="s">
        <v>232</v>
      </c>
      <c r="B60" s="324">
        <v>1007.8274608605</v>
      </c>
      <c r="C60" s="324">
        <v>1197.9883400000001</v>
      </c>
      <c r="D60" s="325">
        <v>190.160879139504</v>
      </c>
      <c r="E60" s="326">
        <v>1.1886839628050001</v>
      </c>
      <c r="F60" s="324">
        <v>1321.1906687160699</v>
      </c>
      <c r="G60" s="325">
        <v>440.39688957202202</v>
      </c>
      <c r="H60" s="327">
        <v>39.305059999999997</v>
      </c>
      <c r="I60" s="324">
        <v>141.37102999999999</v>
      </c>
      <c r="J60" s="325">
        <v>-299.025859572022</v>
      </c>
      <c r="K60" s="328">
        <v>0.107002746346</v>
      </c>
    </row>
    <row r="61" spans="1:11" ht="14.4" customHeight="1" thickBot="1" x14ac:dyDescent="0.35">
      <c r="A61" s="341" t="s">
        <v>233</v>
      </c>
      <c r="B61" s="319">
        <v>4.9999920423219999</v>
      </c>
      <c r="C61" s="319">
        <v>2.8090000000000002</v>
      </c>
      <c r="D61" s="320">
        <v>-2.1909920423220002</v>
      </c>
      <c r="E61" s="321">
        <v>0.56180089412599998</v>
      </c>
      <c r="F61" s="319">
        <v>24.975999999999001</v>
      </c>
      <c r="G61" s="320">
        <v>8.3253333333330009</v>
      </c>
      <c r="H61" s="322">
        <v>0</v>
      </c>
      <c r="I61" s="319">
        <v>0</v>
      </c>
      <c r="J61" s="320">
        <v>-8.3253333333330009</v>
      </c>
      <c r="K61" s="323">
        <v>0</v>
      </c>
    </row>
    <row r="62" spans="1:11" ht="14.4" customHeight="1" thickBot="1" x14ac:dyDescent="0.35">
      <c r="A62" s="341" t="s">
        <v>234</v>
      </c>
      <c r="B62" s="319">
        <v>933.15222193161696</v>
      </c>
      <c r="C62" s="319">
        <v>1115.6534999999999</v>
      </c>
      <c r="D62" s="320">
        <v>182.50127806838401</v>
      </c>
      <c r="E62" s="321">
        <v>1.195575034575</v>
      </c>
      <c r="F62" s="319">
        <v>1172.40101218922</v>
      </c>
      <c r="G62" s="320">
        <v>390.80033739640697</v>
      </c>
      <c r="H62" s="322">
        <v>8.22316</v>
      </c>
      <c r="I62" s="319">
        <v>85.827780000000004</v>
      </c>
      <c r="J62" s="320">
        <v>-304.97255739640599</v>
      </c>
      <c r="K62" s="323">
        <v>7.3206845701000001E-2</v>
      </c>
    </row>
    <row r="63" spans="1:11" ht="14.4" customHeight="1" thickBot="1" x14ac:dyDescent="0.35">
      <c r="A63" s="341" t="s">
        <v>235</v>
      </c>
      <c r="B63" s="319">
        <v>3.9999936338570001</v>
      </c>
      <c r="C63" s="319">
        <v>0</v>
      </c>
      <c r="D63" s="320">
        <v>-3.9999936338570001</v>
      </c>
      <c r="E63" s="321">
        <v>0</v>
      </c>
      <c r="F63" s="319">
        <v>4</v>
      </c>
      <c r="G63" s="320">
        <v>1.333333333333</v>
      </c>
      <c r="H63" s="322">
        <v>0</v>
      </c>
      <c r="I63" s="319">
        <v>0</v>
      </c>
      <c r="J63" s="320">
        <v>-1.333333333333</v>
      </c>
      <c r="K63" s="323">
        <v>0</v>
      </c>
    </row>
    <row r="64" spans="1:11" ht="14.4" customHeight="1" thickBot="1" x14ac:dyDescent="0.35">
      <c r="A64" s="341" t="s">
        <v>236</v>
      </c>
      <c r="B64" s="319">
        <v>65.675253252698994</v>
      </c>
      <c r="C64" s="319">
        <v>79.525840000000002</v>
      </c>
      <c r="D64" s="320">
        <v>13.8505867473</v>
      </c>
      <c r="E64" s="321">
        <v>1.210895064142</v>
      </c>
      <c r="F64" s="319">
        <v>119.813656526846</v>
      </c>
      <c r="G64" s="320">
        <v>39.937885508948</v>
      </c>
      <c r="H64" s="322">
        <v>26.911000000000001</v>
      </c>
      <c r="I64" s="319">
        <v>51.372349999999997</v>
      </c>
      <c r="J64" s="320">
        <v>11.434464491050999</v>
      </c>
      <c r="K64" s="323">
        <v>0.42876873546099997</v>
      </c>
    </row>
    <row r="65" spans="1:11" ht="14.4" customHeight="1" thickBot="1" x14ac:dyDescent="0.35">
      <c r="A65" s="341" t="s">
        <v>237</v>
      </c>
      <c r="B65" s="319">
        <v>0</v>
      </c>
      <c r="C65" s="319">
        <v>0</v>
      </c>
      <c r="D65" s="320">
        <v>0</v>
      </c>
      <c r="E65" s="321">
        <v>1</v>
      </c>
      <c r="F65" s="319">
        <v>0</v>
      </c>
      <c r="G65" s="320">
        <v>0</v>
      </c>
      <c r="H65" s="322">
        <v>4.1708999999999996</v>
      </c>
      <c r="I65" s="319">
        <v>4.1708999999999996</v>
      </c>
      <c r="J65" s="320">
        <v>4.1708999999999996</v>
      </c>
      <c r="K65" s="330" t="s">
        <v>196</v>
      </c>
    </row>
    <row r="66" spans="1:11" ht="14.4" customHeight="1" thickBot="1" x14ac:dyDescent="0.35">
      <c r="A66" s="340" t="s">
        <v>238</v>
      </c>
      <c r="B66" s="324">
        <v>26.821659098146</v>
      </c>
      <c r="C66" s="324">
        <v>23.484999999999999</v>
      </c>
      <c r="D66" s="325">
        <v>-3.3366590981459998</v>
      </c>
      <c r="E66" s="326">
        <v>0.87559833320000002</v>
      </c>
      <c r="F66" s="324">
        <v>30</v>
      </c>
      <c r="G66" s="325">
        <v>10</v>
      </c>
      <c r="H66" s="327">
        <v>0</v>
      </c>
      <c r="I66" s="324">
        <v>0</v>
      </c>
      <c r="J66" s="325">
        <v>-10</v>
      </c>
      <c r="K66" s="328">
        <v>0</v>
      </c>
    </row>
    <row r="67" spans="1:11" ht="14.4" customHeight="1" thickBot="1" x14ac:dyDescent="0.35">
      <c r="A67" s="341" t="s">
        <v>239</v>
      </c>
      <c r="B67" s="319">
        <v>1.8216988865329999</v>
      </c>
      <c r="C67" s="319">
        <v>1.1000000000000001</v>
      </c>
      <c r="D67" s="320">
        <v>-0.72169888653299996</v>
      </c>
      <c r="E67" s="321">
        <v>0.60383195495700004</v>
      </c>
      <c r="F67" s="319">
        <v>5</v>
      </c>
      <c r="G67" s="320">
        <v>1.6666666666659999</v>
      </c>
      <c r="H67" s="322">
        <v>0</v>
      </c>
      <c r="I67" s="319">
        <v>0</v>
      </c>
      <c r="J67" s="320">
        <v>-1.6666666666659999</v>
      </c>
      <c r="K67" s="323">
        <v>0</v>
      </c>
    </row>
    <row r="68" spans="1:11" ht="14.4" customHeight="1" thickBot="1" x14ac:dyDescent="0.35">
      <c r="A68" s="341" t="s">
        <v>240</v>
      </c>
      <c r="B68" s="319">
        <v>24.999960211611999</v>
      </c>
      <c r="C68" s="319">
        <v>22.385000000000002</v>
      </c>
      <c r="D68" s="320">
        <v>-2.6149602116119999</v>
      </c>
      <c r="E68" s="321">
        <v>0.89540142506300002</v>
      </c>
      <c r="F68" s="319">
        <v>25</v>
      </c>
      <c r="G68" s="320">
        <v>8.333333333333</v>
      </c>
      <c r="H68" s="322">
        <v>0</v>
      </c>
      <c r="I68" s="319">
        <v>0</v>
      </c>
      <c r="J68" s="320">
        <v>-8.333333333333</v>
      </c>
      <c r="K68" s="323">
        <v>0</v>
      </c>
    </row>
    <row r="69" spans="1:11" ht="14.4" customHeight="1" thickBot="1" x14ac:dyDescent="0.35">
      <c r="A69" s="338" t="s">
        <v>32</v>
      </c>
      <c r="B69" s="319">
        <v>12221.0011033057</v>
      </c>
      <c r="C69" s="319">
        <v>13310.073560000001</v>
      </c>
      <c r="D69" s="320">
        <v>1089.0724566943099</v>
      </c>
      <c r="E69" s="321">
        <v>1.0891148317129999</v>
      </c>
      <c r="F69" s="319">
        <v>13272</v>
      </c>
      <c r="G69" s="320">
        <v>4424</v>
      </c>
      <c r="H69" s="322">
        <v>1202.2929799999999</v>
      </c>
      <c r="I69" s="319">
        <v>4638.2521100000004</v>
      </c>
      <c r="J69" s="320">
        <v>214.25211000000101</v>
      </c>
      <c r="K69" s="323">
        <v>0.34947650014999998</v>
      </c>
    </row>
    <row r="70" spans="1:11" ht="14.4" customHeight="1" thickBot="1" x14ac:dyDescent="0.35">
      <c r="A70" s="344" t="s">
        <v>241</v>
      </c>
      <c r="B70" s="324">
        <v>9026.0008148627094</v>
      </c>
      <c r="C70" s="324">
        <v>9831.6970000000001</v>
      </c>
      <c r="D70" s="325">
        <v>805.69618513729404</v>
      </c>
      <c r="E70" s="326">
        <v>1.0892639167289999</v>
      </c>
      <c r="F70" s="324">
        <v>9766.0000000000091</v>
      </c>
      <c r="G70" s="325">
        <v>3255.3333333333399</v>
      </c>
      <c r="H70" s="327">
        <v>885.03899999999999</v>
      </c>
      <c r="I70" s="324">
        <v>3415.596</v>
      </c>
      <c r="J70" s="325">
        <v>160.26266666666601</v>
      </c>
      <c r="K70" s="328">
        <v>0.34974360024500001</v>
      </c>
    </row>
    <row r="71" spans="1:11" ht="14.4" customHeight="1" thickBot="1" x14ac:dyDescent="0.35">
      <c r="A71" s="340" t="s">
        <v>242</v>
      </c>
      <c r="B71" s="324">
        <v>9000.00081251544</v>
      </c>
      <c r="C71" s="324">
        <v>9796.7060000000001</v>
      </c>
      <c r="D71" s="325">
        <v>796.70518748456197</v>
      </c>
      <c r="E71" s="326">
        <v>1.0885227906170001</v>
      </c>
      <c r="F71" s="324">
        <v>9738.0000000000091</v>
      </c>
      <c r="G71" s="325">
        <v>3246</v>
      </c>
      <c r="H71" s="327">
        <v>881.04300000000001</v>
      </c>
      <c r="I71" s="324">
        <v>3395.1329999999998</v>
      </c>
      <c r="J71" s="325">
        <v>149.13300000000001</v>
      </c>
      <c r="K71" s="328">
        <v>0.34864787430600003</v>
      </c>
    </row>
    <row r="72" spans="1:11" ht="14.4" customHeight="1" thickBot="1" x14ac:dyDescent="0.35">
      <c r="A72" s="341" t="s">
        <v>243</v>
      </c>
      <c r="B72" s="319">
        <v>9000.00081251544</v>
      </c>
      <c r="C72" s="319">
        <v>9796.7060000000001</v>
      </c>
      <c r="D72" s="320">
        <v>796.70518748456197</v>
      </c>
      <c r="E72" s="321">
        <v>1.0885227906170001</v>
      </c>
      <c r="F72" s="319">
        <v>9738.0000000000091</v>
      </c>
      <c r="G72" s="320">
        <v>3246</v>
      </c>
      <c r="H72" s="322">
        <v>881.04300000000001</v>
      </c>
      <c r="I72" s="319">
        <v>3395.1329999999998</v>
      </c>
      <c r="J72" s="320">
        <v>149.13300000000001</v>
      </c>
      <c r="K72" s="323">
        <v>0.34864787430600003</v>
      </c>
    </row>
    <row r="73" spans="1:11" ht="14.4" customHeight="1" thickBot="1" x14ac:dyDescent="0.35">
      <c r="A73" s="340" t="s">
        <v>244</v>
      </c>
      <c r="B73" s="324">
        <v>26.000002347266001</v>
      </c>
      <c r="C73" s="324">
        <v>34.991</v>
      </c>
      <c r="D73" s="325">
        <v>8.9909976527330002</v>
      </c>
      <c r="E73" s="326">
        <v>1.345807570808</v>
      </c>
      <c r="F73" s="324">
        <v>28</v>
      </c>
      <c r="G73" s="325">
        <v>9.333333333333</v>
      </c>
      <c r="H73" s="327">
        <v>3.996</v>
      </c>
      <c r="I73" s="324">
        <v>20.463000000000001</v>
      </c>
      <c r="J73" s="325">
        <v>11.129666666665999</v>
      </c>
      <c r="K73" s="328">
        <v>0.73082142857099996</v>
      </c>
    </row>
    <row r="74" spans="1:11" ht="14.4" customHeight="1" thickBot="1" x14ac:dyDescent="0.35">
      <c r="A74" s="341" t="s">
        <v>245</v>
      </c>
      <c r="B74" s="319">
        <v>26.000002347266001</v>
      </c>
      <c r="C74" s="319">
        <v>34.991</v>
      </c>
      <c r="D74" s="320">
        <v>8.9909976527330002</v>
      </c>
      <c r="E74" s="321">
        <v>1.345807570808</v>
      </c>
      <c r="F74" s="319">
        <v>28</v>
      </c>
      <c r="G74" s="320">
        <v>9.333333333333</v>
      </c>
      <c r="H74" s="322">
        <v>3.996</v>
      </c>
      <c r="I74" s="319">
        <v>20.463000000000001</v>
      </c>
      <c r="J74" s="320">
        <v>11.129666666665999</v>
      </c>
      <c r="K74" s="323">
        <v>0.73082142857099996</v>
      </c>
    </row>
    <row r="75" spans="1:11" ht="14.4" customHeight="1" thickBot="1" x14ac:dyDescent="0.35">
      <c r="A75" s="339" t="s">
        <v>246</v>
      </c>
      <c r="B75" s="319">
        <v>3060.0002762552499</v>
      </c>
      <c r="C75" s="319">
        <v>3330.8935000000001</v>
      </c>
      <c r="D75" s="320">
        <v>270.89322374475103</v>
      </c>
      <c r="E75" s="321">
        <v>1.0885271893099999</v>
      </c>
      <c r="F75" s="319">
        <v>3311</v>
      </c>
      <c r="G75" s="320">
        <v>1103.6666666666699</v>
      </c>
      <c r="H75" s="322">
        <v>299.55275</v>
      </c>
      <c r="I75" s="319">
        <v>1154.3452500000001</v>
      </c>
      <c r="J75" s="320">
        <v>50.678583333334998</v>
      </c>
      <c r="K75" s="323">
        <v>0.34863945937700003</v>
      </c>
    </row>
    <row r="76" spans="1:11" ht="14.4" customHeight="1" thickBot="1" x14ac:dyDescent="0.35">
      <c r="A76" s="340" t="s">
        <v>247</v>
      </c>
      <c r="B76" s="324">
        <v>810.00007312639002</v>
      </c>
      <c r="C76" s="324">
        <v>881.71700000000101</v>
      </c>
      <c r="D76" s="325">
        <v>71.716926873610007</v>
      </c>
      <c r="E76" s="326">
        <v>1.0885394078999999</v>
      </c>
      <c r="F76" s="324">
        <v>875.99999999999602</v>
      </c>
      <c r="G76" s="325">
        <v>291.99999999999898</v>
      </c>
      <c r="H76" s="327">
        <v>79.292000000000002</v>
      </c>
      <c r="I76" s="324">
        <v>305.56200000000001</v>
      </c>
      <c r="J76" s="325">
        <v>13.562000000000999</v>
      </c>
      <c r="K76" s="328">
        <v>0.34881506849299998</v>
      </c>
    </row>
    <row r="77" spans="1:11" ht="14.4" customHeight="1" thickBot="1" x14ac:dyDescent="0.35">
      <c r="A77" s="341" t="s">
        <v>248</v>
      </c>
      <c r="B77" s="319">
        <v>810.00007312639002</v>
      </c>
      <c r="C77" s="319">
        <v>881.71700000000101</v>
      </c>
      <c r="D77" s="320">
        <v>71.716926873610007</v>
      </c>
      <c r="E77" s="321">
        <v>1.0885394078999999</v>
      </c>
      <c r="F77" s="319">
        <v>875.99999999999602</v>
      </c>
      <c r="G77" s="320">
        <v>291.99999999999898</v>
      </c>
      <c r="H77" s="322">
        <v>79.292000000000002</v>
      </c>
      <c r="I77" s="319">
        <v>305.56200000000001</v>
      </c>
      <c r="J77" s="320">
        <v>13.562000000000999</v>
      </c>
      <c r="K77" s="323">
        <v>0.34881506849299998</v>
      </c>
    </row>
    <row r="78" spans="1:11" ht="14.4" customHeight="1" thickBot="1" x14ac:dyDescent="0.35">
      <c r="A78" s="340" t="s">
        <v>249</v>
      </c>
      <c r="B78" s="324">
        <v>2250.00020312886</v>
      </c>
      <c r="C78" s="324">
        <v>2449.1765</v>
      </c>
      <c r="D78" s="325">
        <v>199.17629687114001</v>
      </c>
      <c r="E78" s="326">
        <v>1.0885227906170001</v>
      </c>
      <c r="F78" s="324">
        <v>2435</v>
      </c>
      <c r="G78" s="325">
        <v>811.66666666666697</v>
      </c>
      <c r="H78" s="327">
        <v>220.26075</v>
      </c>
      <c r="I78" s="324">
        <v>848.78324999999995</v>
      </c>
      <c r="J78" s="325">
        <v>37.116583333332997</v>
      </c>
      <c r="K78" s="328">
        <v>0.34857628336699997</v>
      </c>
    </row>
    <row r="79" spans="1:11" ht="14.4" customHeight="1" thickBot="1" x14ac:dyDescent="0.35">
      <c r="A79" s="341" t="s">
        <v>250</v>
      </c>
      <c r="B79" s="319">
        <v>2250.00020312886</v>
      </c>
      <c r="C79" s="319">
        <v>2449.1765</v>
      </c>
      <c r="D79" s="320">
        <v>199.17629687114001</v>
      </c>
      <c r="E79" s="321">
        <v>1.0885227906170001</v>
      </c>
      <c r="F79" s="319">
        <v>2435</v>
      </c>
      <c r="G79" s="320">
        <v>811.66666666666697</v>
      </c>
      <c r="H79" s="322">
        <v>220.26075</v>
      </c>
      <c r="I79" s="319">
        <v>848.78324999999995</v>
      </c>
      <c r="J79" s="320">
        <v>37.116583333332997</v>
      </c>
      <c r="K79" s="323">
        <v>0.34857628336699997</v>
      </c>
    </row>
    <row r="80" spans="1:11" ht="14.4" customHeight="1" thickBot="1" x14ac:dyDescent="0.35">
      <c r="A80" s="339" t="s">
        <v>251</v>
      </c>
      <c r="B80" s="319">
        <v>135.00001218773201</v>
      </c>
      <c r="C80" s="319">
        <v>147.48305999999999</v>
      </c>
      <c r="D80" s="320">
        <v>12.483047812268</v>
      </c>
      <c r="E80" s="321">
        <v>1.092467012483</v>
      </c>
      <c r="F80" s="319">
        <v>195</v>
      </c>
      <c r="G80" s="320">
        <v>65</v>
      </c>
      <c r="H80" s="322">
        <v>17.701229999999999</v>
      </c>
      <c r="I80" s="319">
        <v>68.310860000000005</v>
      </c>
      <c r="J80" s="320">
        <v>3.3108599999989998</v>
      </c>
      <c r="K80" s="323">
        <v>0.35031210256400003</v>
      </c>
    </row>
    <row r="81" spans="1:11" ht="14.4" customHeight="1" thickBot="1" x14ac:dyDescent="0.35">
      <c r="A81" s="340" t="s">
        <v>252</v>
      </c>
      <c r="B81" s="324">
        <v>135.00001218773201</v>
      </c>
      <c r="C81" s="324">
        <v>147.48305999999999</v>
      </c>
      <c r="D81" s="325">
        <v>12.483047812268</v>
      </c>
      <c r="E81" s="326">
        <v>1.092467012483</v>
      </c>
      <c r="F81" s="324">
        <v>195</v>
      </c>
      <c r="G81" s="325">
        <v>65</v>
      </c>
      <c r="H81" s="327">
        <v>17.701229999999999</v>
      </c>
      <c r="I81" s="324">
        <v>68.310860000000005</v>
      </c>
      <c r="J81" s="325">
        <v>3.3108599999989998</v>
      </c>
      <c r="K81" s="328">
        <v>0.35031210256400003</v>
      </c>
    </row>
    <row r="82" spans="1:11" ht="14.4" customHeight="1" thickBot="1" x14ac:dyDescent="0.35">
      <c r="A82" s="341" t="s">
        <v>253</v>
      </c>
      <c r="B82" s="319">
        <v>135.00001218773201</v>
      </c>
      <c r="C82" s="319">
        <v>147.48305999999999</v>
      </c>
      <c r="D82" s="320">
        <v>12.483047812268</v>
      </c>
      <c r="E82" s="321">
        <v>1.092467012483</v>
      </c>
      <c r="F82" s="319">
        <v>195</v>
      </c>
      <c r="G82" s="320">
        <v>65</v>
      </c>
      <c r="H82" s="322">
        <v>17.701229999999999</v>
      </c>
      <c r="I82" s="319">
        <v>68.310860000000005</v>
      </c>
      <c r="J82" s="320">
        <v>3.3108599999989998</v>
      </c>
      <c r="K82" s="323">
        <v>0.35031210256400003</v>
      </c>
    </row>
    <row r="83" spans="1:11" ht="14.4" customHeight="1" thickBot="1" x14ac:dyDescent="0.35">
      <c r="A83" s="338" t="s">
        <v>254</v>
      </c>
      <c r="B83" s="319">
        <v>0</v>
      </c>
      <c r="C83" s="319">
        <v>0.77583999999999997</v>
      </c>
      <c r="D83" s="320">
        <v>0.77583999999999997</v>
      </c>
      <c r="E83" s="329" t="s">
        <v>179</v>
      </c>
      <c r="F83" s="319">
        <v>0</v>
      </c>
      <c r="G83" s="320">
        <v>0</v>
      </c>
      <c r="H83" s="322">
        <v>21.835000000000001</v>
      </c>
      <c r="I83" s="319">
        <v>21.835000000000001</v>
      </c>
      <c r="J83" s="320">
        <v>21.835000000000001</v>
      </c>
      <c r="K83" s="330" t="s">
        <v>179</v>
      </c>
    </row>
    <row r="84" spans="1:11" ht="14.4" customHeight="1" thickBot="1" x14ac:dyDescent="0.35">
      <c r="A84" s="339" t="s">
        <v>255</v>
      </c>
      <c r="B84" s="319">
        <v>0</v>
      </c>
      <c r="C84" s="319">
        <v>0.77583999999999997</v>
      </c>
      <c r="D84" s="320">
        <v>0.77583999999999997</v>
      </c>
      <c r="E84" s="329" t="s">
        <v>179</v>
      </c>
      <c r="F84" s="319">
        <v>0</v>
      </c>
      <c r="G84" s="320">
        <v>0</v>
      </c>
      <c r="H84" s="322">
        <v>21.835000000000001</v>
      </c>
      <c r="I84" s="319">
        <v>21.835000000000001</v>
      </c>
      <c r="J84" s="320">
        <v>21.835000000000001</v>
      </c>
      <c r="K84" s="330" t="s">
        <v>179</v>
      </c>
    </row>
    <row r="85" spans="1:11" ht="14.4" customHeight="1" thickBot="1" x14ac:dyDescent="0.35">
      <c r="A85" s="340" t="s">
        <v>256</v>
      </c>
      <c r="B85" s="324">
        <v>0</v>
      </c>
      <c r="C85" s="324">
        <v>0.17584</v>
      </c>
      <c r="D85" s="325">
        <v>0.17584</v>
      </c>
      <c r="E85" s="331" t="s">
        <v>196</v>
      </c>
      <c r="F85" s="324">
        <v>0</v>
      </c>
      <c r="G85" s="325">
        <v>0</v>
      </c>
      <c r="H85" s="327">
        <v>0</v>
      </c>
      <c r="I85" s="324">
        <v>0</v>
      </c>
      <c r="J85" s="325">
        <v>0</v>
      </c>
      <c r="K85" s="332" t="s">
        <v>179</v>
      </c>
    </row>
    <row r="86" spans="1:11" ht="14.4" customHeight="1" thickBot="1" x14ac:dyDescent="0.35">
      <c r="A86" s="341" t="s">
        <v>257</v>
      </c>
      <c r="B86" s="319">
        <v>0</v>
      </c>
      <c r="C86" s="319">
        <v>0.17584</v>
      </c>
      <c r="D86" s="320">
        <v>0.17584</v>
      </c>
      <c r="E86" s="329" t="s">
        <v>196</v>
      </c>
      <c r="F86" s="319">
        <v>0</v>
      </c>
      <c r="G86" s="320">
        <v>0</v>
      </c>
      <c r="H86" s="322">
        <v>0</v>
      </c>
      <c r="I86" s="319">
        <v>0</v>
      </c>
      <c r="J86" s="320">
        <v>0</v>
      </c>
      <c r="K86" s="330" t="s">
        <v>179</v>
      </c>
    </row>
    <row r="87" spans="1:11" ht="14.4" customHeight="1" thickBot="1" x14ac:dyDescent="0.35">
      <c r="A87" s="343" t="s">
        <v>258</v>
      </c>
      <c r="B87" s="319">
        <v>0</v>
      </c>
      <c r="C87" s="319">
        <v>0</v>
      </c>
      <c r="D87" s="320">
        <v>0</v>
      </c>
      <c r="E87" s="329" t="s">
        <v>179</v>
      </c>
      <c r="F87" s="319">
        <v>0</v>
      </c>
      <c r="G87" s="320">
        <v>0</v>
      </c>
      <c r="H87" s="322">
        <v>21.835000000000001</v>
      </c>
      <c r="I87" s="319">
        <v>21.835000000000001</v>
      </c>
      <c r="J87" s="320">
        <v>21.835000000000001</v>
      </c>
      <c r="K87" s="330" t="s">
        <v>196</v>
      </c>
    </row>
    <row r="88" spans="1:11" ht="14.4" customHeight="1" thickBot="1" x14ac:dyDescent="0.35">
      <c r="A88" s="341" t="s">
        <v>259</v>
      </c>
      <c r="B88" s="319">
        <v>0</v>
      </c>
      <c r="C88" s="319">
        <v>0</v>
      </c>
      <c r="D88" s="320">
        <v>0</v>
      </c>
      <c r="E88" s="329" t="s">
        <v>179</v>
      </c>
      <c r="F88" s="319">
        <v>0</v>
      </c>
      <c r="G88" s="320">
        <v>0</v>
      </c>
      <c r="H88" s="322">
        <v>21.835000000000001</v>
      </c>
      <c r="I88" s="319">
        <v>21.835000000000001</v>
      </c>
      <c r="J88" s="320">
        <v>21.835000000000001</v>
      </c>
      <c r="K88" s="330" t="s">
        <v>196</v>
      </c>
    </row>
    <row r="89" spans="1:11" ht="14.4" customHeight="1" thickBot="1" x14ac:dyDescent="0.35">
      <c r="A89" s="343" t="s">
        <v>260</v>
      </c>
      <c r="B89" s="319">
        <v>0</v>
      </c>
      <c r="C89" s="319">
        <v>0.6</v>
      </c>
      <c r="D89" s="320">
        <v>0.6</v>
      </c>
      <c r="E89" s="329" t="s">
        <v>179</v>
      </c>
      <c r="F89" s="319">
        <v>0</v>
      </c>
      <c r="G89" s="320">
        <v>0</v>
      </c>
      <c r="H89" s="322">
        <v>0</v>
      </c>
      <c r="I89" s="319">
        <v>0</v>
      </c>
      <c r="J89" s="320">
        <v>0</v>
      </c>
      <c r="K89" s="330" t="s">
        <v>179</v>
      </c>
    </row>
    <row r="90" spans="1:11" ht="14.4" customHeight="1" thickBot="1" x14ac:dyDescent="0.35">
      <c r="A90" s="341" t="s">
        <v>261</v>
      </c>
      <c r="B90" s="319">
        <v>0</v>
      </c>
      <c r="C90" s="319">
        <v>0.6</v>
      </c>
      <c r="D90" s="320">
        <v>0.6</v>
      </c>
      <c r="E90" s="329" t="s">
        <v>179</v>
      </c>
      <c r="F90" s="319">
        <v>0</v>
      </c>
      <c r="G90" s="320">
        <v>0</v>
      </c>
      <c r="H90" s="322">
        <v>0</v>
      </c>
      <c r="I90" s="319">
        <v>0</v>
      </c>
      <c r="J90" s="320">
        <v>0</v>
      </c>
      <c r="K90" s="330" t="s">
        <v>179</v>
      </c>
    </row>
    <row r="91" spans="1:11" ht="14.4" customHeight="1" thickBot="1" x14ac:dyDescent="0.35">
      <c r="A91" s="338" t="s">
        <v>262</v>
      </c>
      <c r="B91" s="319">
        <v>2586.3068043716198</v>
      </c>
      <c r="C91" s="319">
        <v>2585.8150000000001</v>
      </c>
      <c r="D91" s="320">
        <v>-0.49180437161700002</v>
      </c>
      <c r="E91" s="321">
        <v>0.99980984298800002</v>
      </c>
      <c r="F91" s="319">
        <v>1801</v>
      </c>
      <c r="G91" s="320">
        <v>600.33333333333405</v>
      </c>
      <c r="H91" s="322">
        <v>135.42400000000001</v>
      </c>
      <c r="I91" s="319">
        <v>773.52200000000005</v>
      </c>
      <c r="J91" s="320">
        <v>173.18866666666599</v>
      </c>
      <c r="K91" s="323">
        <v>0.42949583564600002</v>
      </c>
    </row>
    <row r="92" spans="1:11" ht="14.4" customHeight="1" thickBot="1" x14ac:dyDescent="0.35">
      <c r="A92" s="339" t="s">
        <v>263</v>
      </c>
      <c r="B92" s="319">
        <v>2564.00592094175</v>
      </c>
      <c r="C92" s="319">
        <v>2569.48</v>
      </c>
      <c r="D92" s="320">
        <v>5.4740790582479999</v>
      </c>
      <c r="E92" s="321">
        <v>1.0021349713009999</v>
      </c>
      <c r="F92" s="319">
        <v>1801</v>
      </c>
      <c r="G92" s="320">
        <v>600.33333333333405</v>
      </c>
      <c r="H92" s="322">
        <v>135.42400000000001</v>
      </c>
      <c r="I92" s="319">
        <v>773.52200000000005</v>
      </c>
      <c r="J92" s="320">
        <v>173.18866666666599</v>
      </c>
      <c r="K92" s="323">
        <v>0.42949583564600002</v>
      </c>
    </row>
    <row r="93" spans="1:11" ht="14.4" customHeight="1" thickBot="1" x14ac:dyDescent="0.35">
      <c r="A93" s="340" t="s">
        <v>264</v>
      </c>
      <c r="B93" s="324">
        <v>2564.00592094175</v>
      </c>
      <c r="C93" s="324">
        <v>2569.2890000000002</v>
      </c>
      <c r="D93" s="325">
        <v>5.2830790582480001</v>
      </c>
      <c r="E93" s="326">
        <v>1.0020604784930001</v>
      </c>
      <c r="F93" s="324">
        <v>1801</v>
      </c>
      <c r="G93" s="325">
        <v>600.33333333333405</v>
      </c>
      <c r="H93" s="327">
        <v>135.42400000000001</v>
      </c>
      <c r="I93" s="324">
        <v>773.50199999999995</v>
      </c>
      <c r="J93" s="325">
        <v>173.16866666666601</v>
      </c>
      <c r="K93" s="328">
        <v>0.42948473070499998</v>
      </c>
    </row>
    <row r="94" spans="1:11" ht="14.4" customHeight="1" thickBot="1" x14ac:dyDescent="0.35">
      <c r="A94" s="341" t="s">
        <v>265</v>
      </c>
      <c r="B94" s="319">
        <v>109.00025170930201</v>
      </c>
      <c r="C94" s="319">
        <v>109.87</v>
      </c>
      <c r="D94" s="320">
        <v>0.86974829069699999</v>
      </c>
      <c r="E94" s="321">
        <v>1.0079793236900001</v>
      </c>
      <c r="F94" s="319">
        <v>114</v>
      </c>
      <c r="G94" s="320">
        <v>38</v>
      </c>
      <c r="H94" s="322">
        <v>9.5389999999999997</v>
      </c>
      <c r="I94" s="319">
        <v>38.101999999999997</v>
      </c>
      <c r="J94" s="320">
        <v>0.101999999999</v>
      </c>
      <c r="K94" s="323">
        <v>0.334228070175</v>
      </c>
    </row>
    <row r="95" spans="1:11" ht="14.4" customHeight="1" thickBot="1" x14ac:dyDescent="0.35">
      <c r="A95" s="341" t="s">
        <v>266</v>
      </c>
      <c r="B95" s="319">
        <v>355.00081978717702</v>
      </c>
      <c r="C95" s="319">
        <v>355.589</v>
      </c>
      <c r="D95" s="320">
        <v>0.58818021282199995</v>
      </c>
      <c r="E95" s="321">
        <v>1.0016568418430001</v>
      </c>
      <c r="F95" s="319">
        <v>296</v>
      </c>
      <c r="G95" s="320">
        <v>98.666666666666003</v>
      </c>
      <c r="H95" s="322">
        <v>27.206</v>
      </c>
      <c r="I95" s="319">
        <v>108.824</v>
      </c>
      <c r="J95" s="320">
        <v>10.157333333333</v>
      </c>
      <c r="K95" s="323">
        <v>0.36764864864800001</v>
      </c>
    </row>
    <row r="96" spans="1:11" ht="14.4" customHeight="1" thickBot="1" x14ac:dyDescent="0.35">
      <c r="A96" s="341" t="s">
        <v>267</v>
      </c>
      <c r="B96" s="319">
        <v>198.000457233411</v>
      </c>
      <c r="C96" s="319">
        <v>197.47499999999999</v>
      </c>
      <c r="D96" s="320">
        <v>-0.52545723341100004</v>
      </c>
      <c r="E96" s="321">
        <v>0.99734618171699996</v>
      </c>
      <c r="F96" s="319">
        <v>173</v>
      </c>
      <c r="G96" s="320">
        <v>57.666666666666003</v>
      </c>
      <c r="H96" s="322">
        <v>16.454999999999998</v>
      </c>
      <c r="I96" s="319">
        <v>65.819999999999993</v>
      </c>
      <c r="J96" s="320">
        <v>8.1533333333330003</v>
      </c>
      <c r="K96" s="323">
        <v>0.380462427745</v>
      </c>
    </row>
    <row r="97" spans="1:11" ht="14.4" customHeight="1" thickBot="1" x14ac:dyDescent="0.35">
      <c r="A97" s="341" t="s">
        <v>268</v>
      </c>
      <c r="B97" s="319">
        <v>655.00151256507297</v>
      </c>
      <c r="C97" s="319">
        <v>659.06</v>
      </c>
      <c r="D97" s="320">
        <v>4.0584874349259996</v>
      </c>
      <c r="E97" s="321">
        <v>1.006196149714</v>
      </c>
      <c r="F97" s="319">
        <v>666.00000000000102</v>
      </c>
      <c r="G97" s="320">
        <v>222</v>
      </c>
      <c r="H97" s="322">
        <v>55.572000000000003</v>
      </c>
      <c r="I97" s="319">
        <v>222.28399999999999</v>
      </c>
      <c r="J97" s="320">
        <v>0.283999999999</v>
      </c>
      <c r="K97" s="323">
        <v>0.33375975975900002</v>
      </c>
    </row>
    <row r="98" spans="1:11" ht="14.4" customHeight="1" thickBot="1" x14ac:dyDescent="0.35">
      <c r="A98" s="341" t="s">
        <v>269</v>
      </c>
      <c r="B98" s="319">
        <v>1134.0026187004501</v>
      </c>
      <c r="C98" s="319">
        <v>1134.1469999999999</v>
      </c>
      <c r="D98" s="320">
        <v>0.14438129955199999</v>
      </c>
      <c r="E98" s="321">
        <v>1.000127320075</v>
      </c>
      <c r="F98" s="319">
        <v>461.00000000000102</v>
      </c>
      <c r="G98" s="320">
        <v>153.666666666667</v>
      </c>
      <c r="H98" s="322">
        <v>19.658999999999999</v>
      </c>
      <c r="I98" s="319">
        <v>303.19200000000001</v>
      </c>
      <c r="J98" s="320">
        <v>149.52533333333301</v>
      </c>
      <c r="K98" s="323">
        <v>0.65768329717999996</v>
      </c>
    </row>
    <row r="99" spans="1:11" ht="14.4" customHeight="1" thickBot="1" x14ac:dyDescent="0.35">
      <c r="A99" s="341" t="s">
        <v>270</v>
      </c>
      <c r="B99" s="319">
        <v>113.000260946341</v>
      </c>
      <c r="C99" s="319">
        <v>113.148</v>
      </c>
      <c r="D99" s="320">
        <v>0.147739053659</v>
      </c>
      <c r="E99" s="321">
        <v>1.0013074222339999</v>
      </c>
      <c r="F99" s="319">
        <v>91</v>
      </c>
      <c r="G99" s="320">
        <v>30.333333333333002</v>
      </c>
      <c r="H99" s="322">
        <v>6.9930000000000003</v>
      </c>
      <c r="I99" s="319">
        <v>35.28</v>
      </c>
      <c r="J99" s="320">
        <v>4.9466666666660002</v>
      </c>
      <c r="K99" s="323">
        <v>0.38769230769200003</v>
      </c>
    </row>
    <row r="100" spans="1:11" ht="14.4" customHeight="1" thickBot="1" x14ac:dyDescent="0.35">
      <c r="A100" s="340" t="s">
        <v>271</v>
      </c>
      <c r="B100" s="324">
        <v>0</v>
      </c>
      <c r="C100" s="324">
        <v>0.191</v>
      </c>
      <c r="D100" s="325">
        <v>0.191</v>
      </c>
      <c r="E100" s="331" t="s">
        <v>179</v>
      </c>
      <c r="F100" s="324">
        <v>0</v>
      </c>
      <c r="G100" s="325">
        <v>0</v>
      </c>
      <c r="H100" s="327">
        <v>0</v>
      </c>
      <c r="I100" s="324">
        <v>0.02</v>
      </c>
      <c r="J100" s="325">
        <v>0.02</v>
      </c>
      <c r="K100" s="332" t="s">
        <v>179</v>
      </c>
    </row>
    <row r="101" spans="1:11" ht="14.4" customHeight="1" thickBot="1" x14ac:dyDescent="0.35">
      <c r="A101" s="341" t="s">
        <v>272</v>
      </c>
      <c r="B101" s="319">
        <v>0</v>
      </c>
      <c r="C101" s="319">
        <v>0.191</v>
      </c>
      <c r="D101" s="320">
        <v>0.191</v>
      </c>
      <c r="E101" s="329" t="s">
        <v>179</v>
      </c>
      <c r="F101" s="319">
        <v>0</v>
      </c>
      <c r="G101" s="320">
        <v>0</v>
      </c>
      <c r="H101" s="322">
        <v>0</v>
      </c>
      <c r="I101" s="319">
        <v>0</v>
      </c>
      <c r="J101" s="320">
        <v>0</v>
      </c>
      <c r="K101" s="330" t="s">
        <v>179</v>
      </c>
    </row>
    <row r="102" spans="1:11" ht="14.4" customHeight="1" thickBot="1" x14ac:dyDescent="0.35">
      <c r="A102" s="341" t="s">
        <v>273</v>
      </c>
      <c r="B102" s="319">
        <v>0</v>
      </c>
      <c r="C102" s="319">
        <v>0</v>
      </c>
      <c r="D102" s="320">
        <v>0</v>
      </c>
      <c r="E102" s="321">
        <v>1</v>
      </c>
      <c r="F102" s="319">
        <v>0</v>
      </c>
      <c r="G102" s="320">
        <v>0</v>
      </c>
      <c r="H102" s="322">
        <v>0</v>
      </c>
      <c r="I102" s="319">
        <v>0.02</v>
      </c>
      <c r="J102" s="320">
        <v>0.02</v>
      </c>
      <c r="K102" s="330" t="s">
        <v>196</v>
      </c>
    </row>
    <row r="103" spans="1:11" ht="14.4" customHeight="1" thickBot="1" x14ac:dyDescent="0.35">
      <c r="A103" s="339" t="s">
        <v>274</v>
      </c>
      <c r="B103" s="319">
        <v>22.300883429864999</v>
      </c>
      <c r="C103" s="319">
        <v>16.335000000000001</v>
      </c>
      <c r="D103" s="320">
        <v>-5.9658834298650003</v>
      </c>
      <c r="E103" s="321">
        <v>0.73248219297499995</v>
      </c>
      <c r="F103" s="319">
        <v>0</v>
      </c>
      <c r="G103" s="320">
        <v>0</v>
      </c>
      <c r="H103" s="322">
        <v>0</v>
      </c>
      <c r="I103" s="319">
        <v>0</v>
      </c>
      <c r="J103" s="320">
        <v>0</v>
      </c>
      <c r="K103" s="330" t="s">
        <v>179</v>
      </c>
    </row>
    <row r="104" spans="1:11" ht="14.4" customHeight="1" thickBot="1" x14ac:dyDescent="0.35">
      <c r="A104" s="340" t="s">
        <v>275</v>
      </c>
      <c r="B104" s="324">
        <v>22.300883429864999</v>
      </c>
      <c r="C104" s="324">
        <v>9.0749999999999993</v>
      </c>
      <c r="D104" s="325">
        <v>-13.225883429865</v>
      </c>
      <c r="E104" s="326">
        <v>0.40693455165300002</v>
      </c>
      <c r="F104" s="324">
        <v>0</v>
      </c>
      <c r="G104" s="325">
        <v>0</v>
      </c>
      <c r="H104" s="327">
        <v>0</v>
      </c>
      <c r="I104" s="324">
        <v>0</v>
      </c>
      <c r="J104" s="325">
        <v>0</v>
      </c>
      <c r="K104" s="332" t="s">
        <v>179</v>
      </c>
    </row>
    <row r="105" spans="1:11" ht="14.4" customHeight="1" thickBot="1" x14ac:dyDescent="0.35">
      <c r="A105" s="341" t="s">
        <v>276</v>
      </c>
      <c r="B105" s="319">
        <v>22.300883429864999</v>
      </c>
      <c r="C105" s="319">
        <v>9.0749999999999993</v>
      </c>
      <c r="D105" s="320">
        <v>-13.225883429865</v>
      </c>
      <c r="E105" s="321">
        <v>0.40693455165300002</v>
      </c>
      <c r="F105" s="319">
        <v>0</v>
      </c>
      <c r="G105" s="320">
        <v>0</v>
      </c>
      <c r="H105" s="322">
        <v>0</v>
      </c>
      <c r="I105" s="319">
        <v>0</v>
      </c>
      <c r="J105" s="320">
        <v>0</v>
      </c>
      <c r="K105" s="330" t="s">
        <v>179</v>
      </c>
    </row>
    <row r="106" spans="1:11" ht="14.4" customHeight="1" thickBot="1" x14ac:dyDescent="0.35">
      <c r="A106" s="340" t="s">
        <v>277</v>
      </c>
      <c r="B106" s="324">
        <v>0</v>
      </c>
      <c r="C106" s="324">
        <v>7.26</v>
      </c>
      <c r="D106" s="325">
        <v>7.26</v>
      </c>
      <c r="E106" s="331" t="s">
        <v>179</v>
      </c>
      <c r="F106" s="324">
        <v>0</v>
      </c>
      <c r="G106" s="325">
        <v>0</v>
      </c>
      <c r="H106" s="327">
        <v>0</v>
      </c>
      <c r="I106" s="324">
        <v>0</v>
      </c>
      <c r="J106" s="325">
        <v>0</v>
      </c>
      <c r="K106" s="332" t="s">
        <v>179</v>
      </c>
    </row>
    <row r="107" spans="1:11" ht="14.4" customHeight="1" thickBot="1" x14ac:dyDescent="0.35">
      <c r="A107" s="341" t="s">
        <v>278</v>
      </c>
      <c r="B107" s="319">
        <v>0</v>
      </c>
      <c r="C107" s="319">
        <v>7.26</v>
      </c>
      <c r="D107" s="320">
        <v>7.26</v>
      </c>
      <c r="E107" s="329" t="s">
        <v>179</v>
      </c>
      <c r="F107" s="319">
        <v>0</v>
      </c>
      <c r="G107" s="320">
        <v>0</v>
      </c>
      <c r="H107" s="322">
        <v>0</v>
      </c>
      <c r="I107" s="319">
        <v>0</v>
      </c>
      <c r="J107" s="320">
        <v>0</v>
      </c>
      <c r="K107" s="330" t="s">
        <v>179</v>
      </c>
    </row>
    <row r="108" spans="1:11" ht="14.4" customHeight="1" thickBot="1" x14ac:dyDescent="0.35">
      <c r="A108" s="337" t="s">
        <v>279</v>
      </c>
      <c r="B108" s="319">
        <v>66.393345115147</v>
      </c>
      <c r="C108" s="319">
        <v>65.769329999999997</v>
      </c>
      <c r="D108" s="320">
        <v>-0.62401511514700003</v>
      </c>
      <c r="E108" s="321">
        <v>0.99060124001700001</v>
      </c>
      <c r="F108" s="319">
        <v>65.697036219110998</v>
      </c>
      <c r="G108" s="320">
        <v>21.899012073036999</v>
      </c>
      <c r="H108" s="322">
        <v>1.6867700000000001</v>
      </c>
      <c r="I108" s="319">
        <v>14.60238</v>
      </c>
      <c r="J108" s="320">
        <v>-7.2966320730360001</v>
      </c>
      <c r="K108" s="323">
        <v>0.22226847420099999</v>
      </c>
    </row>
    <row r="109" spans="1:11" ht="14.4" customHeight="1" thickBot="1" x14ac:dyDescent="0.35">
      <c r="A109" s="338" t="s">
        <v>280</v>
      </c>
      <c r="B109" s="319">
        <v>66.393345115147</v>
      </c>
      <c r="C109" s="319">
        <v>65.769329999999997</v>
      </c>
      <c r="D109" s="320">
        <v>-0.62401511514700003</v>
      </c>
      <c r="E109" s="321">
        <v>0.99060124001700001</v>
      </c>
      <c r="F109" s="319">
        <v>65.697036219110998</v>
      </c>
      <c r="G109" s="320">
        <v>21.899012073036999</v>
      </c>
      <c r="H109" s="322">
        <v>1.6867700000000001</v>
      </c>
      <c r="I109" s="319">
        <v>14.60238</v>
      </c>
      <c r="J109" s="320">
        <v>-7.2966320730360001</v>
      </c>
      <c r="K109" s="323">
        <v>0.22226847420099999</v>
      </c>
    </row>
    <row r="110" spans="1:11" ht="14.4" customHeight="1" thickBot="1" x14ac:dyDescent="0.35">
      <c r="A110" s="344" t="s">
        <v>281</v>
      </c>
      <c r="B110" s="324">
        <v>66.393345115147</v>
      </c>
      <c r="C110" s="324">
        <v>65.769329999999997</v>
      </c>
      <c r="D110" s="325">
        <v>-0.62401511514700003</v>
      </c>
      <c r="E110" s="326">
        <v>0.99060124001700001</v>
      </c>
      <c r="F110" s="324">
        <v>65.697036219110998</v>
      </c>
      <c r="G110" s="325">
        <v>21.899012073036999</v>
      </c>
      <c r="H110" s="327">
        <v>1.6867700000000001</v>
      </c>
      <c r="I110" s="324">
        <v>14.60238</v>
      </c>
      <c r="J110" s="325">
        <v>-7.2966320730360001</v>
      </c>
      <c r="K110" s="328">
        <v>0.22226847420099999</v>
      </c>
    </row>
    <row r="111" spans="1:11" ht="14.4" customHeight="1" thickBot="1" x14ac:dyDescent="0.35">
      <c r="A111" s="340" t="s">
        <v>282</v>
      </c>
      <c r="B111" s="324">
        <v>0</v>
      </c>
      <c r="C111" s="324">
        <v>4.5900000000000003E-3</v>
      </c>
      <c r="D111" s="325">
        <v>4.5900000000000003E-3</v>
      </c>
      <c r="E111" s="331" t="s">
        <v>179</v>
      </c>
      <c r="F111" s="324">
        <v>0</v>
      </c>
      <c r="G111" s="325">
        <v>0</v>
      </c>
      <c r="H111" s="327">
        <v>2.0000000000000002E-5</v>
      </c>
      <c r="I111" s="324">
        <v>-5.1000000000000004E-4</v>
      </c>
      <c r="J111" s="325">
        <v>-5.1000000000000004E-4</v>
      </c>
      <c r="K111" s="332" t="s">
        <v>179</v>
      </c>
    </row>
    <row r="112" spans="1:11" ht="14.4" customHeight="1" thickBot="1" x14ac:dyDescent="0.35">
      <c r="A112" s="341" t="s">
        <v>283</v>
      </c>
      <c r="B112" s="319">
        <v>0</v>
      </c>
      <c r="C112" s="319">
        <v>4.5900000000000003E-3</v>
      </c>
      <c r="D112" s="320">
        <v>4.5900000000000003E-3</v>
      </c>
      <c r="E112" s="329" t="s">
        <v>179</v>
      </c>
      <c r="F112" s="319">
        <v>0</v>
      </c>
      <c r="G112" s="320">
        <v>0</v>
      </c>
      <c r="H112" s="322">
        <v>2.0000000000000002E-5</v>
      </c>
      <c r="I112" s="319">
        <v>-5.1000000000000004E-4</v>
      </c>
      <c r="J112" s="320">
        <v>-5.1000000000000004E-4</v>
      </c>
      <c r="K112" s="330" t="s">
        <v>179</v>
      </c>
    </row>
    <row r="113" spans="1:11" ht="14.4" customHeight="1" thickBot="1" x14ac:dyDescent="0.35">
      <c r="A113" s="340" t="s">
        <v>284</v>
      </c>
      <c r="B113" s="324">
        <v>66.393345115147</v>
      </c>
      <c r="C113" s="324">
        <v>65.764740000000003</v>
      </c>
      <c r="D113" s="325">
        <v>-0.62860511514700002</v>
      </c>
      <c r="E113" s="326">
        <v>0.99053210658299995</v>
      </c>
      <c r="F113" s="324">
        <v>65.697036219110998</v>
      </c>
      <c r="G113" s="325">
        <v>21.899012073036999</v>
      </c>
      <c r="H113" s="327">
        <v>1.68675</v>
      </c>
      <c r="I113" s="324">
        <v>14.60289</v>
      </c>
      <c r="J113" s="325">
        <v>-7.2961220730359999</v>
      </c>
      <c r="K113" s="328">
        <v>0.22227623710899999</v>
      </c>
    </row>
    <row r="114" spans="1:11" ht="14.4" customHeight="1" thickBot="1" x14ac:dyDescent="0.35">
      <c r="A114" s="341" t="s">
        <v>285</v>
      </c>
      <c r="B114" s="319">
        <v>0.66260490109600001</v>
      </c>
      <c r="C114" s="319">
        <v>0</v>
      </c>
      <c r="D114" s="320">
        <v>-0.66260490109600001</v>
      </c>
      <c r="E114" s="321">
        <v>0</v>
      </c>
      <c r="F114" s="319">
        <v>0</v>
      </c>
      <c r="G114" s="320">
        <v>0</v>
      </c>
      <c r="H114" s="322">
        <v>0</v>
      </c>
      <c r="I114" s="319">
        <v>0</v>
      </c>
      <c r="J114" s="320">
        <v>0</v>
      </c>
      <c r="K114" s="323">
        <v>4</v>
      </c>
    </row>
    <row r="115" spans="1:11" ht="14.4" customHeight="1" thickBot="1" x14ac:dyDescent="0.35">
      <c r="A115" s="341" t="s">
        <v>286</v>
      </c>
      <c r="B115" s="319">
        <v>65.730740214050996</v>
      </c>
      <c r="C115" s="319">
        <v>65.764740000000003</v>
      </c>
      <c r="D115" s="320">
        <v>3.3999785948000003E-2</v>
      </c>
      <c r="E115" s="321">
        <v>1.000517258528</v>
      </c>
      <c r="F115" s="319">
        <v>65.697036219110998</v>
      </c>
      <c r="G115" s="320">
        <v>21.899012073036999</v>
      </c>
      <c r="H115" s="322">
        <v>1.68675</v>
      </c>
      <c r="I115" s="319">
        <v>14.60289</v>
      </c>
      <c r="J115" s="320">
        <v>-7.2961220730359999</v>
      </c>
      <c r="K115" s="323">
        <v>0.22227623710899999</v>
      </c>
    </row>
    <row r="116" spans="1:11" ht="14.4" customHeight="1" thickBot="1" x14ac:dyDescent="0.35">
      <c r="A116" s="337" t="s">
        <v>287</v>
      </c>
      <c r="B116" s="319">
        <v>2237.4927831473701</v>
      </c>
      <c r="C116" s="319">
        <v>2251.6234100000001</v>
      </c>
      <c r="D116" s="320">
        <v>14.130626852635</v>
      </c>
      <c r="E116" s="321">
        <v>1.006315384326</v>
      </c>
      <c r="F116" s="319">
        <v>2296.1491037083601</v>
      </c>
      <c r="G116" s="320">
        <v>765.383034569453</v>
      </c>
      <c r="H116" s="322">
        <v>189.86098000000001</v>
      </c>
      <c r="I116" s="319">
        <v>713.75138000000004</v>
      </c>
      <c r="J116" s="320">
        <v>-51.631654569452998</v>
      </c>
      <c r="K116" s="323">
        <v>0.31084713917099999</v>
      </c>
    </row>
    <row r="117" spans="1:11" ht="14.4" customHeight="1" thickBot="1" x14ac:dyDescent="0.35">
      <c r="A117" s="342" t="s">
        <v>288</v>
      </c>
      <c r="B117" s="324">
        <v>2237.4927831473701</v>
      </c>
      <c r="C117" s="324">
        <v>2251.6234100000001</v>
      </c>
      <c r="D117" s="325">
        <v>14.130626852635</v>
      </c>
      <c r="E117" s="326">
        <v>1.006315384326</v>
      </c>
      <c r="F117" s="324">
        <v>2296.1491037083601</v>
      </c>
      <c r="G117" s="325">
        <v>765.383034569453</v>
      </c>
      <c r="H117" s="327">
        <v>189.86098000000001</v>
      </c>
      <c r="I117" s="324">
        <v>713.75138000000004</v>
      </c>
      <c r="J117" s="325">
        <v>-51.631654569452998</v>
      </c>
      <c r="K117" s="328">
        <v>0.31084713917099999</v>
      </c>
    </row>
    <row r="118" spans="1:11" ht="14.4" customHeight="1" thickBot="1" x14ac:dyDescent="0.35">
      <c r="A118" s="344" t="s">
        <v>38</v>
      </c>
      <c r="B118" s="324">
        <v>2237.4927831473701</v>
      </c>
      <c r="C118" s="324">
        <v>2251.6234100000001</v>
      </c>
      <c r="D118" s="325">
        <v>14.130626852635</v>
      </c>
      <c r="E118" s="326">
        <v>1.006315384326</v>
      </c>
      <c r="F118" s="324">
        <v>2296.1491037083601</v>
      </c>
      <c r="G118" s="325">
        <v>765.383034569453</v>
      </c>
      <c r="H118" s="327">
        <v>189.86098000000001</v>
      </c>
      <c r="I118" s="324">
        <v>713.75138000000004</v>
      </c>
      <c r="J118" s="325">
        <v>-51.631654569452998</v>
      </c>
      <c r="K118" s="328">
        <v>0.31084713917099999</v>
      </c>
    </row>
    <row r="119" spans="1:11" ht="14.4" customHeight="1" thickBot="1" x14ac:dyDescent="0.35">
      <c r="A119" s="340" t="s">
        <v>289</v>
      </c>
      <c r="B119" s="324">
        <v>20.331755033198998</v>
      </c>
      <c r="C119" s="324">
        <v>18.803999999999998</v>
      </c>
      <c r="D119" s="325">
        <v>-1.527755033199</v>
      </c>
      <c r="E119" s="326">
        <v>0.92485867399499999</v>
      </c>
      <c r="F119" s="324">
        <v>20.312821346721002</v>
      </c>
      <c r="G119" s="325">
        <v>6.770940448907</v>
      </c>
      <c r="H119" s="327">
        <v>1.5669999999999999</v>
      </c>
      <c r="I119" s="324">
        <v>6.2679999999999998</v>
      </c>
      <c r="J119" s="325">
        <v>-0.50294044890599998</v>
      </c>
      <c r="K119" s="328">
        <v>0.30857357985900002</v>
      </c>
    </row>
    <row r="120" spans="1:11" ht="14.4" customHeight="1" thickBot="1" x14ac:dyDescent="0.35">
      <c r="A120" s="341" t="s">
        <v>290</v>
      </c>
      <c r="B120" s="319">
        <v>20.331755033198998</v>
      </c>
      <c r="C120" s="319">
        <v>18.803999999999998</v>
      </c>
      <c r="D120" s="320">
        <v>-1.527755033199</v>
      </c>
      <c r="E120" s="321">
        <v>0.92485867399499999</v>
      </c>
      <c r="F120" s="319">
        <v>20.312821346721002</v>
      </c>
      <c r="G120" s="320">
        <v>6.770940448907</v>
      </c>
      <c r="H120" s="322">
        <v>1.5669999999999999</v>
      </c>
      <c r="I120" s="319">
        <v>6.2679999999999998</v>
      </c>
      <c r="J120" s="320">
        <v>-0.50294044890599998</v>
      </c>
      <c r="K120" s="323">
        <v>0.30857357985900002</v>
      </c>
    </row>
    <row r="121" spans="1:11" ht="14.4" customHeight="1" thickBot="1" x14ac:dyDescent="0.35">
      <c r="A121" s="340" t="s">
        <v>291</v>
      </c>
      <c r="B121" s="324">
        <v>32.348185356141997</v>
      </c>
      <c r="C121" s="324">
        <v>24.540320000000001</v>
      </c>
      <c r="D121" s="325">
        <v>-7.8078653561419999</v>
      </c>
      <c r="E121" s="326">
        <v>0.75863049904699997</v>
      </c>
      <c r="F121" s="324">
        <v>27.435444136017001</v>
      </c>
      <c r="G121" s="325">
        <v>9.1451480453390008</v>
      </c>
      <c r="H121" s="327">
        <v>0.58799999999999997</v>
      </c>
      <c r="I121" s="324">
        <v>4.8755199999999999</v>
      </c>
      <c r="J121" s="325">
        <v>-4.2696280453390001</v>
      </c>
      <c r="K121" s="328">
        <v>0.17770880528899999</v>
      </c>
    </row>
    <row r="122" spans="1:11" ht="14.4" customHeight="1" thickBot="1" x14ac:dyDescent="0.35">
      <c r="A122" s="341" t="s">
        <v>292</v>
      </c>
      <c r="B122" s="319">
        <v>6.671612084046</v>
      </c>
      <c r="C122" s="319">
        <v>1.4983</v>
      </c>
      <c r="D122" s="320">
        <v>-5.1733120840459996</v>
      </c>
      <c r="E122" s="321">
        <v>0.22457840490700001</v>
      </c>
      <c r="F122" s="319">
        <v>2.7660195134030001</v>
      </c>
      <c r="G122" s="320">
        <v>0.92200650446700005</v>
      </c>
      <c r="H122" s="322">
        <v>0</v>
      </c>
      <c r="I122" s="319">
        <v>0</v>
      </c>
      <c r="J122" s="320">
        <v>-0.92200650446700005</v>
      </c>
      <c r="K122" s="323">
        <v>0</v>
      </c>
    </row>
    <row r="123" spans="1:11" ht="14.4" customHeight="1" thickBot="1" x14ac:dyDescent="0.35">
      <c r="A123" s="341" t="s">
        <v>293</v>
      </c>
      <c r="B123" s="319">
        <v>25.676573272094998</v>
      </c>
      <c r="C123" s="319">
        <v>23.042020000000001</v>
      </c>
      <c r="D123" s="320">
        <v>-2.6345532720949998</v>
      </c>
      <c r="E123" s="321">
        <v>0.897394670068</v>
      </c>
      <c r="F123" s="319">
        <v>24.669424622613001</v>
      </c>
      <c r="G123" s="320">
        <v>8.2231415408709996</v>
      </c>
      <c r="H123" s="322">
        <v>0.58799999999999997</v>
      </c>
      <c r="I123" s="319">
        <v>4.8755199999999999</v>
      </c>
      <c r="J123" s="320">
        <v>-3.3476215408710002</v>
      </c>
      <c r="K123" s="323">
        <v>0.19763411893800001</v>
      </c>
    </row>
    <row r="124" spans="1:11" ht="14.4" customHeight="1" thickBot="1" x14ac:dyDescent="0.35">
      <c r="A124" s="340" t="s">
        <v>294</v>
      </c>
      <c r="B124" s="324">
        <v>166.49510732697601</v>
      </c>
      <c r="C124" s="324">
        <v>172.77231</v>
      </c>
      <c r="D124" s="325">
        <v>6.277202673024</v>
      </c>
      <c r="E124" s="326">
        <v>1.037702024845</v>
      </c>
      <c r="F124" s="324">
        <v>169.06170695673799</v>
      </c>
      <c r="G124" s="325">
        <v>56.353902318911999</v>
      </c>
      <c r="H124" s="327">
        <v>14.0787</v>
      </c>
      <c r="I124" s="324">
        <v>59.947200000000002</v>
      </c>
      <c r="J124" s="325">
        <v>3.5932976810869999</v>
      </c>
      <c r="K124" s="328">
        <v>0.35458768918799999</v>
      </c>
    </row>
    <row r="125" spans="1:11" ht="14.4" customHeight="1" thickBot="1" x14ac:dyDescent="0.35">
      <c r="A125" s="341" t="s">
        <v>295</v>
      </c>
      <c r="B125" s="319">
        <v>166.49510732697601</v>
      </c>
      <c r="C125" s="319">
        <v>172.77231</v>
      </c>
      <c r="D125" s="320">
        <v>6.277202673024</v>
      </c>
      <c r="E125" s="321">
        <v>1.037702024845</v>
      </c>
      <c r="F125" s="319">
        <v>169.06170695673799</v>
      </c>
      <c r="G125" s="320">
        <v>56.353902318911999</v>
      </c>
      <c r="H125" s="322">
        <v>14.0787</v>
      </c>
      <c r="I125" s="319">
        <v>59.947200000000002</v>
      </c>
      <c r="J125" s="320">
        <v>3.5932976810869999</v>
      </c>
      <c r="K125" s="323">
        <v>0.35458768918799999</v>
      </c>
    </row>
    <row r="126" spans="1:11" ht="14.4" customHeight="1" thickBot="1" x14ac:dyDescent="0.35">
      <c r="A126" s="340" t="s">
        <v>296</v>
      </c>
      <c r="B126" s="324">
        <v>699.202834554638</v>
      </c>
      <c r="C126" s="324">
        <v>668.98874999999998</v>
      </c>
      <c r="D126" s="325">
        <v>-30.214084554637999</v>
      </c>
      <c r="E126" s="326">
        <v>0.95678781168799998</v>
      </c>
      <c r="F126" s="324">
        <v>758.85113712550003</v>
      </c>
      <c r="G126" s="325">
        <v>252.950379041833</v>
      </c>
      <c r="H126" s="327">
        <v>54.558369999999996</v>
      </c>
      <c r="I126" s="324">
        <v>197.02859000000001</v>
      </c>
      <c r="J126" s="325">
        <v>-55.921789041833001</v>
      </c>
      <c r="K126" s="328">
        <v>0.25964063353200001</v>
      </c>
    </row>
    <row r="127" spans="1:11" ht="14.4" customHeight="1" thickBot="1" x14ac:dyDescent="0.35">
      <c r="A127" s="341" t="s">
        <v>297</v>
      </c>
      <c r="B127" s="319">
        <v>699.202834554638</v>
      </c>
      <c r="C127" s="319">
        <v>668.98874999999998</v>
      </c>
      <c r="D127" s="320">
        <v>-30.214084554637999</v>
      </c>
      <c r="E127" s="321">
        <v>0.95678781168799998</v>
      </c>
      <c r="F127" s="319">
        <v>758.85113712550003</v>
      </c>
      <c r="G127" s="320">
        <v>252.950379041833</v>
      </c>
      <c r="H127" s="322">
        <v>54.558369999999996</v>
      </c>
      <c r="I127" s="319">
        <v>197.02859000000001</v>
      </c>
      <c r="J127" s="320">
        <v>-55.921789041833001</v>
      </c>
      <c r="K127" s="323">
        <v>0.25964063353200001</v>
      </c>
    </row>
    <row r="128" spans="1:11" ht="14.4" customHeight="1" thickBot="1" x14ac:dyDescent="0.35">
      <c r="A128" s="340" t="s">
        <v>298</v>
      </c>
      <c r="B128" s="324">
        <v>1319.11490087641</v>
      </c>
      <c r="C128" s="324">
        <v>1366.51803</v>
      </c>
      <c r="D128" s="325">
        <v>47.403129123589999</v>
      </c>
      <c r="E128" s="326">
        <v>1.035935557313</v>
      </c>
      <c r="F128" s="324">
        <v>1320.4879941433801</v>
      </c>
      <c r="G128" s="325">
        <v>440.16266471446198</v>
      </c>
      <c r="H128" s="327">
        <v>119.06891</v>
      </c>
      <c r="I128" s="324">
        <v>445.63207</v>
      </c>
      <c r="J128" s="325">
        <v>5.4694052855380004</v>
      </c>
      <c r="K128" s="328">
        <v>0.33747529093500001</v>
      </c>
    </row>
    <row r="129" spans="1:11" ht="14.4" customHeight="1" thickBot="1" x14ac:dyDescent="0.35">
      <c r="A129" s="341" t="s">
        <v>299</v>
      </c>
      <c r="B129" s="319">
        <v>1319.11490087641</v>
      </c>
      <c r="C129" s="319">
        <v>1366.51803</v>
      </c>
      <c r="D129" s="320">
        <v>47.403129123589999</v>
      </c>
      <c r="E129" s="321">
        <v>1.035935557313</v>
      </c>
      <c r="F129" s="319">
        <v>1320.4879941433801</v>
      </c>
      <c r="G129" s="320">
        <v>440.16266471446198</v>
      </c>
      <c r="H129" s="322">
        <v>119.06891</v>
      </c>
      <c r="I129" s="319">
        <v>445.63207</v>
      </c>
      <c r="J129" s="320">
        <v>5.4694052855380004</v>
      </c>
      <c r="K129" s="323">
        <v>0.33747529093500001</v>
      </c>
    </row>
    <row r="130" spans="1:11" ht="14.4" customHeight="1" thickBot="1" x14ac:dyDescent="0.35">
      <c r="A130" s="345"/>
      <c r="B130" s="319">
        <v>-27873.493357501698</v>
      </c>
      <c r="C130" s="319">
        <v>-29491.361150000001</v>
      </c>
      <c r="D130" s="320">
        <v>-1617.8677924982901</v>
      </c>
      <c r="E130" s="321">
        <v>1.058043237413</v>
      </c>
      <c r="F130" s="319">
        <v>-29050.226676034599</v>
      </c>
      <c r="G130" s="320">
        <v>-9683.40889201153</v>
      </c>
      <c r="H130" s="322">
        <v>-2271.9471600000002</v>
      </c>
      <c r="I130" s="319">
        <v>-9976.8172300000006</v>
      </c>
      <c r="J130" s="320">
        <v>-293.40833798847598</v>
      </c>
      <c r="K130" s="323">
        <v>0.34343336942800001</v>
      </c>
    </row>
    <row r="131" spans="1:11" ht="14.4" customHeight="1" thickBot="1" x14ac:dyDescent="0.35">
      <c r="A131" s="346" t="s">
        <v>50</v>
      </c>
      <c r="B131" s="333">
        <v>-27873.493357501698</v>
      </c>
      <c r="C131" s="333">
        <v>-29491.361150000001</v>
      </c>
      <c r="D131" s="334">
        <v>-1617.8677924982901</v>
      </c>
      <c r="E131" s="335">
        <v>-1.07808627803</v>
      </c>
      <c r="F131" s="333">
        <v>-29050.226676034599</v>
      </c>
      <c r="G131" s="334">
        <v>-9683.40889201153</v>
      </c>
      <c r="H131" s="333">
        <v>-2271.9471600000002</v>
      </c>
      <c r="I131" s="333">
        <v>-9976.8172300000006</v>
      </c>
      <c r="J131" s="334">
        <v>-293.40833798847598</v>
      </c>
      <c r="K131" s="336">
        <v>0.34343336942800001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62" customWidth="1"/>
    <col min="2" max="2" width="61.109375" style="162" customWidth="1"/>
    <col min="3" max="3" width="9.5546875" style="95" hidden="1" customWidth="1" outlineLevel="1"/>
    <col min="4" max="4" width="9.5546875" style="163" customWidth="1" collapsed="1"/>
    <col min="5" max="5" width="2.21875" style="163" customWidth="1"/>
    <col min="6" max="6" width="9.5546875" style="164" customWidth="1"/>
    <col min="7" max="7" width="9.5546875" style="161" customWidth="1"/>
    <col min="8" max="9" width="9.5546875" style="95" customWidth="1"/>
    <col min="10" max="10" width="0" style="95" hidden="1" customWidth="1"/>
    <col min="11" max="16384" width="8.88671875" style="95"/>
  </cols>
  <sheetData>
    <row r="1" spans="1:10" ht="18.600000000000001" customHeight="1" thickBot="1" x14ac:dyDescent="0.4">
      <c r="A1" s="301" t="s">
        <v>77</v>
      </c>
      <c r="B1" s="302"/>
      <c r="C1" s="302"/>
      <c r="D1" s="302"/>
      <c r="E1" s="302"/>
      <c r="F1" s="302"/>
      <c r="G1" s="272"/>
      <c r="H1" s="303"/>
      <c r="I1" s="303"/>
    </row>
    <row r="2" spans="1:10" ht="14.4" customHeight="1" thickBot="1" x14ac:dyDescent="0.35">
      <c r="A2" s="173" t="s">
        <v>178</v>
      </c>
      <c r="B2" s="160"/>
      <c r="C2" s="160"/>
      <c r="D2" s="160"/>
      <c r="E2" s="160"/>
      <c r="F2" s="160"/>
    </row>
    <row r="3" spans="1:10" ht="14.4" customHeight="1" thickBot="1" x14ac:dyDescent="0.35">
      <c r="A3" s="173"/>
      <c r="B3" s="244"/>
      <c r="C3" s="243">
        <v>2015</v>
      </c>
      <c r="D3" s="218">
        <v>2016</v>
      </c>
      <c r="E3" s="7"/>
      <c r="F3" s="280">
        <v>2017</v>
      </c>
      <c r="G3" s="298"/>
      <c r="H3" s="298"/>
      <c r="I3" s="281"/>
    </row>
    <row r="4" spans="1:10" ht="14.4" customHeight="1" thickBot="1" x14ac:dyDescent="0.35">
      <c r="A4" s="222" t="s">
        <v>0</v>
      </c>
      <c r="B4" s="223" t="s">
        <v>132</v>
      </c>
      <c r="C4" s="299" t="s">
        <v>55</v>
      </c>
      <c r="D4" s="300"/>
      <c r="E4" s="224"/>
      <c r="F4" s="219" t="s">
        <v>55</v>
      </c>
      <c r="G4" s="220" t="s">
        <v>56</v>
      </c>
      <c r="H4" s="220" t="s">
        <v>52</v>
      </c>
      <c r="I4" s="221" t="s">
        <v>57</v>
      </c>
    </row>
    <row r="5" spans="1:10" ht="14.4" customHeight="1" x14ac:dyDescent="0.3">
      <c r="A5" s="347" t="s">
        <v>300</v>
      </c>
      <c r="B5" s="348" t="s">
        <v>301</v>
      </c>
      <c r="C5" s="349" t="s">
        <v>302</v>
      </c>
      <c r="D5" s="349" t="s">
        <v>302</v>
      </c>
      <c r="E5" s="349"/>
      <c r="F5" s="349" t="s">
        <v>302</v>
      </c>
      <c r="G5" s="349" t="s">
        <v>302</v>
      </c>
      <c r="H5" s="349" t="s">
        <v>302</v>
      </c>
      <c r="I5" s="350" t="s">
        <v>302</v>
      </c>
      <c r="J5" s="351" t="s">
        <v>53</v>
      </c>
    </row>
    <row r="6" spans="1:10" ht="14.4" customHeight="1" x14ac:dyDescent="0.3">
      <c r="A6" s="347" t="s">
        <v>300</v>
      </c>
      <c r="B6" s="348" t="s">
        <v>303</v>
      </c>
      <c r="C6" s="349">
        <v>13.791309999999999</v>
      </c>
      <c r="D6" s="349">
        <v>20.903059999999996</v>
      </c>
      <c r="E6" s="349"/>
      <c r="F6" s="349">
        <v>19.169739999999997</v>
      </c>
      <c r="G6" s="349">
        <v>20.000000244140622</v>
      </c>
      <c r="H6" s="349">
        <v>-0.83026024414062505</v>
      </c>
      <c r="I6" s="350">
        <v>0.95848698829971934</v>
      </c>
      <c r="J6" s="351" t="s">
        <v>1</v>
      </c>
    </row>
    <row r="7" spans="1:10" ht="14.4" customHeight="1" x14ac:dyDescent="0.3">
      <c r="A7" s="347" t="s">
        <v>300</v>
      </c>
      <c r="B7" s="348" t="s">
        <v>304</v>
      </c>
      <c r="C7" s="349">
        <v>13.791309999999999</v>
      </c>
      <c r="D7" s="349">
        <v>20.903059999999996</v>
      </c>
      <c r="E7" s="349"/>
      <c r="F7" s="349">
        <v>19.169739999999997</v>
      </c>
      <c r="G7" s="349">
        <v>20.000000244140622</v>
      </c>
      <c r="H7" s="349">
        <v>-0.83026024414062505</v>
      </c>
      <c r="I7" s="350">
        <v>0.95848698829971934</v>
      </c>
      <c r="J7" s="351" t="s">
        <v>305</v>
      </c>
    </row>
    <row r="9" spans="1:10" ht="14.4" customHeight="1" x14ac:dyDescent="0.3">
      <c r="A9" s="347" t="s">
        <v>300</v>
      </c>
      <c r="B9" s="348" t="s">
        <v>301</v>
      </c>
      <c r="C9" s="349" t="s">
        <v>302</v>
      </c>
      <c r="D9" s="349" t="s">
        <v>302</v>
      </c>
      <c r="E9" s="349"/>
      <c r="F9" s="349" t="s">
        <v>302</v>
      </c>
      <c r="G9" s="349" t="s">
        <v>302</v>
      </c>
      <c r="H9" s="349" t="s">
        <v>302</v>
      </c>
      <c r="I9" s="350" t="s">
        <v>302</v>
      </c>
      <c r="J9" s="351" t="s">
        <v>53</v>
      </c>
    </row>
    <row r="10" spans="1:10" ht="14.4" customHeight="1" x14ac:dyDescent="0.3">
      <c r="A10" s="347" t="s">
        <v>306</v>
      </c>
      <c r="B10" s="348" t="s">
        <v>307</v>
      </c>
      <c r="C10" s="349" t="s">
        <v>302</v>
      </c>
      <c r="D10" s="349" t="s">
        <v>302</v>
      </c>
      <c r="E10" s="349"/>
      <c r="F10" s="349" t="s">
        <v>302</v>
      </c>
      <c r="G10" s="349" t="s">
        <v>302</v>
      </c>
      <c r="H10" s="349" t="s">
        <v>302</v>
      </c>
      <c r="I10" s="350" t="s">
        <v>302</v>
      </c>
      <c r="J10" s="351" t="s">
        <v>0</v>
      </c>
    </row>
    <row r="11" spans="1:10" ht="14.4" customHeight="1" x14ac:dyDescent="0.3">
      <c r="A11" s="347" t="s">
        <v>306</v>
      </c>
      <c r="B11" s="348" t="s">
        <v>303</v>
      </c>
      <c r="C11" s="349">
        <v>13.791309999999999</v>
      </c>
      <c r="D11" s="349">
        <v>20.903059999999996</v>
      </c>
      <c r="E11" s="349"/>
      <c r="F11" s="349">
        <v>19.169739999999997</v>
      </c>
      <c r="G11" s="349">
        <v>18</v>
      </c>
      <c r="H11" s="349">
        <v>1.1697399999999973</v>
      </c>
      <c r="I11" s="350">
        <v>1.0649855555555554</v>
      </c>
      <c r="J11" s="351" t="s">
        <v>1</v>
      </c>
    </row>
    <row r="12" spans="1:10" ht="14.4" customHeight="1" x14ac:dyDescent="0.3">
      <c r="A12" s="347" t="s">
        <v>306</v>
      </c>
      <c r="B12" s="348" t="s">
        <v>308</v>
      </c>
      <c r="C12" s="349">
        <v>13.791309999999999</v>
      </c>
      <c r="D12" s="349">
        <v>20.903059999999996</v>
      </c>
      <c r="E12" s="349"/>
      <c r="F12" s="349">
        <v>19.169739999999997</v>
      </c>
      <c r="G12" s="349">
        <v>18</v>
      </c>
      <c r="H12" s="349">
        <v>1.1697399999999973</v>
      </c>
      <c r="I12" s="350">
        <v>1.0649855555555554</v>
      </c>
      <c r="J12" s="351" t="s">
        <v>309</v>
      </c>
    </row>
    <row r="13" spans="1:10" ht="14.4" customHeight="1" x14ac:dyDescent="0.3">
      <c r="A13" s="347" t="s">
        <v>302</v>
      </c>
      <c r="B13" s="348" t="s">
        <v>302</v>
      </c>
      <c r="C13" s="349" t="s">
        <v>302</v>
      </c>
      <c r="D13" s="349" t="s">
        <v>302</v>
      </c>
      <c r="E13" s="349"/>
      <c r="F13" s="349" t="s">
        <v>302</v>
      </c>
      <c r="G13" s="349" t="s">
        <v>302</v>
      </c>
      <c r="H13" s="349" t="s">
        <v>302</v>
      </c>
      <c r="I13" s="350" t="s">
        <v>302</v>
      </c>
      <c r="J13" s="351" t="s">
        <v>310</v>
      </c>
    </row>
    <row r="14" spans="1:10" ht="14.4" customHeight="1" x14ac:dyDescent="0.3">
      <c r="A14" s="347" t="s">
        <v>311</v>
      </c>
      <c r="B14" s="348" t="s">
        <v>312</v>
      </c>
      <c r="C14" s="349" t="s">
        <v>302</v>
      </c>
      <c r="D14" s="349" t="s">
        <v>302</v>
      </c>
      <c r="E14" s="349"/>
      <c r="F14" s="349" t="s">
        <v>302</v>
      </c>
      <c r="G14" s="349" t="s">
        <v>302</v>
      </c>
      <c r="H14" s="349" t="s">
        <v>302</v>
      </c>
      <c r="I14" s="350" t="s">
        <v>302</v>
      </c>
      <c r="J14" s="351" t="s">
        <v>0</v>
      </c>
    </row>
    <row r="15" spans="1:10" ht="14.4" customHeight="1" x14ac:dyDescent="0.3">
      <c r="A15" s="347" t="s">
        <v>311</v>
      </c>
      <c r="B15" s="348" t="s">
        <v>303</v>
      </c>
      <c r="C15" s="349">
        <v>0</v>
      </c>
      <c r="D15" s="349">
        <v>0</v>
      </c>
      <c r="E15" s="349"/>
      <c r="F15" s="349">
        <v>0</v>
      </c>
      <c r="G15" s="349">
        <v>2</v>
      </c>
      <c r="H15" s="349">
        <v>-2</v>
      </c>
      <c r="I15" s="350">
        <v>0</v>
      </c>
      <c r="J15" s="351" t="s">
        <v>1</v>
      </c>
    </row>
    <row r="16" spans="1:10" ht="14.4" customHeight="1" x14ac:dyDescent="0.3">
      <c r="A16" s="347" t="s">
        <v>311</v>
      </c>
      <c r="B16" s="348" t="s">
        <v>313</v>
      </c>
      <c r="C16" s="349">
        <v>0</v>
      </c>
      <c r="D16" s="349">
        <v>0</v>
      </c>
      <c r="E16" s="349"/>
      <c r="F16" s="349">
        <v>0</v>
      </c>
      <c r="G16" s="349">
        <v>2</v>
      </c>
      <c r="H16" s="349">
        <v>-2</v>
      </c>
      <c r="I16" s="350">
        <v>0</v>
      </c>
      <c r="J16" s="351" t="s">
        <v>309</v>
      </c>
    </row>
    <row r="17" spans="1:10" ht="14.4" customHeight="1" x14ac:dyDescent="0.3">
      <c r="A17" s="347" t="s">
        <v>302</v>
      </c>
      <c r="B17" s="348" t="s">
        <v>302</v>
      </c>
      <c r="C17" s="349" t="s">
        <v>302</v>
      </c>
      <c r="D17" s="349" t="s">
        <v>302</v>
      </c>
      <c r="E17" s="349"/>
      <c r="F17" s="349" t="s">
        <v>302</v>
      </c>
      <c r="G17" s="349" t="s">
        <v>302</v>
      </c>
      <c r="H17" s="349" t="s">
        <v>302</v>
      </c>
      <c r="I17" s="350" t="s">
        <v>302</v>
      </c>
      <c r="J17" s="351" t="s">
        <v>310</v>
      </c>
    </row>
    <row r="18" spans="1:10" ht="14.4" customHeight="1" x14ac:dyDescent="0.3">
      <c r="A18" s="347" t="s">
        <v>300</v>
      </c>
      <c r="B18" s="348" t="s">
        <v>304</v>
      </c>
      <c r="C18" s="349">
        <v>13.791309999999999</v>
      </c>
      <c r="D18" s="349">
        <v>20.903059999999996</v>
      </c>
      <c r="E18" s="349"/>
      <c r="F18" s="349">
        <v>19.169739999999997</v>
      </c>
      <c r="G18" s="349">
        <v>20</v>
      </c>
      <c r="H18" s="349">
        <v>-0.83026000000000266</v>
      </c>
      <c r="I18" s="350">
        <v>0.95848699999999987</v>
      </c>
      <c r="J18" s="351" t="s">
        <v>305</v>
      </c>
    </row>
  </sheetData>
  <mergeCells count="3">
    <mergeCell ref="F3:I3"/>
    <mergeCell ref="C4:D4"/>
    <mergeCell ref="A1:I1"/>
  </mergeCells>
  <conditionalFormatting sqref="F8 F19:F65537">
    <cfRule type="cellIs" dxfId="42" priority="18" stopIfTrue="1" operator="greaterThan">
      <formula>1</formula>
    </cfRule>
  </conditionalFormatting>
  <conditionalFormatting sqref="H5:H7">
    <cfRule type="expression" dxfId="41" priority="14">
      <formula>$H5&gt;0</formula>
    </cfRule>
  </conditionalFormatting>
  <conditionalFormatting sqref="I5:I7">
    <cfRule type="expression" dxfId="40" priority="15">
      <formula>$I5&gt;1</formula>
    </cfRule>
  </conditionalFormatting>
  <conditionalFormatting sqref="B5:B7">
    <cfRule type="expression" dxfId="39" priority="11">
      <formula>OR($J5="NS",$J5="SumaNS",$J5="Účet")</formula>
    </cfRule>
  </conditionalFormatting>
  <conditionalFormatting sqref="B5:D7 F5:I7">
    <cfRule type="expression" dxfId="38" priority="17">
      <formula>AND($J5&lt;&gt;"",$J5&lt;&gt;"mezeraKL")</formula>
    </cfRule>
  </conditionalFormatting>
  <conditionalFormatting sqref="B5:D7 F5:I7">
    <cfRule type="expression" dxfId="37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6" priority="13">
      <formula>OR($J5="SumaNS",$J5="NS")</formula>
    </cfRule>
  </conditionalFormatting>
  <conditionalFormatting sqref="A5:A7">
    <cfRule type="expression" dxfId="35" priority="9">
      <formula>AND($J5&lt;&gt;"mezeraKL",$J5&lt;&gt;"")</formula>
    </cfRule>
  </conditionalFormatting>
  <conditionalFormatting sqref="A5:A7">
    <cfRule type="expression" dxfId="34" priority="10">
      <formula>AND($J5&lt;&gt;"",$J5&lt;&gt;"mezeraKL")</formula>
    </cfRule>
  </conditionalFormatting>
  <conditionalFormatting sqref="H9:H18">
    <cfRule type="expression" dxfId="33" priority="5">
      <formula>$H9&gt;0</formula>
    </cfRule>
  </conditionalFormatting>
  <conditionalFormatting sqref="A9:A18">
    <cfRule type="expression" dxfId="32" priority="2">
      <formula>AND($J9&lt;&gt;"mezeraKL",$J9&lt;&gt;"")</formula>
    </cfRule>
  </conditionalFormatting>
  <conditionalFormatting sqref="I9:I18">
    <cfRule type="expression" dxfId="31" priority="6">
      <formula>$I9&gt;1</formula>
    </cfRule>
  </conditionalFormatting>
  <conditionalFormatting sqref="B9:B18">
    <cfRule type="expression" dxfId="30" priority="1">
      <formula>OR($J9="NS",$J9="SumaNS",$J9="Účet")</formula>
    </cfRule>
  </conditionalFormatting>
  <conditionalFormatting sqref="A9:D18 F9:I18">
    <cfRule type="expression" dxfId="29" priority="8">
      <formula>AND($J9&lt;&gt;"",$J9&lt;&gt;"mezeraKL")</formula>
    </cfRule>
  </conditionalFormatting>
  <conditionalFormatting sqref="B9:D18 F9:I18">
    <cfRule type="expression" dxfId="28" priority="3">
      <formula>OR($J9="KL",$J9="SumaKL")</formula>
    </cfRule>
    <cfRule type="expression" priority="7" stopIfTrue="1">
      <formula>OR($J9="mezeraNS",$J9="mezeraKL")</formula>
    </cfRule>
  </conditionalFormatting>
  <conditionalFormatting sqref="B9:D18 F9:I18">
    <cfRule type="expression" dxfId="27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5" hidden="1" customWidth="1" outlineLevel="1"/>
    <col min="2" max="2" width="28.33203125" style="95" hidden="1" customWidth="1" outlineLevel="1"/>
    <col min="3" max="3" width="5.33203125" style="163" bestFit="1" customWidth="1" collapsed="1"/>
    <col min="4" max="4" width="18.77734375" style="167" customWidth="1"/>
    <col min="5" max="5" width="9" style="264" bestFit="1" customWidth="1"/>
    <col min="6" max="6" width="18.77734375" style="167" customWidth="1"/>
    <col min="7" max="7" width="5" style="163" customWidth="1"/>
    <col min="8" max="8" width="12.44140625" style="163" hidden="1" customWidth="1" outlineLevel="1"/>
    <col min="9" max="9" width="8.5546875" style="163" hidden="1" customWidth="1" outlineLevel="1"/>
    <col min="10" max="10" width="25.77734375" style="163" customWidth="1" collapsed="1"/>
    <col min="11" max="11" width="8.77734375" style="163" customWidth="1"/>
    <col min="12" max="13" width="7.77734375" style="161" customWidth="1"/>
    <col min="14" max="14" width="12.6640625" style="161" customWidth="1"/>
    <col min="15" max="16384" width="8.88671875" style="95"/>
  </cols>
  <sheetData>
    <row r="1" spans="1:14" ht="18.600000000000001" customHeight="1" thickBot="1" x14ac:dyDescent="0.4">
      <c r="A1" s="308" t="s">
        <v>93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</row>
    <row r="2" spans="1:14" ht="14.4" customHeight="1" thickBot="1" x14ac:dyDescent="0.35">
      <c r="A2" s="173" t="s">
        <v>178</v>
      </c>
      <c r="B2" s="57"/>
      <c r="C2" s="165"/>
      <c r="D2" s="165"/>
      <c r="E2" s="263"/>
      <c r="F2" s="165"/>
      <c r="G2" s="165"/>
      <c r="H2" s="165"/>
      <c r="I2" s="165"/>
      <c r="J2" s="165"/>
      <c r="K2" s="165"/>
      <c r="L2" s="166"/>
      <c r="M2" s="166"/>
      <c r="N2" s="166"/>
    </row>
    <row r="3" spans="1:14" ht="14.4" customHeight="1" thickBot="1" x14ac:dyDescent="0.35">
      <c r="A3" s="57"/>
      <c r="B3" s="57"/>
      <c r="C3" s="304"/>
      <c r="D3" s="305"/>
      <c r="E3" s="305"/>
      <c r="F3" s="305"/>
      <c r="G3" s="305"/>
      <c r="H3" s="305"/>
      <c r="I3" s="305"/>
      <c r="J3" s="306" t="s">
        <v>75</v>
      </c>
      <c r="K3" s="307"/>
      <c r="L3" s="71">
        <f>IF(M3&lt;&gt;0,N3/M3,0)</f>
        <v>182.56890767616545</v>
      </c>
      <c r="M3" s="71">
        <f>SUBTOTAL(9,M5:M1048576)</f>
        <v>105</v>
      </c>
      <c r="N3" s="72">
        <f>SUBTOTAL(9,N5:N1048576)</f>
        <v>19169.735305997372</v>
      </c>
    </row>
    <row r="4" spans="1:14" s="162" customFormat="1" ht="14.4" customHeight="1" thickBot="1" x14ac:dyDescent="0.35">
      <c r="A4" s="352" t="s">
        <v>3</v>
      </c>
      <c r="B4" s="353" t="s">
        <v>4</v>
      </c>
      <c r="C4" s="353" t="s">
        <v>0</v>
      </c>
      <c r="D4" s="353" t="s">
        <v>5</v>
      </c>
      <c r="E4" s="354" t="s">
        <v>6</v>
      </c>
      <c r="F4" s="353" t="s">
        <v>1</v>
      </c>
      <c r="G4" s="353" t="s">
        <v>7</v>
      </c>
      <c r="H4" s="353" t="s">
        <v>8</v>
      </c>
      <c r="I4" s="353" t="s">
        <v>9</v>
      </c>
      <c r="J4" s="355" t="s">
        <v>10</v>
      </c>
      <c r="K4" s="355" t="s">
        <v>11</v>
      </c>
      <c r="L4" s="356" t="s">
        <v>81</v>
      </c>
      <c r="M4" s="356" t="s">
        <v>12</v>
      </c>
      <c r="N4" s="357" t="s">
        <v>89</v>
      </c>
    </row>
    <row r="5" spans="1:14" ht="14.4" customHeight="1" x14ac:dyDescent="0.3">
      <c r="A5" s="358" t="s">
        <v>300</v>
      </c>
      <c r="B5" s="359" t="s">
        <v>301</v>
      </c>
      <c r="C5" s="360" t="s">
        <v>306</v>
      </c>
      <c r="D5" s="361" t="s">
        <v>307</v>
      </c>
      <c r="E5" s="362">
        <v>50113001</v>
      </c>
      <c r="F5" s="361" t="s">
        <v>314</v>
      </c>
      <c r="G5" s="360" t="s">
        <v>315</v>
      </c>
      <c r="H5" s="360">
        <v>900503</v>
      </c>
      <c r="I5" s="360">
        <v>0</v>
      </c>
      <c r="J5" s="360" t="s">
        <v>316</v>
      </c>
      <c r="K5" s="360" t="s">
        <v>302</v>
      </c>
      <c r="L5" s="363">
        <v>115.55169962781152</v>
      </c>
      <c r="M5" s="363">
        <v>50</v>
      </c>
      <c r="N5" s="364">
        <v>5777.5849813905761</v>
      </c>
    </row>
    <row r="6" spans="1:14" ht="14.4" customHeight="1" x14ac:dyDescent="0.3">
      <c r="A6" s="365" t="s">
        <v>300</v>
      </c>
      <c r="B6" s="366" t="s">
        <v>301</v>
      </c>
      <c r="C6" s="367" t="s">
        <v>306</v>
      </c>
      <c r="D6" s="368" t="s">
        <v>307</v>
      </c>
      <c r="E6" s="369">
        <v>50113001</v>
      </c>
      <c r="F6" s="368" t="s">
        <v>314</v>
      </c>
      <c r="G6" s="367" t="s">
        <v>315</v>
      </c>
      <c r="H6" s="367">
        <v>930224</v>
      </c>
      <c r="I6" s="367">
        <v>0</v>
      </c>
      <c r="J6" s="367" t="s">
        <v>317</v>
      </c>
      <c r="K6" s="367" t="s">
        <v>318</v>
      </c>
      <c r="L6" s="370">
        <v>75.017567106270803</v>
      </c>
      <c r="M6" s="370">
        <v>5</v>
      </c>
      <c r="N6" s="371">
        <v>375.08783553135402</v>
      </c>
    </row>
    <row r="7" spans="1:14" ht="14.4" customHeight="1" thickBot="1" x14ac:dyDescent="0.35">
      <c r="A7" s="372" t="s">
        <v>300</v>
      </c>
      <c r="B7" s="373" t="s">
        <v>301</v>
      </c>
      <c r="C7" s="374" t="s">
        <v>306</v>
      </c>
      <c r="D7" s="375" t="s">
        <v>307</v>
      </c>
      <c r="E7" s="376">
        <v>50113001</v>
      </c>
      <c r="F7" s="375" t="s">
        <v>314</v>
      </c>
      <c r="G7" s="374" t="s">
        <v>315</v>
      </c>
      <c r="H7" s="374">
        <v>920294</v>
      </c>
      <c r="I7" s="374">
        <v>0</v>
      </c>
      <c r="J7" s="374" t="s">
        <v>319</v>
      </c>
      <c r="K7" s="374" t="s">
        <v>302</v>
      </c>
      <c r="L7" s="377">
        <v>260.34124978150885</v>
      </c>
      <c r="M7" s="377">
        <v>50</v>
      </c>
      <c r="N7" s="378">
        <v>13017.062489075442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37" customWidth="1"/>
    <col min="2" max="2" width="5.44140625" style="161" bestFit="1" customWidth="1"/>
    <col min="3" max="3" width="6.109375" style="161" bestFit="1" customWidth="1"/>
    <col min="4" max="4" width="7.44140625" style="161" bestFit="1" customWidth="1"/>
    <col min="5" max="5" width="6.21875" style="161" bestFit="1" customWidth="1"/>
    <col min="6" max="6" width="6.33203125" style="164" bestFit="1" customWidth="1"/>
    <col min="7" max="7" width="6.109375" style="164" bestFit="1" customWidth="1"/>
    <col min="8" max="8" width="7.44140625" style="164" bestFit="1" customWidth="1"/>
    <col min="9" max="9" width="6.21875" style="164" bestFit="1" customWidth="1"/>
    <col min="10" max="10" width="5.44140625" style="161" bestFit="1" customWidth="1"/>
    <col min="11" max="11" width="6.109375" style="161" bestFit="1" customWidth="1"/>
    <col min="12" max="12" width="7.44140625" style="161" bestFit="1" customWidth="1"/>
    <col min="13" max="13" width="6.21875" style="161" bestFit="1" customWidth="1"/>
    <col min="14" max="14" width="5.33203125" style="164" bestFit="1" customWidth="1"/>
    <col min="15" max="15" width="6.109375" style="164" bestFit="1" customWidth="1"/>
    <col min="16" max="16" width="7.44140625" style="164" bestFit="1" customWidth="1"/>
    <col min="17" max="17" width="6.21875" style="164" bestFit="1" customWidth="1"/>
    <col min="18" max="16384" width="8.88671875" style="95"/>
  </cols>
  <sheetData>
    <row r="1" spans="1:17" ht="18.600000000000001" customHeight="1" thickBot="1" x14ac:dyDescent="0.4">
      <c r="A1" s="309" t="s">
        <v>133</v>
      </c>
      <c r="B1" s="309"/>
      <c r="C1" s="309"/>
      <c r="D1" s="309"/>
      <c r="E1" s="309"/>
      <c r="F1" s="272"/>
      <c r="G1" s="272"/>
      <c r="H1" s="272"/>
      <c r="I1" s="272"/>
      <c r="J1" s="303"/>
      <c r="K1" s="303"/>
      <c r="L1" s="303"/>
      <c r="M1" s="303"/>
      <c r="N1" s="303"/>
      <c r="O1" s="303"/>
      <c r="P1" s="303"/>
      <c r="Q1" s="303"/>
    </row>
    <row r="2" spans="1:17" ht="14.4" customHeight="1" thickBot="1" x14ac:dyDescent="0.35">
      <c r="A2" s="173" t="s">
        <v>178</v>
      </c>
      <c r="B2" s="168"/>
      <c r="C2" s="168"/>
      <c r="D2" s="168"/>
      <c r="E2" s="168"/>
    </row>
    <row r="3" spans="1:17" ht="14.4" customHeight="1" thickBot="1" x14ac:dyDescent="0.35">
      <c r="A3" s="226" t="s">
        <v>2</v>
      </c>
      <c r="B3" s="230">
        <f>SUM(B6:B1048576)</f>
        <v>22</v>
      </c>
      <c r="C3" s="231">
        <f>SUM(C6:C1048576)</f>
        <v>0</v>
      </c>
      <c r="D3" s="231">
        <f>SUM(D6:D1048576)</f>
        <v>0</v>
      </c>
      <c r="E3" s="232">
        <f>SUM(E6:E1048576)</f>
        <v>0</v>
      </c>
      <c r="F3" s="229">
        <f>IF(SUM($B3:$E3)=0,"",B3/SUM($B3:$E3))</f>
        <v>1</v>
      </c>
      <c r="G3" s="227">
        <f t="shared" ref="G3:I3" si="0">IF(SUM($B3:$E3)=0,"",C3/SUM($B3:$E3))</f>
        <v>0</v>
      </c>
      <c r="H3" s="227">
        <f t="shared" si="0"/>
        <v>0</v>
      </c>
      <c r="I3" s="228">
        <f t="shared" si="0"/>
        <v>0</v>
      </c>
      <c r="J3" s="231">
        <f>SUM(J6:J1048576)</f>
        <v>9</v>
      </c>
      <c r="K3" s="231">
        <f>SUM(K6:K1048576)</f>
        <v>0</v>
      </c>
      <c r="L3" s="231">
        <f>SUM(L6:L1048576)</f>
        <v>0</v>
      </c>
      <c r="M3" s="232">
        <f>SUM(M6:M1048576)</f>
        <v>0</v>
      </c>
      <c r="N3" s="229">
        <f>IF(SUM($J3:$M3)=0,"",J3/SUM($J3:$M3))</f>
        <v>1</v>
      </c>
      <c r="O3" s="227">
        <f t="shared" ref="O3:Q3" si="1">IF(SUM($J3:$M3)=0,"",K3/SUM($J3:$M3))</f>
        <v>0</v>
      </c>
      <c r="P3" s="227">
        <f t="shared" si="1"/>
        <v>0</v>
      </c>
      <c r="Q3" s="228">
        <f t="shared" si="1"/>
        <v>0</v>
      </c>
    </row>
    <row r="4" spans="1:17" ht="14.4" customHeight="1" thickBot="1" x14ac:dyDescent="0.35">
      <c r="A4" s="225"/>
      <c r="B4" s="313" t="s">
        <v>135</v>
      </c>
      <c r="C4" s="314"/>
      <c r="D4" s="314"/>
      <c r="E4" s="315"/>
      <c r="F4" s="310" t="s">
        <v>140</v>
      </c>
      <c r="G4" s="311"/>
      <c r="H4" s="311"/>
      <c r="I4" s="312"/>
      <c r="J4" s="313" t="s">
        <v>141</v>
      </c>
      <c r="K4" s="314"/>
      <c r="L4" s="314"/>
      <c r="M4" s="315"/>
      <c r="N4" s="310" t="s">
        <v>142</v>
      </c>
      <c r="O4" s="311"/>
      <c r="P4" s="311"/>
      <c r="Q4" s="312"/>
    </row>
    <row r="5" spans="1:17" ht="14.4" customHeight="1" thickBot="1" x14ac:dyDescent="0.35">
      <c r="A5" s="379" t="s">
        <v>134</v>
      </c>
      <c r="B5" s="380" t="s">
        <v>136</v>
      </c>
      <c r="C5" s="380" t="s">
        <v>137</v>
      </c>
      <c r="D5" s="380" t="s">
        <v>138</v>
      </c>
      <c r="E5" s="381" t="s">
        <v>139</v>
      </c>
      <c r="F5" s="382" t="s">
        <v>136</v>
      </c>
      <c r="G5" s="383" t="s">
        <v>137</v>
      </c>
      <c r="H5" s="383" t="s">
        <v>138</v>
      </c>
      <c r="I5" s="384" t="s">
        <v>139</v>
      </c>
      <c r="J5" s="380" t="s">
        <v>136</v>
      </c>
      <c r="K5" s="380" t="s">
        <v>137</v>
      </c>
      <c r="L5" s="380" t="s">
        <v>138</v>
      </c>
      <c r="M5" s="381" t="s">
        <v>139</v>
      </c>
      <c r="N5" s="382" t="s">
        <v>136</v>
      </c>
      <c r="O5" s="383" t="s">
        <v>137</v>
      </c>
      <c r="P5" s="383" t="s">
        <v>138</v>
      </c>
      <c r="Q5" s="384" t="s">
        <v>139</v>
      </c>
    </row>
    <row r="6" spans="1:17" ht="14.4" customHeight="1" x14ac:dyDescent="0.3">
      <c r="A6" s="389" t="s">
        <v>320</v>
      </c>
      <c r="B6" s="393"/>
      <c r="C6" s="363"/>
      <c r="D6" s="363"/>
      <c r="E6" s="364"/>
      <c r="F6" s="391"/>
      <c r="G6" s="385"/>
      <c r="H6" s="385"/>
      <c r="I6" s="395"/>
      <c r="J6" s="393"/>
      <c r="K6" s="363"/>
      <c r="L6" s="363"/>
      <c r="M6" s="364"/>
      <c r="N6" s="391"/>
      <c r="O6" s="385"/>
      <c r="P6" s="385"/>
      <c r="Q6" s="386"/>
    </row>
    <row r="7" spans="1:17" ht="14.4" customHeight="1" thickBot="1" x14ac:dyDescent="0.35">
      <c r="A7" s="390" t="s">
        <v>321</v>
      </c>
      <c r="B7" s="394">
        <v>22</v>
      </c>
      <c r="C7" s="377"/>
      <c r="D7" s="377"/>
      <c r="E7" s="378"/>
      <c r="F7" s="392">
        <v>1</v>
      </c>
      <c r="G7" s="387">
        <v>0</v>
      </c>
      <c r="H7" s="387">
        <v>0</v>
      </c>
      <c r="I7" s="396">
        <v>0</v>
      </c>
      <c r="J7" s="394">
        <v>9</v>
      </c>
      <c r="K7" s="377"/>
      <c r="L7" s="377"/>
      <c r="M7" s="378"/>
      <c r="N7" s="392">
        <v>1</v>
      </c>
      <c r="O7" s="387">
        <v>0</v>
      </c>
      <c r="P7" s="387">
        <v>0</v>
      </c>
      <c r="Q7" s="38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62" customWidth="1"/>
    <col min="2" max="2" width="61.109375" style="162" customWidth="1"/>
    <col min="3" max="3" width="9.5546875" style="95" hidden="1" customWidth="1" outlineLevel="1"/>
    <col min="4" max="4" width="9.5546875" style="163" customWidth="1" collapsed="1"/>
    <col min="5" max="5" width="2.21875" style="163" customWidth="1"/>
    <col min="6" max="6" width="9.5546875" style="164" customWidth="1"/>
    <col min="7" max="7" width="9.5546875" style="161" customWidth="1"/>
    <col min="8" max="9" width="9.5546875" style="95" customWidth="1"/>
    <col min="10" max="10" width="0" style="95" hidden="1" customWidth="1"/>
    <col min="11" max="16384" width="8.88671875" style="95"/>
  </cols>
  <sheetData>
    <row r="1" spans="1:10" ht="18.600000000000001" customHeight="1" thickBot="1" x14ac:dyDescent="0.4">
      <c r="A1" s="301" t="s">
        <v>78</v>
      </c>
      <c r="B1" s="302"/>
      <c r="C1" s="302"/>
      <c r="D1" s="302"/>
      <c r="E1" s="302"/>
      <c r="F1" s="302"/>
      <c r="G1" s="272"/>
      <c r="H1" s="303"/>
      <c r="I1" s="303"/>
    </row>
    <row r="2" spans="1:10" ht="14.4" customHeight="1" thickBot="1" x14ac:dyDescent="0.35">
      <c r="A2" s="173" t="s">
        <v>178</v>
      </c>
      <c r="B2" s="160"/>
      <c r="C2" s="160"/>
      <c r="D2" s="160"/>
      <c r="E2" s="160"/>
      <c r="F2" s="160"/>
    </row>
    <row r="3" spans="1:10" ht="14.4" customHeight="1" thickBot="1" x14ac:dyDescent="0.35">
      <c r="A3" s="173"/>
      <c r="B3" s="244"/>
      <c r="C3" s="217">
        <v>2015</v>
      </c>
      <c r="D3" s="218">
        <v>2016</v>
      </c>
      <c r="E3" s="7"/>
      <c r="F3" s="280">
        <v>2017</v>
      </c>
      <c r="G3" s="298"/>
      <c r="H3" s="298"/>
      <c r="I3" s="281"/>
    </row>
    <row r="4" spans="1:10" ht="14.4" customHeight="1" thickBot="1" x14ac:dyDescent="0.35">
      <c r="A4" s="222" t="s">
        <v>0</v>
      </c>
      <c r="B4" s="223" t="s">
        <v>132</v>
      </c>
      <c r="C4" s="299" t="s">
        <v>55</v>
      </c>
      <c r="D4" s="300"/>
      <c r="E4" s="224"/>
      <c r="F4" s="219" t="s">
        <v>55</v>
      </c>
      <c r="G4" s="220" t="s">
        <v>56</v>
      </c>
      <c r="H4" s="220" t="s">
        <v>52</v>
      </c>
      <c r="I4" s="221" t="s">
        <v>57</v>
      </c>
    </row>
    <row r="5" spans="1:10" ht="14.4" customHeight="1" x14ac:dyDescent="0.3">
      <c r="A5" s="347" t="s">
        <v>300</v>
      </c>
      <c r="B5" s="348" t="s">
        <v>301</v>
      </c>
      <c r="C5" s="349" t="s">
        <v>302</v>
      </c>
      <c r="D5" s="349" t="s">
        <v>302</v>
      </c>
      <c r="E5" s="349"/>
      <c r="F5" s="349" t="s">
        <v>302</v>
      </c>
      <c r="G5" s="349" t="s">
        <v>302</v>
      </c>
      <c r="H5" s="349" t="s">
        <v>302</v>
      </c>
      <c r="I5" s="350" t="s">
        <v>302</v>
      </c>
      <c r="J5" s="351" t="s">
        <v>53</v>
      </c>
    </row>
    <row r="6" spans="1:10" ht="14.4" customHeight="1" x14ac:dyDescent="0.3">
      <c r="A6" s="347" t="s">
        <v>300</v>
      </c>
      <c r="B6" s="348" t="s">
        <v>322</v>
      </c>
      <c r="C6" s="349">
        <v>0</v>
      </c>
      <c r="D6" s="349">
        <v>4.1180000000000003</v>
      </c>
      <c r="E6" s="349"/>
      <c r="F6" s="349">
        <v>3.63</v>
      </c>
      <c r="G6" s="349">
        <v>6.6666665039062503</v>
      </c>
      <c r="H6" s="349">
        <v>-3.0366665039062504</v>
      </c>
      <c r="I6" s="350">
        <v>0.54450001329345732</v>
      </c>
      <c r="J6" s="351" t="s">
        <v>1</v>
      </c>
    </row>
    <row r="7" spans="1:10" ht="14.4" customHeight="1" x14ac:dyDescent="0.3">
      <c r="A7" s="347" t="s">
        <v>300</v>
      </c>
      <c r="B7" s="348" t="s">
        <v>304</v>
      </c>
      <c r="C7" s="349">
        <v>0</v>
      </c>
      <c r="D7" s="349">
        <v>4.1180000000000003</v>
      </c>
      <c r="E7" s="349"/>
      <c r="F7" s="349">
        <v>3.63</v>
      </c>
      <c r="G7" s="349">
        <v>6.6666665039062503</v>
      </c>
      <c r="H7" s="349">
        <v>-3.0366665039062504</v>
      </c>
      <c r="I7" s="350">
        <v>0.54450001329345732</v>
      </c>
      <c r="J7" s="351" t="s">
        <v>305</v>
      </c>
    </row>
    <row r="9" spans="1:10" ht="14.4" customHeight="1" x14ac:dyDescent="0.3">
      <c r="A9" s="347" t="s">
        <v>300</v>
      </c>
      <c r="B9" s="348" t="s">
        <v>301</v>
      </c>
      <c r="C9" s="349" t="s">
        <v>302</v>
      </c>
      <c r="D9" s="349" t="s">
        <v>302</v>
      </c>
      <c r="E9" s="349"/>
      <c r="F9" s="349" t="s">
        <v>302</v>
      </c>
      <c r="G9" s="349" t="s">
        <v>302</v>
      </c>
      <c r="H9" s="349" t="s">
        <v>302</v>
      </c>
      <c r="I9" s="350" t="s">
        <v>302</v>
      </c>
      <c r="J9" s="351" t="s">
        <v>53</v>
      </c>
    </row>
    <row r="10" spans="1:10" ht="14.4" customHeight="1" x14ac:dyDescent="0.3">
      <c r="A10" s="347" t="s">
        <v>306</v>
      </c>
      <c r="B10" s="348" t="s">
        <v>307</v>
      </c>
      <c r="C10" s="349" t="s">
        <v>302</v>
      </c>
      <c r="D10" s="349" t="s">
        <v>302</v>
      </c>
      <c r="E10" s="349"/>
      <c r="F10" s="349" t="s">
        <v>302</v>
      </c>
      <c r="G10" s="349" t="s">
        <v>302</v>
      </c>
      <c r="H10" s="349" t="s">
        <v>302</v>
      </c>
      <c r="I10" s="350" t="s">
        <v>302</v>
      </c>
      <c r="J10" s="351" t="s">
        <v>0</v>
      </c>
    </row>
    <row r="11" spans="1:10" ht="14.4" customHeight="1" x14ac:dyDescent="0.3">
      <c r="A11" s="347" t="s">
        <v>306</v>
      </c>
      <c r="B11" s="348" t="s">
        <v>322</v>
      </c>
      <c r="C11" s="349">
        <v>0</v>
      </c>
      <c r="D11" s="349">
        <v>4.1180000000000003</v>
      </c>
      <c r="E11" s="349"/>
      <c r="F11" s="349">
        <v>3.63</v>
      </c>
      <c r="G11" s="349">
        <v>7</v>
      </c>
      <c r="H11" s="349">
        <v>-3.37</v>
      </c>
      <c r="I11" s="350">
        <v>0.51857142857142857</v>
      </c>
      <c r="J11" s="351" t="s">
        <v>1</v>
      </c>
    </row>
    <row r="12" spans="1:10" ht="14.4" customHeight="1" x14ac:dyDescent="0.3">
      <c r="A12" s="347" t="s">
        <v>306</v>
      </c>
      <c r="B12" s="348" t="s">
        <v>308</v>
      </c>
      <c r="C12" s="349">
        <v>0</v>
      </c>
      <c r="D12" s="349">
        <v>4.1180000000000003</v>
      </c>
      <c r="E12" s="349"/>
      <c r="F12" s="349">
        <v>3.63</v>
      </c>
      <c r="G12" s="349">
        <v>7</v>
      </c>
      <c r="H12" s="349">
        <v>-3.37</v>
      </c>
      <c r="I12" s="350">
        <v>0.51857142857142857</v>
      </c>
      <c r="J12" s="351" t="s">
        <v>309</v>
      </c>
    </row>
    <row r="13" spans="1:10" ht="14.4" customHeight="1" x14ac:dyDescent="0.3">
      <c r="A13" s="347" t="s">
        <v>302</v>
      </c>
      <c r="B13" s="348" t="s">
        <v>302</v>
      </c>
      <c r="C13" s="349" t="s">
        <v>302</v>
      </c>
      <c r="D13" s="349" t="s">
        <v>302</v>
      </c>
      <c r="E13" s="349"/>
      <c r="F13" s="349" t="s">
        <v>302</v>
      </c>
      <c r="G13" s="349" t="s">
        <v>302</v>
      </c>
      <c r="H13" s="349" t="s">
        <v>302</v>
      </c>
      <c r="I13" s="350" t="s">
        <v>302</v>
      </c>
      <c r="J13" s="351" t="s">
        <v>310</v>
      </c>
    </row>
    <row r="14" spans="1:10" ht="14.4" customHeight="1" x14ac:dyDescent="0.3">
      <c r="A14" s="347" t="s">
        <v>323</v>
      </c>
      <c r="B14" s="348" t="s">
        <v>324</v>
      </c>
      <c r="C14" s="349" t="s">
        <v>302</v>
      </c>
      <c r="D14" s="349" t="s">
        <v>302</v>
      </c>
      <c r="E14" s="349"/>
      <c r="F14" s="349" t="s">
        <v>302</v>
      </c>
      <c r="G14" s="349" t="s">
        <v>302</v>
      </c>
      <c r="H14" s="349" t="s">
        <v>302</v>
      </c>
      <c r="I14" s="350" t="s">
        <v>302</v>
      </c>
      <c r="J14" s="351" t="s">
        <v>0</v>
      </c>
    </row>
    <row r="15" spans="1:10" ht="14.4" customHeight="1" x14ac:dyDescent="0.3">
      <c r="A15" s="347" t="s">
        <v>323</v>
      </c>
      <c r="B15" s="348" t="s">
        <v>322</v>
      </c>
      <c r="C15" s="349">
        <v>0</v>
      </c>
      <c r="D15" s="349">
        <v>0</v>
      </c>
      <c r="E15" s="349"/>
      <c r="F15" s="349">
        <v>0</v>
      </c>
      <c r="G15" s="349">
        <v>0</v>
      </c>
      <c r="H15" s="349">
        <v>0</v>
      </c>
      <c r="I15" s="350" t="s">
        <v>302</v>
      </c>
      <c r="J15" s="351" t="s">
        <v>1</v>
      </c>
    </row>
    <row r="16" spans="1:10" ht="14.4" customHeight="1" x14ac:dyDescent="0.3">
      <c r="A16" s="347" t="s">
        <v>323</v>
      </c>
      <c r="B16" s="348" t="s">
        <v>325</v>
      </c>
      <c r="C16" s="349">
        <v>0</v>
      </c>
      <c r="D16" s="349">
        <v>0</v>
      </c>
      <c r="E16" s="349"/>
      <c r="F16" s="349">
        <v>0</v>
      </c>
      <c r="G16" s="349">
        <v>0</v>
      </c>
      <c r="H16" s="349">
        <v>0</v>
      </c>
      <c r="I16" s="350" t="s">
        <v>302</v>
      </c>
      <c r="J16" s="351" t="s">
        <v>309</v>
      </c>
    </row>
    <row r="17" spans="1:10" ht="14.4" customHeight="1" x14ac:dyDescent="0.3">
      <c r="A17" s="347" t="s">
        <v>302</v>
      </c>
      <c r="B17" s="348" t="s">
        <v>302</v>
      </c>
      <c r="C17" s="349" t="s">
        <v>302</v>
      </c>
      <c r="D17" s="349" t="s">
        <v>302</v>
      </c>
      <c r="E17" s="349"/>
      <c r="F17" s="349" t="s">
        <v>302</v>
      </c>
      <c r="G17" s="349" t="s">
        <v>302</v>
      </c>
      <c r="H17" s="349" t="s">
        <v>302</v>
      </c>
      <c r="I17" s="350" t="s">
        <v>302</v>
      </c>
      <c r="J17" s="351" t="s">
        <v>310</v>
      </c>
    </row>
    <row r="18" spans="1:10" ht="14.4" customHeight="1" x14ac:dyDescent="0.3">
      <c r="A18" s="347" t="s">
        <v>300</v>
      </c>
      <c r="B18" s="348" t="s">
        <v>304</v>
      </c>
      <c r="C18" s="349">
        <v>0</v>
      </c>
      <c r="D18" s="349">
        <v>4.1180000000000003</v>
      </c>
      <c r="E18" s="349"/>
      <c r="F18" s="349">
        <v>3.63</v>
      </c>
      <c r="G18" s="349">
        <v>7</v>
      </c>
      <c r="H18" s="349">
        <v>-3.37</v>
      </c>
      <c r="I18" s="350">
        <v>0.51857142857142857</v>
      </c>
      <c r="J18" s="351" t="s">
        <v>305</v>
      </c>
    </row>
  </sheetData>
  <mergeCells count="3">
    <mergeCell ref="A1:I1"/>
    <mergeCell ref="F3:I3"/>
    <mergeCell ref="C4:D4"/>
  </mergeCells>
  <conditionalFormatting sqref="F8 F19:F65537">
    <cfRule type="cellIs" dxfId="25" priority="18" stopIfTrue="1" operator="greaterThan">
      <formula>1</formula>
    </cfRule>
  </conditionalFormatting>
  <conditionalFormatting sqref="H5:H7">
    <cfRule type="expression" dxfId="24" priority="14">
      <formula>$H5&gt;0</formula>
    </cfRule>
  </conditionalFormatting>
  <conditionalFormatting sqref="I5:I7">
    <cfRule type="expression" dxfId="23" priority="15">
      <formula>$I5&gt;1</formula>
    </cfRule>
  </conditionalFormatting>
  <conditionalFormatting sqref="B5:B7">
    <cfRule type="expression" dxfId="22" priority="11">
      <formula>OR($J5="NS",$J5="SumaNS",$J5="Účet")</formula>
    </cfRule>
  </conditionalFormatting>
  <conditionalFormatting sqref="F5:I7 B5:D7">
    <cfRule type="expression" dxfId="21" priority="17">
      <formula>AND($J5&lt;&gt;"",$J5&lt;&gt;"mezeraKL")</formula>
    </cfRule>
  </conditionalFormatting>
  <conditionalFormatting sqref="B5:D7 F5:I7">
    <cfRule type="expression" dxfId="20" priority="12">
      <formula>OR($J5="KL",$J5="SumaKL")</formula>
    </cfRule>
    <cfRule type="expression" priority="16" stopIfTrue="1">
      <formula>OR($J5="mezeraNS",$J5="mezeraKL")</formula>
    </cfRule>
  </conditionalFormatting>
  <conditionalFormatting sqref="B5:D7 F5:I7">
    <cfRule type="expression" dxfId="19" priority="13">
      <formula>OR($J5="SumaNS",$J5="NS")</formula>
    </cfRule>
  </conditionalFormatting>
  <conditionalFormatting sqref="A5:A7">
    <cfRule type="expression" dxfId="18" priority="9">
      <formula>AND($J5&lt;&gt;"mezeraKL",$J5&lt;&gt;"")</formula>
    </cfRule>
  </conditionalFormatting>
  <conditionalFormatting sqref="A5:A7">
    <cfRule type="expression" dxfId="17" priority="10">
      <formula>AND($J5&lt;&gt;"",$J5&lt;&gt;"mezeraKL")</formula>
    </cfRule>
  </conditionalFormatting>
  <conditionalFormatting sqref="H9:H18">
    <cfRule type="expression" dxfId="16" priority="6">
      <formula>$H9&gt;0</formula>
    </cfRule>
  </conditionalFormatting>
  <conditionalFormatting sqref="A9:A18">
    <cfRule type="expression" dxfId="15" priority="5">
      <formula>AND($J9&lt;&gt;"mezeraKL",$J9&lt;&gt;"")</formula>
    </cfRule>
  </conditionalFormatting>
  <conditionalFormatting sqref="I9:I18">
    <cfRule type="expression" dxfId="14" priority="7">
      <formula>$I9&gt;1</formula>
    </cfRule>
  </conditionalFormatting>
  <conditionalFormatting sqref="B9:B18">
    <cfRule type="expression" dxfId="13" priority="4">
      <formula>OR($J9="NS",$J9="SumaNS",$J9="Účet")</formula>
    </cfRule>
  </conditionalFormatting>
  <conditionalFormatting sqref="A9:D18 F9:I18">
    <cfRule type="expression" dxfId="12" priority="8">
      <formula>AND($J9&lt;&gt;"",$J9&lt;&gt;"mezeraKL")</formula>
    </cfRule>
  </conditionalFormatting>
  <conditionalFormatting sqref="B9:D18 F9:I18">
    <cfRule type="expression" dxfId="11" priority="1">
      <formula>OR($J9="KL",$J9="SumaKL")</formula>
    </cfRule>
    <cfRule type="expression" priority="3" stopIfTrue="1">
      <formula>OR($J9="mezeraNS",$J9="mezeraKL")</formula>
    </cfRule>
  </conditionalFormatting>
  <conditionalFormatting sqref="B9:D18 F9:I18">
    <cfRule type="expression" dxfId="10" priority="2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1</vt:i4>
      </vt:variant>
    </vt:vector>
  </HeadingPairs>
  <TitlesOfParts>
    <vt:vector size="13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2017-05-25T14:37:09Z</dcterms:modified>
</cp:coreProperties>
</file>