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F20" i="419" l="1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C18" i="419" l="1"/>
  <c r="E18" i="419"/>
  <c r="D18" i="419"/>
  <c r="F18" i="419"/>
  <c r="E26" i="419"/>
  <c r="E25" i="419"/>
  <c r="F26" i="419"/>
  <c r="F25" i="419"/>
  <c r="D26" i="419"/>
  <c r="D27" i="419" s="1"/>
  <c r="D25" i="419"/>
  <c r="C25" i="419"/>
  <c r="C26" i="419"/>
  <c r="C27" i="419" s="1"/>
  <c r="D28" i="419" l="1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8" i="414"/>
  <c r="A7" i="414"/>
  <c r="E21" i="419" l="1"/>
  <c r="D21" i="419"/>
  <c r="C21" i="419"/>
  <c r="E23" i="419" l="1"/>
  <c r="C23" i="419"/>
  <c r="E22" i="419"/>
  <c r="D23" i="419"/>
  <c r="C22" i="419"/>
  <c r="D22" i="419"/>
  <c r="N3" i="418"/>
  <c r="B21" i="419" l="1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<sst xmlns="http://schemas.openxmlformats.org/spreadsheetml/2006/main" count="649" uniqueCount="333">
  <si>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</si>
  <si>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</si>
  <si>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</si>
  <si>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</si>
  <si>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</si>
  <si>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</si>
  <si>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</si>
  <si>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</si>
  <si>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</si>
  <si>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</si>
  <si>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</si>
  <si>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</si>
  <si>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</si>
  <si>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</si>
  <si>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</si>
  <si>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</si>
  <si>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</si>
  <si>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</si>
  <si>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</si>
  <si>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</si>
  <si>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</si>
  <si>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</si>
  <si>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</si>
  <si>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</si>
  <si>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</si>
  <si>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</si>
  <si>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</si>
  <si>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</si>
  <si>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</si>
  <si>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</si>
  <si>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</si>
  <si>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</si>
  <si>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</si>
  <si>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</si>
  <si>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</si>
  <si>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</si>
  <si>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</si>
  <si>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</si>
  <si>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</si>
  <si>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</si>
  <si>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</si>
  <si>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</si>
  <si>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</si>
  <si>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</si>
  <si>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</si>
  <si>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</si>
  <si>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</si>
  <si>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</si>
  <si>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</si>
  <si>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</si>
  <si>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</si>
  <si>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</si>
  <si>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</si>
  <si>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</si>
  <si>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</si>
  <si>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</si>
  <si>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</si>
  <si>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</si>
  <si>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</si>
  <si>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</si>
  <si>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</si>
  <si>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</si>
  <si>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</si>
  <si>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</si>
  <si>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</si>
  <si>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</si>
  <si>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</si>
  <si>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</si>
  <si>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</si>
  <si>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</si>
  <si>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</si>
  <si>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</si>
  <si>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</si>
  <si>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</si>
  <si>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</si>
  <si>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</si>
  <si>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</si>
  <si>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</si>
  <si>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</si>
  <si>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</si>
  <si>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</si>
  <si>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</si>
  <si>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</si>
  <si>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</si>
  <si>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</si>
  <si>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</si>
  <si>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</si>
  <si>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</si>
  <si>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</si>
  <si>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</si>
  <si>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</si>
  <si>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</si>
  <si>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</si>
  <si>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</si>
  <si>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</si>
  <si>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</si>
  <si>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</si>
  <si>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</si>
  <si>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</si>
  <si>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</si>
  <si>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</si>
  <si>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</si>
  <si>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</si>
  <si>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</si>
  <si>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</si>
  <si>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</si>
  <si>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</si>
  <si>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</si>
  <si>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</si>
  <si>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</si>
  <si>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</si>
  <si>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</si>
  <si>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</si>
  <si>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</si>
  <si>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</si>
  <si>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</si>
  <si>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</si>
  <si>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</si>
  <si>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</si>
  <si>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</si>
  <si>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</si>
  <si>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</si>
  <si>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</si>
  <si>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</si>
  <si>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</si>
  <si>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</si>
  <si>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</si>
  <si>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</si>
  <si>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</si>
  <si>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</si>
  <si>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</si>
  <si>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</si>
  <si>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</si>
  <si>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</si>
  <si>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</si>
  <si>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</si>
  <si>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</si>
  <si>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</si>
  <si>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</si>
  <si>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</si>
  <si>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</si>
  <si>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</si>
  <si>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</si>
  <si>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</si>
  <si>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</si>
  <si>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</si>
  <si>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</si>
  <si>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</si>
  <si>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</si>
  <si>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</si>
  <si>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</si>
  <si>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</si>
  <si>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</si>
  <si>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</si>
  <si>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</si>
  <si>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</si>
  <si>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</si>
  <si>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</si>
  <si>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</si>
  <si>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</si>
  <si>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</si>
  <si>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</si>
  <si>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</si>
  <si>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</si>
  <si>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</si>
  <si>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</si>
  <si>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</si>
  <si>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</si>
  <si>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</si>
  <si>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</si>
  <si>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</si>
  <si>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</si>
  <si>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</si>
  <si>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</si>
  <si>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</si>
  <si>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</si>
  <si>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</si>
  <si>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</si>
  <si>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</si>
  <si>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</si>
  <si>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</si>
  <si>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</si>
  <si>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</si>
  <si>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</si>
  <si>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</si>
  <si>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</si>
  <si>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</si>
  <si>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</si>
  <si>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</si>
  <si>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</si>
  <si>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</si>
  <si>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</si>
  <si>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</si>
  <si>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</si>
  <si>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</si>
  <si>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</si>
  <si>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</si>
  <si>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</si>
  <si>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</si>
  <si>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</si>
  <si>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</si>
  <si>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</si>
  <si>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</si>
  <si>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</si>
  <si>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</si>
  <si>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</si>
  <si>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</si>
  <si>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</si>
  <si>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</si>
  <si>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</si>
  <si>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</si>
  <si>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</si>
  <si>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</si>
  <si>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</si>
  <si>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</si>
  <si>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</si>
  <si>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</si>
  <si>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</si>
  <si>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</si>
  <si>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</si>
  <si>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</si>
  <si>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</si>
  <si>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</si>
  <si>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</si>
  <si>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</si>
  <si>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</si>
  <si>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</si>
  <si>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</si>
  <si>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</si>
  <si>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</si>
  <si>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</si>
  <si>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</si>
  <si>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</si>
  <si>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</si>
  <si>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</si>
  <si>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</si>
  <si>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</si>
  <si>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51808019     zkoušky - zaškol.zdrav.techn.(instrukce uživatelům 268/2014 Sb)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</si>
  <si>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</si>
  <si>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</si>
  <si>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</si>
  <si>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</si>
  <si>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</si>
  <si>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</si>
  <si>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</si>
  <si>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</si>
  <si>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</si>
  <si>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</si>
  <si>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</si>
  <si>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</si>
  <si>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</si>
  <si>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</si>
  <si>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</si>
  <si>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</si>
  <si>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</si>
  <si>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</si>
  <si>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</si>
  <si>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</si>
  <si>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</si>
  <si>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</si>
  <si>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</si>
  <si>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</si>
  <si>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</si>
  <si>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</si>
  <si>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</si>
  <si>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</si>
  <si>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</si>
  <si>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</si>
  <si>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</si>
  <si>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</si>
  <si>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</si>
  <si>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</si>
  <si>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</si>
  <si>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</si>
  <si>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</si>
  <si>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</si>
  <si>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</si>
  <si>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</si>
  <si>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</si>
  <si>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</si>
  <si>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</si>
  <si>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</si>
  <si>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</si>
  <si>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</si>
  <si>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</si>
  <si>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</si>
  <si>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</si>
  <si>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</si>
  <si>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</si>
  <si>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</si>
  <si>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</si>
  <si>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</si>
  <si>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</si>
  <si>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</si>
  <si>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</si>
  <si>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</si>
  <si>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</si>
  <si>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</si>
  <si>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</si>
  <si>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</si>
  <si>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</si>
  <si>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</si>
  <si>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COSS: Oddělení centrální sterilizace</t>
  </si>
  <si>
    <t/>
  </si>
  <si>
    <t>50113001 - léky - paušál (LEK)</t>
  </si>
  <si>
    <t>COSS: Oddělení centrální sterilizace Celkem</t>
  </si>
  <si>
    <t>SumaKL</t>
  </si>
  <si>
    <t>5693</t>
  </si>
  <si>
    <t>COSS: oddělení centrální sterilizace</t>
  </si>
  <si>
    <t>COSS: oddělení centrální sterilizace Celkem</t>
  </si>
  <si>
    <t>SumaNS</t>
  </si>
  <si>
    <t>mezeraNS</t>
  </si>
  <si>
    <t>5695</t>
  </si>
  <si>
    <t>COSS: OCS - detašované pracoviště Ortopedie</t>
  </si>
  <si>
    <t>COSS: OCS - detašované pracoviště Ortopedie Celkem</t>
  </si>
  <si>
    <t>léky - paušál (LEK)</t>
  </si>
  <si>
    <t>O</t>
  </si>
  <si>
    <t>KL AQUA PURIF. 1000G</t>
  </si>
  <si>
    <t>KL BENZINUM 900ml/ 600g</t>
  </si>
  <si>
    <t>UN 3295</t>
  </si>
  <si>
    <t>KL SOL.FORMALDEHYDI 3% 1 KG</t>
  </si>
  <si>
    <t>56 - Oddělení centrální sterilizace</t>
  </si>
  <si>
    <t>5693 - oddělení centrální sterilizace</t>
  </si>
  <si>
    <t>50115067 - ZPr - rukavice (Z532)</t>
  </si>
  <si>
    <t>5696</t>
  </si>
  <si>
    <t>COSS: OCS - detašované pracoviště  DK</t>
  </si>
  <si>
    <t>COSS: OCS - detašované pracoviště  DK Celkem</t>
  </si>
  <si>
    <t>50115067</t>
  </si>
  <si>
    <t>ZPr - rukavice (Z532)</t>
  </si>
  <si>
    <t>ZO468</t>
  </si>
  <si>
    <t>Rukavice nitril sempercare Safe+ Us-Hs prodloužené vel. L bal. 100 34438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</si>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</sst>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3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9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3" xfId="0" applyNumberFormat="1" applyFont="1" applyFill="1" applyBorder="1"/>
    <xf numFmtId="3" fontId="51" fillId="8" borderId="54" xfId="0" applyNumberFormat="1" applyFont="1" applyFill="1" applyBorder="1"/>
    <xf numFmtId="3" fontId="51" fillId="8" borderId="53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8" xfId="0" applyFont="1" applyFill="1" applyBorder="1" applyAlignment="1">
      <alignment horizontal="center" vertical="center"/>
    </xf>
    <xf numFmtId="0" fontId="53" fillId="2" borderId="61" xfId="0" applyFont="1" applyFill="1" applyBorder="1" applyAlignment="1">
      <alignment horizontal="center" vertical="center" wrapText="1"/>
    </xf>
    <xf numFmtId="0" fontId="39" fillId="2" borderId="63" xfId="0" applyFont="1" applyFill="1" applyBorder="1" applyAlignment="1"/>
    <xf numFmtId="0" fontId="39" fillId="2" borderId="65" xfId="0" applyFont="1" applyFill="1" applyBorder="1" applyAlignment="1">
      <alignment horizontal="left" indent="1"/>
    </xf>
    <xf numFmtId="0" fontId="39" fillId="2" borderId="71" xfId="0" applyFont="1" applyFill="1" applyBorder="1" applyAlignment="1">
      <alignment horizontal="left" indent="1"/>
    </xf>
    <xf numFmtId="0" fontId="39" fillId="4" borderId="63" xfId="0" applyFont="1" applyFill="1" applyBorder="1" applyAlignment="1"/>
    <xf numFmtId="0" fontId="39" fillId="4" borderId="65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5" xfId="0" quotePrefix="1" applyFont="1" applyFill="1" applyBorder="1" applyAlignment="1">
      <alignment horizontal="left" indent="2"/>
    </xf>
    <xf numFmtId="0" fontId="32" fillId="2" borderId="71" xfId="0" quotePrefix="1" applyFont="1" applyFill="1" applyBorder="1" applyAlignment="1">
      <alignment horizontal="left" indent="2"/>
    </xf>
    <xf numFmtId="0" fontId="39" fillId="2" borderId="63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1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5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3" fillId="2" borderId="78" xfId="0" applyNumberFormat="1" applyFont="1" applyFill="1" applyBorder="1" applyAlignment="1">
      <alignment horizontal="center" vertical="center" wrapText="1"/>
    </xf>
    <xf numFmtId="173" fontId="39" fillId="4" borderId="64" xfId="0" applyNumberFormat="1" applyFont="1" applyFill="1" applyBorder="1" applyAlignment="1"/>
    <xf numFmtId="173" fontId="39" fillId="4" borderId="58" xfId="0" applyNumberFormat="1" applyFont="1" applyFill="1" applyBorder="1" applyAlignment="1"/>
    <xf numFmtId="173" fontId="39" fillId="0" borderId="66" xfId="0" applyNumberFormat="1" applyFont="1" applyBorder="1"/>
    <xf numFmtId="173" fontId="32" fillId="0" borderId="68" xfId="0" applyNumberFormat="1" applyFont="1" applyBorder="1"/>
    <xf numFmtId="173" fontId="39" fillId="0" borderId="77" xfId="0" applyNumberFormat="1" applyFont="1" applyBorder="1"/>
    <xf numFmtId="173" fontId="32" fillId="0" borderId="61" xfId="0" applyNumberFormat="1" applyFont="1" applyBorder="1"/>
    <xf numFmtId="173" fontId="39" fillId="2" borderId="79" xfId="0" applyNumberFormat="1" applyFont="1" applyFill="1" applyBorder="1" applyAlignment="1"/>
    <xf numFmtId="173" fontId="39" fillId="2" borderId="58" xfId="0" applyNumberFormat="1" applyFont="1" applyFill="1" applyBorder="1" applyAlignment="1"/>
    <xf numFmtId="173" fontId="39" fillId="0" borderId="72" xfId="0" applyNumberFormat="1" applyFont="1" applyBorder="1"/>
    <xf numFmtId="173" fontId="32" fillId="0" borderId="74" xfId="0" applyNumberFormat="1" applyFont="1" applyBorder="1"/>
    <xf numFmtId="174" fontId="39" fillId="2" borderId="64" xfId="0" applyNumberFormat="1" applyFont="1" applyFill="1" applyBorder="1" applyAlignment="1"/>
    <xf numFmtId="174" fontId="32" fillId="2" borderId="58" xfId="0" applyNumberFormat="1" applyFont="1" applyFill="1" applyBorder="1" applyAlignment="1"/>
    <xf numFmtId="174" fontId="39" fillId="0" borderId="66" xfId="0" applyNumberFormat="1" applyFont="1" applyBorder="1"/>
    <xf numFmtId="174" fontId="32" fillId="0" borderId="68" xfId="0" applyNumberFormat="1" applyFont="1" applyBorder="1"/>
    <xf numFmtId="174" fontId="39" fillId="0" borderId="72" xfId="0" applyNumberFormat="1" applyFont="1" applyBorder="1"/>
    <xf numFmtId="174" fontId="32" fillId="0" borderId="74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4" xfId="0" applyNumberFormat="1" applyFont="1" applyFill="1" applyBorder="1" applyAlignment="1">
      <alignment horizontal="center"/>
    </xf>
    <xf numFmtId="175" fontId="39" fillId="0" borderId="72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9" xfId="0" applyFont="1" applyFill="1" applyBorder="1"/>
    <xf numFmtId="0" fontId="32" fillId="0" borderId="70" xfId="0" applyFont="1" applyBorder="1" applyAlignment="1"/>
    <xf numFmtId="9" fontId="32" fillId="0" borderId="68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2" fillId="0" borderId="68" xfId="0" applyNumberFormat="1" applyFont="1" applyBorder="1"/>
    <xf numFmtId="49" fontId="37" fillId="2" borderId="68" xfId="0" quotePrefix="1" applyNumberFormat="1" applyFont="1" applyFill="1" applyBorder="1" applyAlignment="1">
      <alignment horizontal="center" vertical="center"/>
    </xf>
    <xf numFmtId="0" fontId="31" fillId="2" borderId="37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0" fillId="0" borderId="0" xfId="0" applyBorder="1"/>
    <xf numFmtId="0" fontId="31" fillId="2" borderId="23" xfId="74" applyFont="1" applyFill="1" applyBorder="1" applyAlignment="1">
      <alignment horizontal="center"/>
    </xf>
    <xf numFmtId="0" fontId="6" fillId="0" borderId="2" xfId="78" applyFont="1" applyFill="1" applyBorder="1" applyAlignment="1"/>
    <xf numFmtId="173" fontId="32" fillId="0" borderId="87" xfId="0" applyNumberFormat="1" applyFont="1" applyBorder="1"/>
    <xf numFmtId="3" fontId="32" fillId="0" borderId="0" xfId="0" applyNumberFormat="1" applyFont="1" applyBorder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5" fontId="32" fillId="0" borderId="67" xfId="0" applyNumberFormat="1" applyFont="1" applyBorder="1" applyAlignment="1"/>
    <xf numFmtId="175" fontId="32" fillId="0" borderId="68" xfId="0" applyNumberFormat="1" applyFont="1" applyBorder="1" applyAlignment="1"/>
    <xf numFmtId="175" fontId="32" fillId="0" borderId="69" xfId="0" applyNumberFormat="1" applyFont="1" applyBorder="1" applyAlignment="1"/>
    <xf numFmtId="173" fontId="32" fillId="0" borderId="60" xfId="0" applyNumberFormat="1" applyFont="1" applyBorder="1" applyAlignment="1"/>
    <xf numFmtId="173" fontId="32" fillId="0" borderId="61" xfId="0" applyNumberFormat="1" applyFont="1" applyBorder="1" applyAlignment="1"/>
    <xf numFmtId="173" fontId="32" fillId="0" borderId="62" xfId="0" applyNumberFormat="1" applyFont="1" applyBorder="1" applyAlignment="1"/>
    <xf numFmtId="173" fontId="39" fillId="4" borderId="23" xfId="0" applyNumberFormat="1" applyFont="1" applyFill="1" applyBorder="1" applyAlignment="1">
      <alignment horizontal="center"/>
    </xf>
    <xf numFmtId="173" fontId="39" fillId="4" borderId="28" xfId="0" applyNumberFormat="1" applyFont="1" applyFill="1" applyBorder="1" applyAlignment="1">
      <alignment horizontal="center"/>
    </xf>
    <xf numFmtId="173" fontId="39" fillId="4" borderId="24" xfId="0" applyNumberFormat="1" applyFont="1" applyFill="1" applyBorder="1" applyAlignment="1">
      <alignment horizontal="center"/>
    </xf>
    <xf numFmtId="173" fontId="32" fillId="0" borderId="88" xfId="0" applyNumberFormat="1" applyFont="1" applyBorder="1"/>
    <xf numFmtId="9" fontId="32" fillId="0" borderId="65" xfId="0" applyNumberFormat="1" applyFont="1" applyBorder="1"/>
    <xf numFmtId="173" fontId="32" fillId="0" borderId="76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7" xfId="0" applyNumberFormat="1" applyFont="1" applyBorder="1"/>
    <xf numFmtId="173" fontId="39" fillId="0" borderId="2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31" fillId="2" borderId="52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9" xfId="80" applyNumberFormat="1" applyFont="1" applyFill="1" applyBorder="1" applyAlignment="1">
      <alignment horizontal="left"/>
    </xf>
    <xf numFmtId="166" fontId="39" fillId="2" borderId="56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0" fontId="31" fillId="2" borderId="104" xfId="53" applyNumberFormat="1" applyFont="1" applyFill="1" applyBorder="1" applyAlignment="1">
      <alignment horizontal="left"/>
    </xf>
    <xf numFmtId="164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0" fontId="32" fillId="0" borderId="58" xfId="0" applyNumberFormat="1" applyFont="1" applyFill="1" applyBorder="1"/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0" fontId="32" fillId="0" borderId="61" xfId="0" applyNumberFormat="1" applyFont="1" applyFill="1" applyBorder="1"/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4" xfId="80" applyNumberFormat="1" applyFont="1" applyFill="1" applyBorder="1"/>
    <xf numFmtId="3" fontId="3" fillId="2" borderId="7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" fillId="2" borderId="75" xfId="80" applyNumberFormat="1" applyFont="1" applyFill="1" applyBorder="1"/>
    <xf numFmtId="9" fontId="32" fillId="0" borderId="58" xfId="0" applyNumberFormat="1" applyFont="1" applyFill="1" applyBorder="1"/>
    <xf numFmtId="9" fontId="32" fillId="0" borderId="59" xfId="0" applyNumberFormat="1" applyFont="1" applyFill="1" applyBorder="1"/>
    <xf numFmtId="9" fontId="32" fillId="0" borderId="61" xfId="0" applyNumberFormat="1" applyFont="1" applyFill="1" applyBorder="1"/>
    <xf numFmtId="9" fontId="32" fillId="0" borderId="62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80" xfId="0" applyNumberFormat="1" applyFont="1" applyFill="1" applyBorder="1"/>
    <xf numFmtId="9" fontId="32" fillId="0" borderId="78" xfId="0" applyNumberFormat="1" applyFont="1" applyFill="1" applyBorder="1"/>
    <xf numFmtId="3" fontId="32" fillId="0" borderId="57" xfId="0" applyNumberFormat="1" applyFont="1" applyFill="1" applyBorder="1"/>
    <xf numFmtId="3" fontId="32" fillId="0" borderId="60" xfId="0" applyNumberFormat="1" applyFont="1" applyFill="1" applyBorder="1"/>
    <xf numFmtId="9" fontId="32" fillId="0" borderId="105" xfId="0" applyNumberFormat="1" applyFont="1" applyFill="1" applyBorder="1"/>
    <xf numFmtId="9" fontId="32" fillId="0" borderId="106" xfId="0" applyNumberFormat="1" applyFont="1" applyFill="1" applyBorder="1"/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71" t="s">
        <v>63</v>
      </c>
      <c r="B1" s="271"/>
    </row>
    <row r="2" spans="1:3" ht="14.4" customHeight="1" thickBot="1" x14ac:dyDescent="0.35">
      <c r="A2" s="173" t="s">
        <v>178</v>
      </c>
      <c r="B2" s="41"/>
    </row>
    <row r="3" spans="1:3" ht="14.4" customHeight="1" thickBot="1" x14ac:dyDescent="0.35">
      <c r="A3" s="267" t="s">
        <v>79</v>
      </c>
      <c r="B3" s="268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09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0" t="str">
        <f t="shared" si="0"/>
        <v>Man Tab</v>
      </c>
      <c r="B6" s="63" t="s">
        <v>180</v>
      </c>
      <c r="C6" s="42" t="s">
        <v>67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69" t="s">
        <v>64</v>
      </c>
      <c r="B9" s="268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0" t="str">
        <f t="shared" si="2"/>
        <v>LŽ Statim</v>
      </c>
      <c r="B12" s="233" t="s">
        <v>133</v>
      </c>
      <c r="C12" s="42" t="s">
        <v>143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0" t="str">
        <f t="shared" si="2"/>
        <v>MŽ Detail</v>
      </c>
      <c r="B14" s="63" t="s">
        <v>331</v>
      </c>
      <c r="C14" s="42" t="s">
        <v>71</v>
      </c>
    </row>
    <row r="15" spans="1:3" ht="14.4" customHeight="1" thickBot="1" x14ac:dyDescent="0.35">
      <c r="A15" s="112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70" t="s">
        <v>65</v>
      </c>
      <c r="B17" s="26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308" t="s">
        <v>331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4" customHeight="1" thickBot="1" x14ac:dyDescent="0.35">
      <c r="A2" s="173" t="s">
        <v>178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304"/>
      <c r="D3" s="305"/>
      <c r="E3" s="305"/>
      <c r="F3" s="305"/>
      <c r="G3" s="305"/>
      <c r="H3" s="107" t="s">
        <v>75</v>
      </c>
      <c r="I3" s="71">
        <f>IF(J3&lt;&gt;0,K3/J3,0)</f>
        <v>1.8149999999999999</v>
      </c>
      <c r="J3" s="71">
        <f>SUBTOTAL(9,J5:J1048576)</f>
        <v>2800</v>
      </c>
      <c r="K3" s="72">
        <f>SUBTOTAL(9,K5:K1048576)</f>
        <v>5082</v>
      </c>
    </row>
    <row r="4" spans="1:11" s="162" customFormat="1" ht="14.4" customHeight="1" thickBot="1" x14ac:dyDescent="0.35">
      <c r="A4" s="352" t="s">
        <v>3</v>
      </c>
      <c r="B4" s="353" t="s">
        <v>4</v>
      </c>
      <c r="C4" s="353" t="s">
        <v>0</v>
      </c>
      <c r="D4" s="353" t="s">
        <v>5</v>
      </c>
      <c r="E4" s="353" t="s">
        <v>6</v>
      </c>
      <c r="F4" s="353" t="s">
        <v>1</v>
      </c>
      <c r="G4" s="353" t="s">
        <v>54</v>
      </c>
      <c r="H4" s="355" t="s">
        <v>10</v>
      </c>
      <c r="I4" s="356" t="s">
        <v>81</v>
      </c>
      <c r="J4" s="356" t="s">
        <v>12</v>
      </c>
      <c r="K4" s="357" t="s">
        <v>89</v>
      </c>
    </row>
    <row r="5" spans="1:11" ht="14.4" customHeight="1" thickBot="1" x14ac:dyDescent="0.35">
      <c r="A5" s="397" t="s">
        <v>301</v>
      </c>
      <c r="B5" s="398" t="s">
        <v>302</v>
      </c>
      <c r="C5" s="399" t="s">
        <v>307</v>
      </c>
      <c r="D5" s="400" t="s">
        <v>308</v>
      </c>
      <c r="E5" s="399" t="s">
        <v>327</v>
      </c>
      <c r="F5" s="400" t="s">
        <v>328</v>
      </c>
      <c r="G5" s="399" t="s">
        <v>329</v>
      </c>
      <c r="H5" s="399" t="s">
        <v>330</v>
      </c>
      <c r="I5" s="401">
        <v>1.8200000524520874</v>
      </c>
      <c r="J5" s="401">
        <v>2800</v>
      </c>
      <c r="K5" s="402">
        <v>5082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7" ht="18.600000000000001" thickBot="1" x14ac:dyDescent="0.4">
      <c r="A1" s="318" t="s">
        <v>61</v>
      </c>
      <c r="B1" s="318"/>
      <c r="C1" s="262"/>
      <c r="D1" s="262"/>
      <c r="E1" s="262"/>
      <c r="F1" s="262"/>
      <c r="G1" s="242"/>
    </row>
    <row r="2" spans="1:7" ht="15" thickBot="1" x14ac:dyDescent="0.35">
      <c r="A2" s="173" t="s">
        <v>178</v>
      </c>
      <c r="B2" s="174"/>
      <c r="C2" s="174"/>
      <c r="D2" s="174"/>
      <c r="E2" s="174"/>
      <c r="G2" s="242"/>
    </row>
    <row r="3" spans="1:7" x14ac:dyDescent="0.3">
      <c r="A3" s="190" t="s">
        <v>124</v>
      </c>
      <c r="B3" s="316" t="s">
        <v>108</v>
      </c>
      <c r="C3" s="193">
        <v>303</v>
      </c>
      <c r="D3" s="193">
        <v>304</v>
      </c>
      <c r="E3" s="175">
        <v>629</v>
      </c>
      <c r="F3" s="175">
        <v>642</v>
      </c>
      <c r="G3" s="242"/>
    </row>
    <row r="4" spans="1:7" ht="24.6" outlineLevel="1" thickBot="1" x14ac:dyDescent="0.35">
      <c r="A4" s="191">
        <v>2017</v>
      </c>
      <c r="B4" s="317"/>
      <c r="C4" s="194" t="s">
        <v>145</v>
      </c>
      <c r="D4" s="194" t="s">
        <v>146</v>
      </c>
      <c r="E4" s="176" t="s">
        <v>130</v>
      </c>
      <c r="F4" s="176" t="s">
        <v>131</v>
      </c>
      <c r="G4" s="242"/>
    </row>
    <row r="5" spans="1:7" x14ac:dyDescent="0.3">
      <c r="A5" s="177" t="s">
        <v>109</v>
      </c>
      <c r="B5" s="205"/>
      <c r="C5" s="206"/>
      <c r="D5" s="206"/>
      <c r="E5" s="206"/>
      <c r="F5" s="206"/>
      <c r="G5" s="242"/>
    </row>
    <row r="6" spans="1:7" ht="15" collapsed="1" thickBot="1" x14ac:dyDescent="0.35">
      <c r="A6" s="178" t="s">
        <v>55</v>
      </c>
      <c r="B6" s="207">
        <f xml:space="preserve">
TRUNC(IF($A$4&lt;=12,SUMIFS('ON Data'!F:F,'ON Data'!$D:$D,$A$4,'ON Data'!$E:$E,1),SUMIFS('ON Data'!F:F,'ON Data'!$E:$E,1)/'ON Data'!$D$3),1)</f>
        <v>32.4</v>
      </c>
      <c r="C6" s="208">
        <f xml:space="preserve">
TRUNC(IF($A$4&lt;=12,SUMIFS('ON Data'!Q:Q,'ON Data'!$D:$D,$A$4,'ON Data'!$E:$E,1),SUMIFS('ON Data'!Q:Q,'ON Data'!$E:$E,1)/'ON Data'!$D$3),1)</f>
        <v>10.6</v>
      </c>
      <c r="D6" s="208">
        <f xml:space="preserve">
TRUNC(IF($A$4&lt;=12,SUMIFS('ON Data'!R:R,'ON Data'!$D:$D,$A$4,'ON Data'!$E:$E,1),SUMIFS('ON Data'!R:R,'ON Data'!$E:$E,1)/'ON Data'!$D$3),1)</f>
        <v>4.8</v>
      </c>
      <c r="E6" s="208">
        <f xml:space="preserve">
TRUNC(IF($A$4&lt;=12,SUMIFS('ON Data'!AO:AO,'ON Data'!$D:$D,$A$4,'ON Data'!$E:$E,1),SUMIFS('ON Data'!AO:AO,'ON Data'!$E:$E,1)/'ON Data'!$D$3),1)</f>
        <v>5.0999999999999996</v>
      </c>
      <c r="F6" s="208">
        <f xml:space="preserve">
TRUNC(IF($A$4&lt;=12,SUMIFS('ON Data'!AT:AT,'ON Data'!$D:$D,$A$4,'ON Data'!$E:$E,1),SUMIFS('ON Data'!AT:AT,'ON Data'!$E:$E,1)/'ON Data'!$D$3),1)</f>
        <v>11.7</v>
      </c>
      <c r="G6" s="242"/>
    </row>
    <row r="7" spans="1:7" ht="15" hidden="1" outlineLevel="1" thickBot="1" x14ac:dyDescent="0.35">
      <c r="A7" s="178" t="s">
        <v>62</v>
      </c>
      <c r="B7" s="207"/>
      <c r="C7" s="208"/>
      <c r="D7" s="208"/>
      <c r="E7" s="208"/>
      <c r="F7" s="208"/>
      <c r="G7" s="242"/>
    </row>
    <row r="8" spans="1:7" ht="15" hidden="1" outlineLevel="1" thickBot="1" x14ac:dyDescent="0.35">
      <c r="A8" s="178" t="s">
        <v>57</v>
      </c>
      <c r="B8" s="207"/>
      <c r="C8" s="208"/>
      <c r="D8" s="208"/>
      <c r="E8" s="208"/>
      <c r="F8" s="208"/>
      <c r="G8" s="242"/>
    </row>
    <row r="9" spans="1:7" ht="15" hidden="1" outlineLevel="1" thickBot="1" x14ac:dyDescent="0.35">
      <c r="A9" s="179" t="s">
        <v>52</v>
      </c>
      <c r="B9" s="209"/>
      <c r="C9" s="210"/>
      <c r="D9" s="210"/>
      <c r="E9" s="210"/>
      <c r="F9" s="210"/>
      <c r="G9" s="242"/>
    </row>
    <row r="10" spans="1:7" x14ac:dyDescent="0.3">
      <c r="A10" s="180" t="s">
        <v>110</v>
      </c>
      <c r="B10" s="195"/>
      <c r="C10" s="196"/>
      <c r="D10" s="196"/>
      <c r="E10" s="196"/>
      <c r="F10" s="196"/>
      <c r="G10" s="242"/>
    </row>
    <row r="11" spans="1:7" x14ac:dyDescent="0.3">
      <c r="A11" s="181" t="s">
        <v>111</v>
      </c>
      <c r="B11" s="197">
        <f xml:space="preserve">
IF($A$4&lt;=12,SUMIFS('ON Data'!F:F,'ON Data'!$D:$D,$A$4,'ON Data'!$E:$E,2),SUMIFS('ON Data'!F:F,'ON Data'!$E:$E,2))</f>
        <v>28525.75</v>
      </c>
      <c r="C11" s="198">
        <f xml:space="preserve">
IF($A$4&lt;=12,SUMIFS('ON Data'!Q:Q,'ON Data'!$D:$D,$A$4,'ON Data'!$E:$E,2),SUMIFS('ON Data'!Q:Q,'ON Data'!$E:$E,2))</f>
        <v>9584.5</v>
      </c>
      <c r="D11" s="198">
        <f xml:space="preserve">
IF($A$4&lt;=12,SUMIFS('ON Data'!R:R,'ON Data'!$D:$D,$A$4,'ON Data'!$E:$E,2),SUMIFS('ON Data'!R:R,'ON Data'!$E:$E,2))</f>
        <v>4616.5</v>
      </c>
      <c r="E11" s="198">
        <f xml:space="preserve">
IF($A$4&lt;=12,SUMIFS('ON Data'!AO:AO,'ON Data'!$D:$D,$A$4,'ON Data'!$E:$E,2),SUMIFS('ON Data'!AO:AO,'ON Data'!$E:$E,2))</f>
        <v>4483.5</v>
      </c>
      <c r="F11" s="198">
        <f xml:space="preserve">
IF($A$4&lt;=12,SUMIFS('ON Data'!AT:AT,'ON Data'!$D:$D,$A$4,'ON Data'!$E:$E,2),SUMIFS('ON Data'!AT:AT,'ON Data'!$E:$E,2))</f>
        <v>9841.25</v>
      </c>
      <c r="G11" s="242"/>
    </row>
    <row r="12" spans="1:7" x14ac:dyDescent="0.3">
      <c r="A12" s="181" t="s">
        <v>112</v>
      </c>
      <c r="B12" s="197">
        <f xml:space="preserve">
IF($A$4&lt;=12,SUMIFS('ON Data'!F:F,'ON Data'!$D:$D,$A$4,'ON Data'!$E:$E,3),SUMIFS('ON Data'!F:F,'ON Data'!$E:$E,3))</f>
        <v>0</v>
      </c>
      <c r="C12" s="198">
        <f xml:space="preserve">
IF($A$4&lt;=12,SUMIFS('ON Data'!Q:Q,'ON Data'!$D:$D,$A$4,'ON Data'!$E:$E,3),SUMIFS('ON Data'!Q:Q,'ON Data'!$E:$E,3))</f>
        <v>0</v>
      </c>
      <c r="D12" s="198">
        <f xml:space="preserve">
IF($A$4&lt;=12,SUMIFS('ON Data'!R:R,'ON Data'!$D:$D,$A$4,'ON Data'!$E:$E,3),SUMIFS('ON Data'!R:R,'ON Data'!$E:$E,3))</f>
        <v>0</v>
      </c>
      <c r="E12" s="198">
        <f xml:space="preserve">
IF($A$4&lt;=12,SUMIFS('ON Data'!AO:AO,'ON Data'!$D:$D,$A$4,'ON Data'!$E:$E,3),SUMIFS('ON Data'!AO:AO,'ON Data'!$E:$E,3))</f>
        <v>0</v>
      </c>
      <c r="F12" s="198">
        <f xml:space="preserve">
IF($A$4&lt;=12,SUMIFS('ON Data'!AT:AT,'ON Data'!$D:$D,$A$4,'ON Data'!$E:$E,3),SUMIFS('ON Data'!AT:AT,'ON Data'!$E:$E,3))</f>
        <v>0</v>
      </c>
      <c r="G12" s="242"/>
    </row>
    <row r="13" spans="1:7" x14ac:dyDescent="0.3">
      <c r="A13" s="181" t="s">
        <v>119</v>
      </c>
      <c r="B13" s="197">
        <f xml:space="preserve">
IF($A$4&lt;=12,SUMIFS('ON Data'!F:F,'ON Data'!$D:$D,$A$4,'ON Data'!$E:$E,4),SUMIFS('ON Data'!F:F,'ON Data'!$E:$E,4))</f>
        <v>0</v>
      </c>
      <c r="C13" s="198">
        <f xml:space="preserve">
IF($A$4&lt;=12,SUMIFS('ON Data'!Q:Q,'ON Data'!$D:$D,$A$4,'ON Data'!$E:$E,4),SUMIFS('ON Data'!Q:Q,'ON Data'!$E:$E,4))</f>
        <v>0</v>
      </c>
      <c r="D13" s="198">
        <f xml:space="preserve">
IF($A$4&lt;=12,SUMIFS('ON Data'!R:R,'ON Data'!$D:$D,$A$4,'ON Data'!$E:$E,4),SUMIFS('ON Data'!R:R,'ON Data'!$E:$E,4))</f>
        <v>0</v>
      </c>
      <c r="E13" s="198">
        <f xml:space="preserve">
IF($A$4&lt;=12,SUMIFS('ON Data'!AO:AO,'ON Data'!$D:$D,$A$4,'ON Data'!$E:$E,4),SUMIFS('ON Data'!AO:AO,'ON Data'!$E:$E,4))</f>
        <v>0</v>
      </c>
      <c r="F13" s="198">
        <f xml:space="preserve">
IF($A$4&lt;=12,SUMIFS('ON Data'!AT:AT,'ON Data'!$D:$D,$A$4,'ON Data'!$E:$E,4),SUMIFS('ON Data'!AT:AT,'ON Data'!$E:$E,4))</f>
        <v>0</v>
      </c>
      <c r="G13" s="242"/>
    </row>
    <row r="14" spans="1:7" ht="15" thickBot="1" x14ac:dyDescent="0.35">
      <c r="A14" s="182" t="s">
        <v>113</v>
      </c>
      <c r="B14" s="199">
        <f xml:space="preserve">
IF($A$4&lt;=12,SUMIFS('ON Data'!F:F,'ON Data'!$D:$D,$A$4,'ON Data'!$E:$E,5),SUMIFS('ON Data'!F:F,'ON Data'!$E:$E,5))</f>
        <v>0</v>
      </c>
      <c r="C14" s="200">
        <f xml:space="preserve">
IF($A$4&lt;=12,SUMIFS('ON Data'!Q:Q,'ON Data'!$D:$D,$A$4,'ON Data'!$E:$E,5),SUMIFS('ON Data'!Q:Q,'ON Data'!$E:$E,5))</f>
        <v>0</v>
      </c>
      <c r="D14" s="200">
        <f xml:space="preserve">
IF($A$4&lt;=12,SUMIFS('ON Data'!R:R,'ON Data'!$D:$D,$A$4,'ON Data'!$E:$E,5),SUMIFS('ON Data'!R:R,'ON Data'!$E:$E,5))</f>
        <v>0</v>
      </c>
      <c r="E14" s="200">
        <f xml:space="preserve">
IF($A$4&lt;=12,SUMIFS('ON Data'!AO:AO,'ON Data'!$D:$D,$A$4,'ON Data'!$E:$E,5),SUMIFS('ON Data'!AO:AO,'ON Data'!$E:$E,5))</f>
        <v>0</v>
      </c>
      <c r="F14" s="200">
        <f xml:space="preserve">
IF($A$4&lt;=12,SUMIFS('ON Data'!AT:AT,'ON Data'!$D:$D,$A$4,'ON Data'!$E:$E,5),SUMIFS('ON Data'!AT:AT,'ON Data'!$E:$E,5))</f>
        <v>0</v>
      </c>
      <c r="G14" s="242"/>
    </row>
    <row r="15" spans="1:7" x14ac:dyDescent="0.3">
      <c r="A15" s="125" t="s">
        <v>123</v>
      </c>
      <c r="B15" s="201"/>
      <c r="C15" s="202"/>
      <c r="D15" s="202"/>
      <c r="E15" s="202"/>
      <c r="F15" s="202"/>
      <c r="G15" s="242"/>
    </row>
    <row r="16" spans="1:7" x14ac:dyDescent="0.3">
      <c r="A16" s="183" t="s">
        <v>114</v>
      </c>
      <c r="B16" s="197">
        <f xml:space="preserve">
IF($A$4&lt;=12,SUMIFS('ON Data'!F:F,'ON Data'!$D:$D,$A$4,'ON Data'!$E:$E,7),SUMIFS('ON Data'!F:F,'ON Data'!$E:$E,7))</f>
        <v>0</v>
      </c>
      <c r="C16" s="198">
        <f xml:space="preserve">
IF($A$4&lt;=12,SUMIFS('ON Data'!Q:Q,'ON Data'!$D:$D,$A$4,'ON Data'!$E:$E,7),SUMIFS('ON Data'!Q:Q,'ON Data'!$E:$E,7))</f>
        <v>0</v>
      </c>
      <c r="D16" s="198">
        <f xml:space="preserve">
IF($A$4&lt;=12,SUMIFS('ON Data'!R:R,'ON Data'!$D:$D,$A$4,'ON Data'!$E:$E,7),SUMIFS('ON Data'!R:R,'ON Data'!$E:$E,7))</f>
        <v>0</v>
      </c>
      <c r="E16" s="198">
        <f xml:space="preserve">
IF($A$4&lt;=12,SUMIFS('ON Data'!AO:AO,'ON Data'!$D:$D,$A$4,'ON Data'!$E:$E,7),SUMIFS('ON Data'!AO:AO,'ON Data'!$E:$E,7))</f>
        <v>0</v>
      </c>
      <c r="F16" s="198">
        <f xml:space="preserve">
IF($A$4&lt;=12,SUMIFS('ON Data'!AT:AT,'ON Data'!$D:$D,$A$4,'ON Data'!$E:$E,7),SUMIFS('ON Data'!AT:AT,'ON Data'!$E:$E,7))</f>
        <v>0</v>
      </c>
      <c r="G16" s="242"/>
    </row>
    <row r="17" spans="1:46" x14ac:dyDescent="0.3">
      <c r="A17" s="183" t="s">
        <v>115</v>
      </c>
      <c r="B17" s="197">
        <f xml:space="preserve">
IF($A$4&lt;=12,SUMIFS('ON Data'!F:F,'ON Data'!$D:$D,$A$4,'ON Data'!$E:$E,8),SUMIFS('ON Data'!F:F,'ON Data'!$E:$E,8))</f>
        <v>0</v>
      </c>
      <c r="C17" s="198">
        <f xml:space="preserve">
IF($A$4&lt;=12,SUMIFS('ON Data'!Q:Q,'ON Data'!$D:$D,$A$4,'ON Data'!$E:$E,8),SUMIFS('ON Data'!Q:Q,'ON Data'!$E:$E,8))</f>
        <v>0</v>
      </c>
      <c r="D17" s="198">
        <f xml:space="preserve">
IF($A$4&lt;=12,SUMIFS('ON Data'!R:R,'ON Data'!$D:$D,$A$4,'ON Data'!$E:$E,8),SUMIFS('ON Data'!R:R,'ON Data'!$E:$E,8))</f>
        <v>0</v>
      </c>
      <c r="E17" s="198">
        <f xml:space="preserve">
IF($A$4&lt;=12,SUMIFS('ON Data'!AO:AO,'ON Data'!$D:$D,$A$4,'ON Data'!$E:$E,8),SUMIFS('ON Data'!AO:AO,'ON Data'!$E:$E,8))</f>
        <v>0</v>
      </c>
      <c r="F17" s="198">
        <f xml:space="preserve">
IF($A$4&lt;=12,SUMIFS('ON Data'!AT:AT,'ON Data'!$D:$D,$A$4,'ON Data'!$E:$E,8),SUMIFS('ON Data'!AT:AT,'ON Data'!$E:$E,8))</f>
        <v>0</v>
      </c>
      <c r="G17" s="242"/>
    </row>
    <row r="18" spans="1:46" x14ac:dyDescent="0.3">
      <c r="A18" s="183" t="s">
        <v>116</v>
      </c>
      <c r="B18" s="197">
        <f xml:space="preserve">
B19-B16-B17</f>
        <v>55720</v>
      </c>
      <c r="C18" s="198">
        <f t="shared" ref="C18:F18" si="0" xml:space="preserve">
C19-C16-C17</f>
        <v>5100</v>
      </c>
      <c r="D18" s="198">
        <f t="shared" si="0"/>
        <v>30000</v>
      </c>
      <c r="E18" s="198">
        <f t="shared" si="0"/>
        <v>4544</v>
      </c>
      <c r="F18" s="198">
        <f t="shared" si="0"/>
        <v>16076</v>
      </c>
      <c r="G18" s="242"/>
    </row>
    <row r="19" spans="1:46" ht="15" thickBot="1" x14ac:dyDescent="0.35">
      <c r="A19" s="184" t="s">
        <v>117</v>
      </c>
      <c r="B19" s="203">
        <f xml:space="preserve">
IF($A$4&lt;=12,SUMIFS('ON Data'!F:F,'ON Data'!$D:$D,$A$4,'ON Data'!$E:$E,9),SUMIFS('ON Data'!F:F,'ON Data'!$E:$E,9))</f>
        <v>55720</v>
      </c>
      <c r="C19" s="204">
        <f xml:space="preserve">
IF($A$4&lt;=12,SUMIFS('ON Data'!Q:Q,'ON Data'!$D:$D,$A$4,'ON Data'!$E:$E,9),SUMIFS('ON Data'!Q:Q,'ON Data'!$E:$E,9))</f>
        <v>5100</v>
      </c>
      <c r="D19" s="204">
        <f xml:space="preserve">
IF($A$4&lt;=12,SUMIFS('ON Data'!R:R,'ON Data'!$D:$D,$A$4,'ON Data'!$E:$E,9),SUMIFS('ON Data'!R:R,'ON Data'!$E:$E,9))</f>
        <v>30000</v>
      </c>
      <c r="E19" s="204">
        <f xml:space="preserve">
IF($A$4&lt;=12,SUMIFS('ON Data'!AO:AO,'ON Data'!$D:$D,$A$4,'ON Data'!$E:$E,9),SUMIFS('ON Data'!AO:AO,'ON Data'!$E:$E,9))</f>
        <v>4544</v>
      </c>
      <c r="F19" s="204">
        <f xml:space="preserve">
IF($A$4&lt;=12,SUMIFS('ON Data'!AT:AT,'ON Data'!$D:$D,$A$4,'ON Data'!$E:$E,9),SUMIFS('ON Data'!AT:AT,'ON Data'!$E:$E,9))</f>
        <v>16076</v>
      </c>
      <c r="G19" s="242"/>
    </row>
    <row r="20" spans="1:46" ht="15" collapsed="1" thickBot="1" x14ac:dyDescent="0.35">
      <c r="A20" s="185" t="s">
        <v>55</v>
      </c>
      <c r="B20" s="265">
        <f xml:space="preserve">
IF($A$4&lt;=12,SUMIFS('ON Data'!F:F,'ON Data'!$D:$D,$A$4,'ON Data'!$E:$E,6),SUMIFS('ON Data'!F:F,'ON Data'!$E:$E,6))</f>
        <v>5113043</v>
      </c>
      <c r="C20" s="266">
        <f xml:space="preserve">
IF($A$4&lt;=12,SUMIFS('ON Data'!Q:Q,'ON Data'!$D:$D,$A$4,'ON Data'!$E:$E,6),SUMIFS('ON Data'!Q:Q,'ON Data'!$E:$E,6))</f>
        <v>1974661</v>
      </c>
      <c r="D20" s="266">
        <f xml:space="preserve">
IF($A$4&lt;=12,SUMIFS('ON Data'!R:R,'ON Data'!$D:$D,$A$4,'ON Data'!$E:$E,6),SUMIFS('ON Data'!R:R,'ON Data'!$E:$E,6))</f>
        <v>1190414</v>
      </c>
      <c r="E20" s="266">
        <f xml:space="preserve">
IF($A$4&lt;=12,SUMIFS('ON Data'!AO:AO,'ON Data'!$D:$D,$A$4,'ON Data'!$E:$E,6),SUMIFS('ON Data'!AO:AO,'ON Data'!$E:$E,6))</f>
        <v>695978</v>
      </c>
      <c r="F20" s="266">
        <f xml:space="preserve">
IF($A$4&lt;=12,SUMIFS('ON Data'!AT:AT,'ON Data'!$D:$D,$A$4,'ON Data'!$E:$E,6),SUMIFS('ON Data'!AT:AT,'ON Data'!$E:$E,6))</f>
        <v>1251990</v>
      </c>
      <c r="G20" s="242"/>
    </row>
    <row r="21" spans="1:46" ht="15" hidden="1" outlineLevel="1" thickBot="1" x14ac:dyDescent="0.35">
      <c r="A21" s="178" t="s">
        <v>62</v>
      </c>
      <c r="B21" s="259">
        <f xml:space="preserve">
IF($A$4&lt;=12,SUMIFS('ON Data'!F:F,'ON Data'!$D:$D,$A$4,'ON Data'!$E:$E,12),SUMIFS('ON Data'!F:F,'ON Data'!$E:$E,12))</f>
        <v>0</v>
      </c>
      <c r="C21" s="245">
        <f xml:space="preserve">
IF($A$4&lt;=12,SUMIFS('ON Data'!Q:Q,'ON Data'!$D:$D,$A$4,'ON Data'!$E:$E,12),SUMIFS('ON Data'!Q:Q,'ON Data'!$E:$E,12))</f>
        <v>0</v>
      </c>
      <c r="D21" s="245">
        <f xml:space="preserve">
IF($A$4&lt;=12,SUMIFS('ON Data'!R:R,'ON Data'!$D:$D,$A$4,'ON Data'!$E:$E,12),SUMIFS('ON Data'!R:R,'ON Data'!$E:$E,12))</f>
        <v>0</v>
      </c>
      <c r="E21" s="245">
        <f xml:space="preserve">
IF($A$4&lt;=12,SUMIFS('ON Data'!AO:AO,'ON Data'!$D:$D,$A$4,'ON Data'!$E:$E,12),SUMIFS('ON Data'!AO:AO,'ON Data'!$E:$E,12))</f>
        <v>0</v>
      </c>
      <c r="F21" s="245"/>
      <c r="G21" s="242"/>
    </row>
    <row r="22" spans="1:46" ht="15" hidden="1" outlineLevel="1" thickBot="1" x14ac:dyDescent="0.35">
      <c r="A22" s="178" t="s">
        <v>57</v>
      </c>
      <c r="B22" s="260" t="str">
        <f xml:space="preserve">
IF(OR(B21="",B21=0),"",B20/B21)</f>
        <v/>
      </c>
      <c r="C22" s="238" t="str">
        <f t="shared" ref="C22:E22" si="1" xml:space="preserve">
IF(OR(C21="",C21=0),"",C20/C21)</f>
        <v/>
      </c>
      <c r="D22" s="238" t="str">
        <f t="shared" si="1"/>
        <v/>
      </c>
      <c r="E22" s="238" t="str">
        <f t="shared" si="1"/>
        <v/>
      </c>
      <c r="F22" s="238"/>
      <c r="G22" s="242"/>
    </row>
    <row r="23" spans="1:46" ht="15" hidden="1" outlineLevel="1" thickBot="1" x14ac:dyDescent="0.35">
      <c r="A23" s="186" t="s">
        <v>52</v>
      </c>
      <c r="B23" s="261">
        <f xml:space="preserve">
IF(B21="","",B20-B21)</f>
        <v>5113043</v>
      </c>
      <c r="C23" s="200">
        <f t="shared" ref="C23:E23" si="2" xml:space="preserve">
IF(C21="","",C20-C21)</f>
        <v>1974661</v>
      </c>
      <c r="D23" s="200">
        <f t="shared" si="2"/>
        <v>1190414</v>
      </c>
      <c r="E23" s="200">
        <f t="shared" si="2"/>
        <v>695978</v>
      </c>
      <c r="F23" s="200"/>
      <c r="G23" s="242"/>
    </row>
    <row r="24" spans="1:46" x14ac:dyDescent="0.3">
      <c r="A24" s="180" t="s">
        <v>118</v>
      </c>
      <c r="B24" s="215" t="s">
        <v>2</v>
      </c>
      <c r="C24" s="256" t="s">
        <v>175</v>
      </c>
      <c r="D24" s="257" t="s">
        <v>176</v>
      </c>
      <c r="E24" s="257" t="s">
        <v>177</v>
      </c>
      <c r="F24" s="258" t="s">
        <v>128</v>
      </c>
      <c r="AT24" s="242"/>
    </row>
    <row r="25" spans="1:46" x14ac:dyDescent="0.3">
      <c r="A25" s="181" t="s">
        <v>55</v>
      </c>
      <c r="B25" s="197">
        <f xml:space="preserve">
SUM(C25:F25)</f>
        <v>0</v>
      </c>
      <c r="C25" s="247">
        <f xml:space="preserve">
IF($A$4&lt;=12,SUMIFS('ON Data'!$G:$G,'ON Data'!$D:$D,$A$4,'ON Data'!$E:$E,10),SUMIFS('ON Data'!$G:$G,'ON Data'!$E:$E,10))</f>
        <v>0</v>
      </c>
      <c r="D25" s="248">
        <f xml:space="preserve">
IF($A$4&lt;=12,SUMIFS('ON Data'!$J:$J,'ON Data'!$D:$D,$A$4,'ON Data'!$E:$E,10),SUMIFS('ON Data'!$J:$J,'ON Data'!$E:$E,10))</f>
        <v>0</v>
      </c>
      <c r="E25" s="248">
        <f xml:space="preserve">
IF($A$4&lt;=12,SUMIFS('ON Data'!$H:$H,'ON Data'!$D:$D,$A$4,'ON Data'!$E:$E,10),SUMIFS('ON Data'!$H:$H,'ON Data'!$E:$E,10))</f>
        <v>0</v>
      </c>
      <c r="F25" s="249">
        <f xml:space="preserve">
IF($A$4&lt;=12,SUMIFS('ON Data'!$I:$I,'ON Data'!$D:$D,$A$4,'ON Data'!$E:$E,10),SUMIFS('ON Data'!$I:$I,'ON Data'!$E:$E,10))</f>
        <v>0</v>
      </c>
    </row>
    <row r="26" spans="1:46" x14ac:dyDescent="0.3">
      <c r="A26" s="187" t="s">
        <v>127</v>
      </c>
      <c r="B26" s="203">
        <f xml:space="preserve">
SUM(C26:F26)</f>
        <v>0</v>
      </c>
      <c r="C26" s="247">
        <f xml:space="preserve">
IF($A$4&lt;=12,SUMIFS('ON Data'!$G:$G,'ON Data'!$D:$D,$A$4,'ON Data'!$E:$E,11),SUMIFS('ON Data'!$G:$G,'ON Data'!$E:$E,11))</f>
        <v>0</v>
      </c>
      <c r="D26" s="248">
        <f xml:space="preserve">
IF($A$4&lt;=12,SUMIFS('ON Data'!$J:$J,'ON Data'!$D:$D,$A$4,'ON Data'!$E:$E,11),SUMIFS('ON Data'!$J:$J,'ON Data'!$E:$E,11))</f>
        <v>0</v>
      </c>
      <c r="E26" s="248">
        <f xml:space="preserve">
IF($A$4&lt;=12,SUMIFS('ON Data'!$H:$H,'ON Data'!$D:$D,$A$4,'ON Data'!$E:$E,11),SUMIFS('ON Data'!$H:$H,'ON Data'!$E:$E,11))</f>
        <v>0</v>
      </c>
      <c r="F26" s="249">
        <f xml:space="preserve">
IF($A$4&lt;=12,SUMIFS('ON Data'!$I:$I,'ON Data'!$D:$D,$A$4,'ON Data'!$E:$E,11),SUMIFS('ON Data'!$I:$I,'ON Data'!$E:$E,11))</f>
        <v>0</v>
      </c>
    </row>
    <row r="27" spans="1:46" x14ac:dyDescent="0.3">
      <c r="A27" s="187" t="s">
        <v>57</v>
      </c>
      <c r="B27" s="216">
        <f xml:space="preserve">
IF(B26=0,0,B25/B26)</f>
        <v>0</v>
      </c>
      <c r="C27" s="250">
        <f xml:space="preserve">
IF(C26=0,0,C25/C26)</f>
        <v>0</v>
      </c>
      <c r="D27" s="251">
        <f t="shared" ref="D27:E27" si="3" xml:space="preserve">
IF(D26=0,0,D25/D26)</f>
        <v>0</v>
      </c>
      <c r="E27" s="251">
        <f t="shared" si="3"/>
        <v>0</v>
      </c>
      <c r="F27" s="252">
        <f xml:space="preserve">
IF(F26=0,0,F25/F26)</f>
        <v>0</v>
      </c>
    </row>
    <row r="28" spans="1:46" ht="15" thickBot="1" x14ac:dyDescent="0.35">
      <c r="A28" s="187" t="s">
        <v>126</v>
      </c>
      <c r="B28" s="203">
        <f xml:space="preserve">
SUM(C28:F28)</f>
        <v>0</v>
      </c>
      <c r="C28" s="253">
        <f xml:space="preserve">
C26-C25</f>
        <v>0</v>
      </c>
      <c r="D28" s="254">
        <f t="shared" ref="D28:E28" si="4" xml:space="preserve">
D26-D25</f>
        <v>0</v>
      </c>
      <c r="E28" s="254">
        <f t="shared" si="4"/>
        <v>0</v>
      </c>
      <c r="F28" s="255">
        <f xml:space="preserve">
F26-F25</f>
        <v>0</v>
      </c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</row>
    <row r="29" spans="1:46" x14ac:dyDescent="0.3">
      <c r="A29" s="188"/>
      <c r="B29" s="188"/>
      <c r="C29" s="189"/>
      <c r="D29" s="188"/>
      <c r="E29" s="188"/>
      <c r="F29" s="188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117"/>
      <c r="AJ29" s="117"/>
      <c r="AK29" s="117"/>
      <c r="AL29" s="117"/>
      <c r="AM29" s="117"/>
    </row>
    <row r="30" spans="1:46" x14ac:dyDescent="0.3">
      <c r="A30" s="79" t="s">
        <v>90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113"/>
      <c r="AL30" s="113"/>
      <c r="AM30" s="113"/>
    </row>
    <row r="31" spans="1:46" x14ac:dyDescent="0.3">
      <c r="A31" s="80" t="s">
        <v>125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113"/>
      <c r="AL31" s="113"/>
      <c r="AM31" s="113"/>
    </row>
    <row r="32" spans="1:46" ht="14.4" customHeight="1" x14ac:dyDescent="0.3">
      <c r="A32" s="212" t="s">
        <v>122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</row>
    <row r="33" spans="1:1" x14ac:dyDescent="0.3">
      <c r="A33" s="214" t="s">
        <v>171</v>
      </c>
    </row>
    <row r="34" spans="1:1" x14ac:dyDescent="0.3">
      <c r="A34" s="214" t="s">
        <v>172</v>
      </c>
    </row>
    <row r="35" spans="1:1" x14ac:dyDescent="0.3">
      <c r="A35" s="214" t="s">
        <v>173</v>
      </c>
    </row>
    <row r="36" spans="1:1" x14ac:dyDescent="0.3">
      <c r="A36" s="214" t="s">
        <v>174</v>
      </c>
    </row>
    <row r="37" spans="1:1" x14ac:dyDescent="0.3">
      <c r="A37" s="214" t="s">
        <v>129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F22">
    <cfRule type="cellIs" dxfId="7" priority="15" operator="greaterThan">
      <formula>1</formula>
    </cfRule>
  </conditionalFormatting>
  <conditionalFormatting sqref="B23:F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7"/>
  <sheetViews>
    <sheetView showGridLine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332</v>
      </c>
    </row>
    <row r="2" spans="1:49" x14ac:dyDescent="0.3">
      <c r="A2" s="173" t="s">
        <v>178</v>
      </c>
    </row>
    <row r="3" spans="1:49" x14ac:dyDescent="0.3">
      <c r="A3" s="169" t="s">
        <v>95</v>
      </c>
      <c r="B3" s="192">
        <v>2017</v>
      </c>
      <c r="D3" s="170">
        <f>MAX(D5:D1048576)</f>
        <v>6</v>
      </c>
      <c r="F3" s="170">
        <f>SUMIF($E5:$E1048576,"&lt;10",F5:F1048576)</f>
        <v>5197483.5</v>
      </c>
      <c r="G3" s="170">
        <f t="shared" ref="G3:AW3" si="0">SUMIF($E5:$E1048576,"&lt;10",G5:G1048576)</f>
        <v>0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0</v>
      </c>
      <c r="Q3" s="170">
        <f t="shared" si="0"/>
        <v>1989409.5</v>
      </c>
      <c r="R3" s="170">
        <f t="shared" si="0"/>
        <v>1225059.5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705036.5</v>
      </c>
      <c r="AP3" s="170">
        <f t="shared" si="0"/>
        <v>0</v>
      </c>
      <c r="AQ3" s="170">
        <f t="shared" si="0"/>
        <v>0</v>
      </c>
      <c r="AR3" s="170">
        <f t="shared" si="0"/>
        <v>0</v>
      </c>
      <c r="AS3" s="170">
        <f t="shared" si="0"/>
        <v>0</v>
      </c>
      <c r="AT3" s="170">
        <f t="shared" si="0"/>
        <v>1277978</v>
      </c>
      <c r="AU3" s="170">
        <f t="shared" si="0"/>
        <v>0</v>
      </c>
      <c r="AV3" s="170">
        <f t="shared" si="0"/>
        <v>0</v>
      </c>
      <c r="AW3" s="170">
        <f t="shared" si="0"/>
        <v>0</v>
      </c>
    </row>
    <row r="4" spans="1:49" x14ac:dyDescent="0.3">
      <c r="A4" s="169" t="s">
        <v>96</v>
      </c>
      <c r="B4" s="192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30</v>
      </c>
      <c r="J4" s="172">
        <v>99</v>
      </c>
      <c r="K4" s="172">
        <v>100</v>
      </c>
      <c r="L4" s="172">
        <v>101</v>
      </c>
      <c r="M4" s="172">
        <v>102</v>
      </c>
      <c r="N4" s="172">
        <v>103</v>
      </c>
      <c r="O4" s="172">
        <v>203</v>
      </c>
      <c r="P4" s="172">
        <v>302</v>
      </c>
      <c r="Q4" s="172">
        <v>303</v>
      </c>
      <c r="R4" s="172">
        <v>304</v>
      </c>
      <c r="S4" s="172">
        <v>305</v>
      </c>
      <c r="T4" s="172">
        <v>306</v>
      </c>
      <c r="U4" s="172">
        <v>407</v>
      </c>
      <c r="V4" s="172">
        <v>408</v>
      </c>
      <c r="W4" s="172">
        <v>409</v>
      </c>
      <c r="X4" s="172">
        <v>410</v>
      </c>
      <c r="Y4" s="172">
        <v>415</v>
      </c>
      <c r="Z4" s="172">
        <v>416</v>
      </c>
      <c r="AA4" s="172">
        <v>418</v>
      </c>
      <c r="AB4" s="172">
        <v>419</v>
      </c>
      <c r="AC4" s="172">
        <v>420</v>
      </c>
      <c r="AD4" s="172">
        <v>421</v>
      </c>
      <c r="AE4" s="172">
        <v>422</v>
      </c>
      <c r="AF4" s="172">
        <v>520</v>
      </c>
      <c r="AG4" s="172">
        <v>521</v>
      </c>
      <c r="AH4" s="172">
        <v>522</v>
      </c>
      <c r="AI4" s="172">
        <v>523</v>
      </c>
      <c r="AJ4" s="172">
        <v>524</v>
      </c>
      <c r="AK4" s="172">
        <v>525</v>
      </c>
      <c r="AL4" s="172">
        <v>526</v>
      </c>
      <c r="AM4" s="172">
        <v>527</v>
      </c>
      <c r="AN4" s="172">
        <v>528</v>
      </c>
      <c r="AO4" s="172">
        <v>629</v>
      </c>
      <c r="AP4" s="172">
        <v>630</v>
      </c>
      <c r="AQ4" s="172">
        <v>636</v>
      </c>
      <c r="AR4" s="172">
        <v>637</v>
      </c>
      <c r="AS4" s="172">
        <v>640</v>
      </c>
      <c r="AT4" s="172">
        <v>642</v>
      </c>
      <c r="AU4" s="172">
        <v>743</v>
      </c>
      <c r="AV4" s="172">
        <v>745</v>
      </c>
      <c r="AW4" s="172">
        <v>746</v>
      </c>
    </row>
    <row r="5" spans="1:49" x14ac:dyDescent="0.3">
      <c r="A5" s="169" t="s">
        <v>97</v>
      </c>
      <c r="B5" s="192">
        <v>2</v>
      </c>
      <c r="C5" s="169">
        <v>56</v>
      </c>
      <c r="D5" s="169">
        <v>1</v>
      </c>
      <c r="E5" s="169">
        <v>1</v>
      </c>
      <c r="F5" s="169">
        <v>32.75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  <c r="O5" s="169">
        <v>0</v>
      </c>
      <c r="P5" s="169">
        <v>0</v>
      </c>
      <c r="Q5" s="169">
        <v>10.75</v>
      </c>
      <c r="R5" s="169">
        <v>5</v>
      </c>
      <c r="S5" s="169">
        <v>0</v>
      </c>
      <c r="T5" s="169">
        <v>0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5</v>
      </c>
      <c r="AP5" s="169">
        <v>0</v>
      </c>
      <c r="AQ5" s="169">
        <v>0</v>
      </c>
      <c r="AR5" s="169">
        <v>0</v>
      </c>
      <c r="AS5" s="169">
        <v>0</v>
      </c>
      <c r="AT5" s="169">
        <v>12</v>
      </c>
      <c r="AU5" s="169">
        <v>0</v>
      </c>
      <c r="AV5" s="169">
        <v>0</v>
      </c>
      <c r="AW5" s="169">
        <v>0</v>
      </c>
    </row>
    <row r="6" spans="1:49" x14ac:dyDescent="0.3">
      <c r="A6" s="169" t="s">
        <v>98</v>
      </c>
      <c r="B6" s="192">
        <v>3</v>
      </c>
      <c r="C6" s="169">
        <v>56</v>
      </c>
      <c r="D6" s="169">
        <v>1</v>
      </c>
      <c r="E6" s="169">
        <v>2</v>
      </c>
      <c r="F6" s="169">
        <v>5175.5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  <c r="O6" s="169">
        <v>0</v>
      </c>
      <c r="P6" s="169">
        <v>0</v>
      </c>
      <c r="Q6" s="169">
        <v>1733.5</v>
      </c>
      <c r="R6" s="169">
        <v>841</v>
      </c>
      <c r="S6" s="169">
        <v>0</v>
      </c>
      <c r="T6" s="169">
        <v>0</v>
      </c>
      <c r="U6" s="169">
        <v>0</v>
      </c>
      <c r="V6" s="169">
        <v>0</v>
      </c>
      <c r="W6" s="169">
        <v>0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787.5</v>
      </c>
      <c r="AP6" s="169">
        <v>0</v>
      </c>
      <c r="AQ6" s="169">
        <v>0</v>
      </c>
      <c r="AR6" s="169">
        <v>0</v>
      </c>
      <c r="AS6" s="169">
        <v>0</v>
      </c>
      <c r="AT6" s="169">
        <v>1813.5</v>
      </c>
      <c r="AU6" s="169">
        <v>0</v>
      </c>
      <c r="AV6" s="169">
        <v>0</v>
      </c>
      <c r="AW6" s="169">
        <v>0</v>
      </c>
    </row>
    <row r="7" spans="1:49" x14ac:dyDescent="0.3">
      <c r="A7" s="169" t="s">
        <v>99</v>
      </c>
      <c r="B7" s="192">
        <v>4</v>
      </c>
      <c r="C7" s="169">
        <v>56</v>
      </c>
      <c r="D7" s="169">
        <v>1</v>
      </c>
      <c r="E7" s="169">
        <v>6</v>
      </c>
      <c r="F7" s="169">
        <v>863324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69">
        <v>331776</v>
      </c>
      <c r="R7" s="169">
        <v>197955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107536</v>
      </c>
      <c r="AP7" s="169">
        <v>0</v>
      </c>
      <c r="AQ7" s="169">
        <v>0</v>
      </c>
      <c r="AR7" s="169">
        <v>0</v>
      </c>
      <c r="AS7" s="169">
        <v>0</v>
      </c>
      <c r="AT7" s="169">
        <v>226057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2">
        <v>5</v>
      </c>
      <c r="C8" s="169">
        <v>56</v>
      </c>
      <c r="D8" s="169">
        <v>1</v>
      </c>
      <c r="E8" s="169">
        <v>9</v>
      </c>
      <c r="F8" s="169">
        <v>6144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6144</v>
      </c>
      <c r="AU8" s="169">
        <v>0</v>
      </c>
      <c r="AV8" s="169">
        <v>0</v>
      </c>
      <c r="AW8" s="169">
        <v>0</v>
      </c>
    </row>
    <row r="9" spans="1:49" x14ac:dyDescent="0.3">
      <c r="A9" s="169" t="s">
        <v>101</v>
      </c>
      <c r="B9" s="192">
        <v>6</v>
      </c>
      <c r="C9" s="169">
        <v>56</v>
      </c>
      <c r="D9" s="169">
        <v>2</v>
      </c>
      <c r="E9" s="169">
        <v>1</v>
      </c>
      <c r="F9" s="169">
        <v>32.5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10.75</v>
      </c>
      <c r="R9" s="169">
        <v>5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5</v>
      </c>
      <c r="AP9" s="169">
        <v>0</v>
      </c>
      <c r="AQ9" s="169">
        <v>0</v>
      </c>
      <c r="AR9" s="169">
        <v>0</v>
      </c>
      <c r="AS9" s="169">
        <v>0</v>
      </c>
      <c r="AT9" s="169">
        <v>11.75</v>
      </c>
      <c r="AU9" s="169">
        <v>0</v>
      </c>
      <c r="AV9" s="169">
        <v>0</v>
      </c>
      <c r="AW9" s="169">
        <v>0</v>
      </c>
    </row>
    <row r="10" spans="1:49" x14ac:dyDescent="0.3">
      <c r="A10" s="169" t="s">
        <v>102</v>
      </c>
      <c r="B10" s="192">
        <v>7</v>
      </c>
      <c r="C10" s="169">
        <v>56</v>
      </c>
      <c r="D10" s="169">
        <v>2</v>
      </c>
      <c r="E10" s="169">
        <v>2</v>
      </c>
      <c r="F10" s="169">
        <v>4514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1594.5</v>
      </c>
      <c r="R10" s="169">
        <v>765.75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632.75</v>
      </c>
      <c r="AP10" s="169">
        <v>0</v>
      </c>
      <c r="AQ10" s="169">
        <v>0</v>
      </c>
      <c r="AR10" s="169">
        <v>0</v>
      </c>
      <c r="AS10" s="169">
        <v>0</v>
      </c>
      <c r="AT10" s="169">
        <v>1521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2">
        <v>8</v>
      </c>
      <c r="C11" s="169">
        <v>56</v>
      </c>
      <c r="D11" s="169">
        <v>2</v>
      </c>
      <c r="E11" s="169">
        <v>6</v>
      </c>
      <c r="F11" s="169">
        <v>831041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69">
        <v>329874</v>
      </c>
      <c r="R11" s="169">
        <v>198378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104158</v>
      </c>
      <c r="AP11" s="169">
        <v>0</v>
      </c>
      <c r="AQ11" s="169">
        <v>0</v>
      </c>
      <c r="AR11" s="169">
        <v>0</v>
      </c>
      <c r="AS11" s="169">
        <v>0</v>
      </c>
      <c r="AT11" s="169">
        <v>198631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2">
        <v>9</v>
      </c>
      <c r="C12" s="169">
        <v>56</v>
      </c>
      <c r="D12" s="169">
        <v>2</v>
      </c>
      <c r="E12" s="169">
        <v>9</v>
      </c>
      <c r="F12" s="169">
        <v>6144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3100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1544</v>
      </c>
      <c r="AP12" s="169">
        <v>0</v>
      </c>
      <c r="AQ12" s="169">
        <v>0</v>
      </c>
      <c r="AR12" s="169">
        <v>0</v>
      </c>
      <c r="AS12" s="169">
        <v>0</v>
      </c>
      <c r="AT12" s="169">
        <v>1500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2">
        <v>10</v>
      </c>
      <c r="C13" s="169">
        <v>56</v>
      </c>
      <c r="D13" s="169">
        <v>3</v>
      </c>
      <c r="E13" s="169">
        <v>1</v>
      </c>
      <c r="F13" s="169">
        <v>32.5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10.75</v>
      </c>
      <c r="R13" s="169">
        <v>5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5</v>
      </c>
      <c r="AP13" s="169">
        <v>0</v>
      </c>
      <c r="AQ13" s="169">
        <v>0</v>
      </c>
      <c r="AR13" s="169">
        <v>0</v>
      </c>
      <c r="AS13" s="169">
        <v>0</v>
      </c>
      <c r="AT13" s="169">
        <v>11.75</v>
      </c>
      <c r="AU13" s="169">
        <v>0</v>
      </c>
      <c r="AV13" s="169">
        <v>0</v>
      </c>
      <c r="AW13" s="169">
        <v>0</v>
      </c>
    </row>
    <row r="14" spans="1:49" x14ac:dyDescent="0.3">
      <c r="A14" s="169" t="s">
        <v>106</v>
      </c>
      <c r="B14" s="192">
        <v>11</v>
      </c>
      <c r="C14" s="169">
        <v>56</v>
      </c>
      <c r="D14" s="169">
        <v>3</v>
      </c>
      <c r="E14" s="169">
        <v>2</v>
      </c>
      <c r="F14" s="169">
        <v>5038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69">
        <v>1704</v>
      </c>
      <c r="R14" s="169">
        <v>839.5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841</v>
      </c>
      <c r="AP14" s="169">
        <v>0</v>
      </c>
      <c r="AQ14" s="169">
        <v>0</v>
      </c>
      <c r="AR14" s="169">
        <v>0</v>
      </c>
      <c r="AS14" s="169">
        <v>0</v>
      </c>
      <c r="AT14" s="169">
        <v>1653.5</v>
      </c>
      <c r="AU14" s="169">
        <v>0</v>
      </c>
      <c r="AV14" s="169">
        <v>0</v>
      </c>
      <c r="AW14" s="169">
        <v>0</v>
      </c>
    </row>
    <row r="15" spans="1:49" x14ac:dyDescent="0.3">
      <c r="A15" s="169" t="s">
        <v>107</v>
      </c>
      <c r="B15" s="192">
        <v>12</v>
      </c>
      <c r="C15" s="169">
        <v>56</v>
      </c>
      <c r="D15" s="169">
        <v>3</v>
      </c>
      <c r="E15" s="169">
        <v>6</v>
      </c>
      <c r="F15" s="169">
        <v>836192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325041</v>
      </c>
      <c r="R15" s="169">
        <v>206522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107328</v>
      </c>
      <c r="AP15" s="169">
        <v>0</v>
      </c>
      <c r="AQ15" s="169">
        <v>0</v>
      </c>
      <c r="AR15" s="169">
        <v>0</v>
      </c>
      <c r="AS15" s="169">
        <v>0</v>
      </c>
      <c r="AT15" s="169">
        <v>197301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2">
        <v>2017</v>
      </c>
      <c r="C16" s="169">
        <v>56</v>
      </c>
      <c r="D16" s="169">
        <v>3</v>
      </c>
      <c r="E16" s="169">
        <v>9</v>
      </c>
      <c r="F16" s="169">
        <v>12288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5000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0</v>
      </c>
      <c r="AS16" s="169">
        <v>0</v>
      </c>
      <c r="AT16" s="169">
        <v>7288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56</v>
      </c>
      <c r="D17" s="169">
        <v>4</v>
      </c>
      <c r="E17" s="169">
        <v>1</v>
      </c>
      <c r="F17" s="169">
        <v>33.5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10.75</v>
      </c>
      <c r="R17" s="169">
        <v>5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6</v>
      </c>
      <c r="AP17" s="169">
        <v>0</v>
      </c>
      <c r="AQ17" s="169">
        <v>0</v>
      </c>
      <c r="AR17" s="169">
        <v>0</v>
      </c>
      <c r="AS17" s="169">
        <v>0</v>
      </c>
      <c r="AT17" s="169">
        <v>11.75</v>
      </c>
      <c r="AU17" s="169">
        <v>0</v>
      </c>
      <c r="AV17" s="169">
        <v>0</v>
      </c>
      <c r="AW17" s="169">
        <v>0</v>
      </c>
    </row>
    <row r="18" spans="3:49" x14ac:dyDescent="0.3">
      <c r="C18" s="169">
        <v>56</v>
      </c>
      <c r="D18" s="169">
        <v>4</v>
      </c>
      <c r="E18" s="169">
        <v>2</v>
      </c>
      <c r="F18" s="169">
        <v>4361.25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0</v>
      </c>
      <c r="P18" s="169">
        <v>0</v>
      </c>
      <c r="Q18" s="169">
        <v>1442.75</v>
      </c>
      <c r="R18" s="169">
        <v>765.5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666.75</v>
      </c>
      <c r="AP18" s="169">
        <v>0</v>
      </c>
      <c r="AQ18" s="169">
        <v>0</v>
      </c>
      <c r="AR18" s="169">
        <v>0</v>
      </c>
      <c r="AS18" s="169">
        <v>0</v>
      </c>
      <c r="AT18" s="169">
        <v>1486.25</v>
      </c>
      <c r="AU18" s="169">
        <v>0</v>
      </c>
      <c r="AV18" s="169">
        <v>0</v>
      </c>
      <c r="AW18" s="169">
        <v>0</v>
      </c>
    </row>
    <row r="19" spans="3:49" x14ac:dyDescent="0.3">
      <c r="C19" s="169">
        <v>56</v>
      </c>
      <c r="D19" s="169">
        <v>4</v>
      </c>
      <c r="E19" s="169">
        <v>6</v>
      </c>
      <c r="F19" s="169">
        <v>885039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331355</v>
      </c>
      <c r="R19" s="169">
        <v>201620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137400</v>
      </c>
      <c r="AP19" s="169">
        <v>0</v>
      </c>
      <c r="AQ19" s="169">
        <v>0</v>
      </c>
      <c r="AR19" s="169">
        <v>0</v>
      </c>
      <c r="AS19" s="169">
        <v>0</v>
      </c>
      <c r="AT19" s="169">
        <v>214664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56</v>
      </c>
      <c r="D20" s="169">
        <v>4</v>
      </c>
      <c r="E20" s="169">
        <v>9</v>
      </c>
      <c r="F20" s="169">
        <v>6144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2000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3000</v>
      </c>
      <c r="AP20" s="169">
        <v>0</v>
      </c>
      <c r="AQ20" s="169">
        <v>0</v>
      </c>
      <c r="AR20" s="169">
        <v>0</v>
      </c>
      <c r="AS20" s="169">
        <v>0</v>
      </c>
      <c r="AT20" s="169">
        <v>1144</v>
      </c>
      <c r="AU20" s="169">
        <v>0</v>
      </c>
      <c r="AV20" s="169">
        <v>0</v>
      </c>
      <c r="AW20" s="169">
        <v>0</v>
      </c>
    </row>
    <row r="21" spans="3:49" x14ac:dyDescent="0.3">
      <c r="C21" s="169">
        <v>56</v>
      </c>
      <c r="D21" s="169">
        <v>5</v>
      </c>
      <c r="E21" s="169">
        <v>1</v>
      </c>
      <c r="F21" s="169">
        <v>32.75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169">
        <v>0</v>
      </c>
      <c r="N21" s="169">
        <v>0</v>
      </c>
      <c r="O21" s="169">
        <v>0</v>
      </c>
      <c r="P21" s="169">
        <v>0</v>
      </c>
      <c r="Q21" s="169">
        <v>11</v>
      </c>
      <c r="R21" s="169">
        <v>5</v>
      </c>
      <c r="S21" s="169">
        <v>0</v>
      </c>
      <c r="T21" s="169">
        <v>0</v>
      </c>
      <c r="U21" s="169">
        <v>0</v>
      </c>
      <c r="V21" s="169">
        <v>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5</v>
      </c>
      <c r="AP21" s="169">
        <v>0</v>
      </c>
      <c r="AQ21" s="169">
        <v>0</v>
      </c>
      <c r="AR21" s="169">
        <v>0</v>
      </c>
      <c r="AS21" s="169">
        <v>0</v>
      </c>
      <c r="AT21" s="169">
        <v>11.75</v>
      </c>
      <c r="AU21" s="169">
        <v>0</v>
      </c>
      <c r="AV21" s="169">
        <v>0</v>
      </c>
      <c r="AW21" s="169">
        <v>0</v>
      </c>
    </row>
    <row r="22" spans="3:49" x14ac:dyDescent="0.3">
      <c r="C22" s="169">
        <v>56</v>
      </c>
      <c r="D22" s="169">
        <v>5</v>
      </c>
      <c r="E22" s="169">
        <v>2</v>
      </c>
      <c r="F22" s="169">
        <v>4757.5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1608.5</v>
      </c>
      <c r="R22" s="169">
        <v>745.25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780.75</v>
      </c>
      <c r="AP22" s="169">
        <v>0</v>
      </c>
      <c r="AQ22" s="169">
        <v>0</v>
      </c>
      <c r="AR22" s="169">
        <v>0</v>
      </c>
      <c r="AS22" s="169">
        <v>0</v>
      </c>
      <c r="AT22" s="169">
        <v>1623</v>
      </c>
      <c r="AU22" s="169">
        <v>0</v>
      </c>
      <c r="AV22" s="169">
        <v>0</v>
      </c>
      <c r="AW22" s="169">
        <v>0</v>
      </c>
    </row>
    <row r="23" spans="3:49" x14ac:dyDescent="0.3">
      <c r="C23" s="169">
        <v>56</v>
      </c>
      <c r="D23" s="169">
        <v>5</v>
      </c>
      <c r="E23" s="169">
        <v>6</v>
      </c>
      <c r="F23" s="169">
        <v>913263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330735</v>
      </c>
      <c r="R23" s="169">
        <v>241855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  <c r="X23" s="169">
        <v>0</v>
      </c>
      <c r="Y23" s="169">
        <v>0</v>
      </c>
      <c r="Z23" s="169">
        <v>0</v>
      </c>
      <c r="AA23" s="169">
        <v>0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134286</v>
      </c>
      <c r="AP23" s="169">
        <v>0</v>
      </c>
      <c r="AQ23" s="169">
        <v>0</v>
      </c>
      <c r="AR23" s="169">
        <v>0</v>
      </c>
      <c r="AS23" s="169">
        <v>0</v>
      </c>
      <c r="AT23" s="169">
        <v>206387</v>
      </c>
      <c r="AU23" s="169">
        <v>0</v>
      </c>
      <c r="AV23" s="169">
        <v>0</v>
      </c>
      <c r="AW23" s="169">
        <v>0</v>
      </c>
    </row>
    <row r="24" spans="3:49" x14ac:dyDescent="0.3">
      <c r="C24" s="169">
        <v>56</v>
      </c>
      <c r="D24" s="169">
        <v>5</v>
      </c>
      <c r="E24" s="169">
        <v>9</v>
      </c>
      <c r="F24" s="169">
        <v>25000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25000</v>
      </c>
      <c r="S24" s="169">
        <v>0</v>
      </c>
      <c r="T24" s="169">
        <v>0</v>
      </c>
      <c r="U24" s="169">
        <v>0</v>
      </c>
      <c r="V24" s="169">
        <v>0</v>
      </c>
      <c r="W24" s="169">
        <v>0</v>
      </c>
      <c r="X24" s="169">
        <v>0</v>
      </c>
      <c r="Y24" s="169">
        <v>0</v>
      </c>
      <c r="Z24" s="169">
        <v>0</v>
      </c>
      <c r="AA24" s="169">
        <v>0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0</v>
      </c>
      <c r="AO24" s="169">
        <v>0</v>
      </c>
      <c r="AP24" s="169">
        <v>0</v>
      </c>
      <c r="AQ24" s="169">
        <v>0</v>
      </c>
      <c r="AR24" s="169">
        <v>0</v>
      </c>
      <c r="AS24" s="169">
        <v>0</v>
      </c>
      <c r="AT24" s="169">
        <v>0</v>
      </c>
      <c r="AU24" s="169">
        <v>0</v>
      </c>
      <c r="AV24" s="169">
        <v>0</v>
      </c>
      <c r="AW24" s="169">
        <v>0</v>
      </c>
    </row>
    <row r="25" spans="3:49" x14ac:dyDescent="0.3">
      <c r="C25" s="169">
        <v>56</v>
      </c>
      <c r="D25" s="169">
        <v>6</v>
      </c>
      <c r="E25" s="169">
        <v>1</v>
      </c>
      <c r="F25" s="169">
        <v>30.75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9">
        <v>0</v>
      </c>
      <c r="P25" s="169">
        <v>0</v>
      </c>
      <c r="Q25" s="169">
        <v>10</v>
      </c>
      <c r="R25" s="169">
        <v>4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0</v>
      </c>
      <c r="AO25" s="169">
        <v>5</v>
      </c>
      <c r="AP25" s="169">
        <v>0</v>
      </c>
      <c r="AQ25" s="169">
        <v>0</v>
      </c>
      <c r="AR25" s="169">
        <v>0</v>
      </c>
      <c r="AS25" s="169">
        <v>0</v>
      </c>
      <c r="AT25" s="169">
        <v>11.75</v>
      </c>
      <c r="AU25" s="169">
        <v>0</v>
      </c>
      <c r="AV25" s="169">
        <v>0</v>
      </c>
      <c r="AW25" s="169">
        <v>0</v>
      </c>
    </row>
    <row r="26" spans="3:49" x14ac:dyDescent="0.3">
      <c r="C26" s="169">
        <v>56</v>
      </c>
      <c r="D26" s="169">
        <v>6</v>
      </c>
      <c r="E26" s="169">
        <v>2</v>
      </c>
      <c r="F26" s="169">
        <v>4679.5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1501.25</v>
      </c>
      <c r="R26" s="169">
        <v>659.5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774.75</v>
      </c>
      <c r="AP26" s="169">
        <v>0</v>
      </c>
      <c r="AQ26" s="169">
        <v>0</v>
      </c>
      <c r="AR26" s="169">
        <v>0</v>
      </c>
      <c r="AS26" s="169">
        <v>0</v>
      </c>
      <c r="AT26" s="169">
        <v>1744</v>
      </c>
      <c r="AU26" s="169">
        <v>0</v>
      </c>
      <c r="AV26" s="169">
        <v>0</v>
      </c>
      <c r="AW26" s="169">
        <v>0</v>
      </c>
    </row>
    <row r="27" spans="3:49" x14ac:dyDescent="0.3">
      <c r="C27" s="169">
        <v>56</v>
      </c>
      <c r="D27" s="169">
        <v>6</v>
      </c>
      <c r="E27" s="169">
        <v>6</v>
      </c>
      <c r="F27" s="169">
        <v>784184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325880</v>
      </c>
      <c r="R27" s="169">
        <v>144084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  <c r="AL27" s="169">
        <v>0</v>
      </c>
      <c r="AM27" s="169">
        <v>0</v>
      </c>
      <c r="AN27" s="169">
        <v>0</v>
      </c>
      <c r="AO27" s="169">
        <v>105270</v>
      </c>
      <c r="AP27" s="169">
        <v>0</v>
      </c>
      <c r="AQ27" s="169">
        <v>0</v>
      </c>
      <c r="AR27" s="169">
        <v>0</v>
      </c>
      <c r="AS27" s="169">
        <v>0</v>
      </c>
      <c r="AT27" s="169">
        <v>208950</v>
      </c>
      <c r="AU27" s="169">
        <v>0</v>
      </c>
      <c r="AV27" s="169">
        <v>0</v>
      </c>
      <c r="AW27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71" t="s">
        <v>73</v>
      </c>
      <c r="B1" s="271"/>
      <c r="C1" s="272"/>
      <c r="D1" s="272"/>
      <c r="E1" s="272"/>
    </row>
    <row r="2" spans="1:5" ht="14.4" customHeight="1" thickBot="1" x14ac:dyDescent="0.35">
      <c r="A2" s="173" t="s">
        <v>178</v>
      </c>
      <c r="B2" s="114"/>
    </row>
    <row r="3" spans="1:5" ht="14.4" customHeight="1" thickBot="1" x14ac:dyDescent="0.35">
      <c r="A3" s="117"/>
      <c r="C3" s="118" t="s">
        <v>62</v>
      </c>
      <c r="D3" s="119" t="s">
        <v>55</v>
      </c>
      <c r="E3" s="120" t="s">
        <v>57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13409.887323768615</v>
      </c>
      <c r="D4" s="123">
        <f ca="1">IF(ISERROR(VLOOKUP("Náklady celkem",INDIRECT("HI!$A:$G"),5,0)),0,VLOOKUP("Náklady celkem",INDIRECT("HI!$A:$G"),5,0))</f>
        <v>13328.273749999998</v>
      </c>
      <c r="E4" s="124">
        <f ca="1">IF(C4=0,0,D4/C4)</f>
        <v>0.99391392546423873</v>
      </c>
    </row>
    <row r="5" spans="1:5" ht="14.4" customHeight="1" x14ac:dyDescent="0.3">
      <c r="A5" s="125" t="s">
        <v>82</v>
      </c>
      <c r="B5" s="126"/>
      <c r="C5" s="127"/>
      <c r="D5" s="127"/>
      <c r="E5" s="128"/>
    </row>
    <row r="6" spans="1:5" ht="14.4" customHeight="1" x14ac:dyDescent="0.3">
      <c r="A6" s="129" t="s">
        <v>87</v>
      </c>
      <c r="B6" s="130"/>
      <c r="C6" s="131"/>
      <c r="D6" s="131"/>
      <c r="E6" s="128"/>
    </row>
    <row r="7" spans="1:5" ht="14.4" customHeight="1" x14ac:dyDescent="0.3">
      <c r="A7" s="2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66</v>
      </c>
      <c r="C7" s="131">
        <f>IF(ISERROR(HI!F5),"",HI!F5)</f>
        <v>30.000000488281248</v>
      </c>
      <c r="D7" s="131">
        <f>IF(ISERROR(HI!E5),"",HI!E5)</f>
        <v>28.577669999999998</v>
      </c>
      <c r="E7" s="128">
        <f t="shared" ref="E7:E12" si="0">IF(C7=0,0,D7/C7)</f>
        <v>0.95258898449562202</v>
      </c>
    </row>
    <row r="8" spans="1:5" ht="14.4" customHeight="1" x14ac:dyDescent="0.3">
      <c r="A8" s="236" t="str">
        <f>HYPERLINK("#'LŽ Statim'!A1","Podíl statimových žádanek (max. 30%)")</f>
        <v>Podíl statimových žádanek (max. 30%)</v>
      </c>
      <c r="B8" s="234" t="s">
        <v>143</v>
      </c>
      <c r="C8" s="235">
        <v>0.3</v>
      </c>
      <c r="D8" s="235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83</v>
      </c>
      <c r="B9" s="130"/>
      <c r="C9" s="131"/>
      <c r="D9" s="131"/>
      <c r="E9" s="128"/>
    </row>
    <row r="10" spans="1:5" ht="14.4" customHeight="1" x14ac:dyDescent="0.3">
      <c r="A10" s="132" t="s">
        <v>84</v>
      </c>
      <c r="B10" s="130"/>
      <c r="C10" s="131"/>
      <c r="D10" s="131"/>
      <c r="E10" s="128"/>
    </row>
    <row r="11" spans="1:5" ht="14.4" customHeight="1" x14ac:dyDescent="0.3">
      <c r="A11" s="133" t="s">
        <v>88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66</v>
      </c>
      <c r="C12" s="131">
        <f>IF(ISERROR(HI!F6),"",HI!F6)</f>
        <v>10</v>
      </c>
      <c r="D12" s="131">
        <f>IF(ISERROR(HI!E6),"",HI!E6)</f>
        <v>5.0819999999999999</v>
      </c>
      <c r="E12" s="128">
        <f t="shared" si="0"/>
        <v>0.50819999999999999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6636</v>
      </c>
      <c r="D13" s="127">
        <f ca="1">IF(ISERROR(VLOOKUP("Osobní náklady (Kč) *",INDIRECT("HI!$A:$G"),5,0)),0,VLOOKUP("Osobní náklady (Kč) *",INDIRECT("HI!$A:$G"),5,0))</f>
        <v>6944.3543699999991</v>
      </c>
      <c r="E13" s="128">
        <f ca="1">IF(C13=0,0,D13/C13)</f>
        <v>1.0464669032549727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85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86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82" t="s">
        <v>76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0" ht="14.4" customHeight="1" thickBot="1" x14ac:dyDescent="0.35">
      <c r="A2" s="173" t="s">
        <v>178</v>
      </c>
      <c r="B2" s="77"/>
      <c r="C2" s="77"/>
      <c r="D2" s="77"/>
      <c r="E2" s="77"/>
      <c r="F2" s="77"/>
    </row>
    <row r="3" spans="1:10" ht="14.4" customHeight="1" x14ac:dyDescent="0.3">
      <c r="A3" s="273"/>
      <c r="B3" s="73">
        <v>2015</v>
      </c>
      <c r="C3" s="40">
        <v>2016</v>
      </c>
      <c r="D3" s="7"/>
      <c r="E3" s="277">
        <v>2017</v>
      </c>
      <c r="F3" s="278"/>
      <c r="G3" s="278"/>
      <c r="H3" s="279"/>
      <c r="I3" s="280">
        <v>2017</v>
      </c>
      <c r="J3" s="281"/>
    </row>
    <row r="4" spans="1:10" ht="14.4" customHeight="1" thickBot="1" x14ac:dyDescent="0.35">
      <c r="A4" s="274"/>
      <c r="B4" s="275" t="s">
        <v>55</v>
      </c>
      <c r="C4" s="276"/>
      <c r="D4" s="7"/>
      <c r="E4" s="94" t="s">
        <v>55</v>
      </c>
      <c r="F4" s="75" t="s">
        <v>56</v>
      </c>
      <c r="G4" s="75" t="s">
        <v>52</v>
      </c>
      <c r="H4" s="76" t="s">
        <v>57</v>
      </c>
      <c r="I4" s="240" t="s">
        <v>169</v>
      </c>
      <c r="J4" s="241" t="s">
        <v>170</v>
      </c>
    </row>
    <row r="5" spans="1:10" ht="14.4" customHeight="1" x14ac:dyDescent="0.3">
      <c r="A5" s="78" t="str">
        <f>HYPERLINK("#'Léky Žádanky'!A1","Léky (Kč)")</f>
        <v>Léky (Kč)</v>
      </c>
      <c r="B5" s="27">
        <v>22.916219999999999</v>
      </c>
      <c r="C5" s="29">
        <v>33.604860000000002</v>
      </c>
      <c r="D5" s="8"/>
      <c r="E5" s="83">
        <v>28.577669999999998</v>
      </c>
      <c r="F5" s="28">
        <v>30.000000488281248</v>
      </c>
      <c r="G5" s="82">
        <f>E5-F5</f>
        <v>-1.4223304882812506</v>
      </c>
      <c r="H5" s="88">
        <f>IF(F5&lt;0.00000001,"",E5/F5)</f>
        <v>0.95258898449562202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2.84</v>
      </c>
      <c r="C6" s="31">
        <v>5.5380000000000003</v>
      </c>
      <c r="D6" s="8"/>
      <c r="E6" s="84">
        <v>5.0819999999999999</v>
      </c>
      <c r="F6" s="30">
        <v>10</v>
      </c>
      <c r="G6" s="85">
        <f>E6-F6</f>
        <v>-4.9180000000000001</v>
      </c>
      <c r="H6" s="89">
        <f>IF(F6&lt;0.00000001,"",E6/F6)</f>
        <v>0.50819999999999999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5778.7367700000004</v>
      </c>
      <c r="C7" s="31">
        <v>6000.5648700000002</v>
      </c>
      <c r="D7" s="8"/>
      <c r="E7" s="84">
        <v>6944.3543699999991</v>
      </c>
      <c r="F7" s="30">
        <v>6636</v>
      </c>
      <c r="G7" s="85">
        <f>E7-F7</f>
        <v>308.35436999999911</v>
      </c>
      <c r="H7" s="89">
        <f>IF(F7&lt;0.00000001,"",E7/F7)</f>
        <v>1.0464669032549727</v>
      </c>
    </row>
    <row r="8" spans="1:10" ht="14.4" customHeight="1" thickBot="1" x14ac:dyDescent="0.35">
      <c r="A8" s="1" t="s">
        <v>58</v>
      </c>
      <c r="B8" s="11">
        <v>7040.7883099999999</v>
      </c>
      <c r="C8" s="33">
        <v>7218.75468</v>
      </c>
      <c r="D8" s="8"/>
      <c r="E8" s="86">
        <v>6350.2597099999994</v>
      </c>
      <c r="F8" s="32">
        <v>6733.8873232803335</v>
      </c>
      <c r="G8" s="87">
        <f>E8-F8</f>
        <v>-383.62761328033412</v>
      </c>
      <c r="H8" s="90">
        <f>IF(F8&lt;0.00000001,"",E8/F8)</f>
        <v>0.94303028921288001</v>
      </c>
    </row>
    <row r="9" spans="1:10" ht="14.4" customHeight="1" thickBot="1" x14ac:dyDescent="0.35">
      <c r="A9" s="2" t="s">
        <v>59</v>
      </c>
      <c r="B9" s="3">
        <v>12845.281300000001</v>
      </c>
      <c r="C9" s="35">
        <v>13258.46241</v>
      </c>
      <c r="D9" s="8"/>
      <c r="E9" s="3">
        <v>13328.273749999998</v>
      </c>
      <c r="F9" s="34">
        <v>13409.887323768615</v>
      </c>
      <c r="G9" s="34">
        <f>E9-F9</f>
        <v>-81.613573768616334</v>
      </c>
      <c r="H9" s="91">
        <f>IF(F9&lt;0.00000001,"",E9/F9)</f>
        <v>0.99391392546423873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12" t="s">
        <v>121</v>
      </c>
      <c r="B18" s="213"/>
      <c r="C18" s="213"/>
      <c r="D18" s="213"/>
      <c r="E18" s="213"/>
      <c r="F18" s="213"/>
      <c r="G18" s="213"/>
      <c r="H18" s="213"/>
    </row>
    <row r="19" spans="1:8" x14ac:dyDescent="0.3">
      <c r="A19" s="211" t="s">
        <v>120</v>
      </c>
      <c r="B19" s="213"/>
      <c r="C19" s="213"/>
      <c r="D19" s="213"/>
      <c r="E19" s="213"/>
      <c r="F19" s="213"/>
      <c r="G19" s="213"/>
      <c r="H19" s="213"/>
    </row>
    <row r="20" spans="1:8" ht="14.4" customHeight="1" x14ac:dyDescent="0.3">
      <c r="A20" s="80" t="s">
        <v>144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168</v>
      </c>
    </row>
    <row r="23" spans="1:8" ht="14.4" customHeight="1" x14ac:dyDescent="0.3">
      <c r="A23" s="81" t="s">
        <v>92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83" t="s">
        <v>180</v>
      </c>
      <c r="B1" s="283"/>
      <c r="C1" s="283"/>
      <c r="D1" s="283"/>
      <c r="E1" s="283"/>
      <c r="F1" s="283"/>
      <c r="G1" s="283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58" customFormat="1" ht="14.4" customHeight="1" thickBot="1" x14ac:dyDescent="0.3">
      <c r="A2" s="173" t="s">
        <v>178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84" t="s">
        <v>13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239" t="s">
        <v>147</v>
      </c>
      <c r="E4" s="239" t="s">
        <v>148</v>
      </c>
      <c r="F4" s="239" t="s">
        <v>149</v>
      </c>
      <c r="G4" s="239" t="s">
        <v>150</v>
      </c>
      <c r="H4" s="239" t="s">
        <v>151</v>
      </c>
      <c r="I4" s="239" t="s">
        <v>152</v>
      </c>
      <c r="J4" s="239" t="s">
        <v>153</v>
      </c>
      <c r="K4" s="239" t="s">
        <v>154</v>
      </c>
      <c r="L4" s="239" t="s">
        <v>155</v>
      </c>
      <c r="M4" s="239" t="s">
        <v>156</v>
      </c>
      <c r="N4" s="239" t="s">
        <v>157</v>
      </c>
      <c r="O4" s="239" t="s">
        <v>158</v>
      </c>
      <c r="P4" s="286" t="s">
        <v>2</v>
      </c>
      <c r="Q4" s="287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179</v>
      </c>
    </row>
    <row r="7" spans="1:17" ht="14.4" customHeight="1" x14ac:dyDescent="0.3">
      <c r="A7" s="15" t="s">
        <v>19</v>
      </c>
      <c r="B7" s="46">
        <v>60</v>
      </c>
      <c r="C7" s="47">
        <v>5</v>
      </c>
      <c r="D7" s="47">
        <v>6.3456999999999999</v>
      </c>
      <c r="E7" s="47">
        <v>0.22505</v>
      </c>
      <c r="F7" s="47">
        <v>12.598990000000001</v>
      </c>
      <c r="G7" s="47">
        <v>0</v>
      </c>
      <c r="H7" s="47">
        <v>3.3151799999999998</v>
      </c>
      <c r="I7" s="47">
        <v>6.0927499999999997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28.577670000000001</v>
      </c>
      <c r="Q7" s="68">
        <v>0.95258900000000002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179</v>
      </c>
    </row>
    <row r="9" spans="1:17" ht="14.4" customHeight="1" x14ac:dyDescent="0.3">
      <c r="A9" s="15" t="s">
        <v>21</v>
      </c>
      <c r="B9" s="46">
        <v>20</v>
      </c>
      <c r="C9" s="47">
        <v>1.6666666666659999</v>
      </c>
      <c r="D9" s="47">
        <v>0</v>
      </c>
      <c r="E9" s="47">
        <v>0</v>
      </c>
      <c r="F9" s="47">
        <v>3.63</v>
      </c>
      <c r="G9" s="47">
        <v>0</v>
      </c>
      <c r="H9" s="47">
        <v>1.452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5.0819999999999999</v>
      </c>
      <c r="Q9" s="68">
        <v>0.50819999999999999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179</v>
      </c>
    </row>
    <row r="11" spans="1:17" ht="14.4" customHeight="1" x14ac:dyDescent="0.3">
      <c r="A11" s="15" t="s">
        <v>23</v>
      </c>
      <c r="B11" s="46">
        <v>2638.6676235597702</v>
      </c>
      <c r="C11" s="47">
        <v>219.88896862998101</v>
      </c>
      <c r="D11" s="47">
        <v>100.90476</v>
      </c>
      <c r="E11" s="47">
        <v>173.74797000000001</v>
      </c>
      <c r="F11" s="47">
        <v>216.82832999999999</v>
      </c>
      <c r="G11" s="47">
        <v>106.20461</v>
      </c>
      <c r="H11" s="47">
        <v>180.79268999999999</v>
      </c>
      <c r="I11" s="47">
        <v>152.81681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931.29516999999998</v>
      </c>
      <c r="Q11" s="68">
        <v>0.70588289459700004</v>
      </c>
    </row>
    <row r="12" spans="1:17" ht="14.4" customHeight="1" x14ac:dyDescent="0.3">
      <c r="A12" s="15" t="s">
        <v>24</v>
      </c>
      <c r="B12" s="46">
        <v>81.592349997430006</v>
      </c>
      <c r="C12" s="47">
        <v>6.7993624997850004</v>
      </c>
      <c r="D12" s="47">
        <v>3.3000000000000002E-2</v>
      </c>
      <c r="E12" s="47">
        <v>2.0070000000000001E-2</v>
      </c>
      <c r="F12" s="47">
        <v>0.90700000000000003</v>
      </c>
      <c r="G12" s="47">
        <v>5.1299999999999998E-2</v>
      </c>
      <c r="H12" s="47">
        <v>0</v>
      </c>
      <c r="I12" s="47">
        <v>9.2027800000000006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10.21415</v>
      </c>
      <c r="Q12" s="68">
        <v>0.250370285947</v>
      </c>
    </row>
    <row r="13" spans="1:17" ht="14.4" customHeight="1" x14ac:dyDescent="0.3">
      <c r="A13" s="15" t="s">
        <v>25</v>
      </c>
      <c r="B13" s="46">
        <v>269.43326292088602</v>
      </c>
      <c r="C13" s="47">
        <v>22.452771910073</v>
      </c>
      <c r="D13" s="47">
        <v>15.15615</v>
      </c>
      <c r="E13" s="47">
        <v>20.498249999999999</v>
      </c>
      <c r="F13" s="47">
        <v>14.17474</v>
      </c>
      <c r="G13" s="47">
        <v>18.711020000000001</v>
      </c>
      <c r="H13" s="47">
        <v>18.718959999999999</v>
      </c>
      <c r="I13" s="47">
        <v>17.74663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105.00575000000001</v>
      </c>
      <c r="Q13" s="68">
        <v>0.77945646993700002</v>
      </c>
    </row>
    <row r="14" spans="1:17" ht="14.4" customHeight="1" x14ac:dyDescent="0.3">
      <c r="A14" s="15" t="s">
        <v>26</v>
      </c>
      <c r="B14" s="46">
        <v>6366.0415846921596</v>
      </c>
      <c r="C14" s="47">
        <v>530.50346539101395</v>
      </c>
      <c r="D14" s="47">
        <v>899.59299999999996</v>
      </c>
      <c r="E14" s="47">
        <v>685.75800000000004</v>
      </c>
      <c r="F14" s="47">
        <v>612.27900000000102</v>
      </c>
      <c r="G14" s="47">
        <v>484.88099999999997</v>
      </c>
      <c r="H14" s="47">
        <v>401.74099999999999</v>
      </c>
      <c r="I14" s="47">
        <v>296.65800000000002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3380.91</v>
      </c>
      <c r="Q14" s="68">
        <v>1.0621702529020001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179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179</v>
      </c>
    </row>
    <row r="17" spans="1:17" ht="14.4" customHeight="1" x14ac:dyDescent="0.3">
      <c r="A17" s="15" t="s">
        <v>29</v>
      </c>
      <c r="B17" s="46">
        <v>510.60969277632898</v>
      </c>
      <c r="C17" s="47">
        <v>42.550807731360003</v>
      </c>
      <c r="D17" s="47">
        <v>44.281170000000003</v>
      </c>
      <c r="E17" s="47">
        <v>51.75526</v>
      </c>
      <c r="F17" s="47">
        <v>44.905970000000003</v>
      </c>
      <c r="G17" s="47">
        <v>34.922080000000001</v>
      </c>
      <c r="H17" s="47">
        <v>53.153410000000001</v>
      </c>
      <c r="I17" s="47">
        <v>56.570369999999997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285.58825999999999</v>
      </c>
      <c r="Q17" s="68">
        <v>1.118616681352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1.151</v>
      </c>
      <c r="I18" s="47">
        <v>2.4209999999999998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3.5720000000000001</v>
      </c>
      <c r="Q18" s="68" t="s">
        <v>179</v>
      </c>
    </row>
    <row r="19" spans="1:17" ht="14.4" customHeight="1" x14ac:dyDescent="0.3">
      <c r="A19" s="15" t="s">
        <v>31</v>
      </c>
      <c r="B19" s="46">
        <v>1800.43009459875</v>
      </c>
      <c r="C19" s="47">
        <v>150.035841216563</v>
      </c>
      <c r="D19" s="47">
        <v>43.875720000000001</v>
      </c>
      <c r="E19" s="47">
        <v>76.03049</v>
      </c>
      <c r="F19" s="47">
        <v>96.289529999999999</v>
      </c>
      <c r="G19" s="47">
        <v>79.450959999999995</v>
      </c>
      <c r="H19" s="47">
        <v>83.190690000000004</v>
      </c>
      <c r="I19" s="47">
        <v>180.65099000000001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559.48838000000001</v>
      </c>
      <c r="Q19" s="68">
        <v>0.62150525219300001</v>
      </c>
    </row>
    <row r="20" spans="1:17" ht="14.4" customHeight="1" x14ac:dyDescent="0.3">
      <c r="A20" s="15" t="s">
        <v>32</v>
      </c>
      <c r="B20" s="46">
        <v>13272</v>
      </c>
      <c r="C20" s="47">
        <v>1106</v>
      </c>
      <c r="D20" s="47">
        <v>1172.3376499999999</v>
      </c>
      <c r="E20" s="47">
        <v>1127.16957</v>
      </c>
      <c r="F20" s="47">
        <v>1136.45191</v>
      </c>
      <c r="G20" s="47">
        <v>1202.2929799999999</v>
      </c>
      <c r="H20" s="47">
        <v>1239.60833</v>
      </c>
      <c r="I20" s="47">
        <v>1066.4939300000001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6944.35437</v>
      </c>
      <c r="Q20" s="68">
        <v>1.0464669032539999</v>
      </c>
    </row>
    <row r="21" spans="1:17" ht="14.4" customHeight="1" x14ac:dyDescent="0.3">
      <c r="A21" s="16" t="s">
        <v>33</v>
      </c>
      <c r="B21" s="46">
        <v>1801</v>
      </c>
      <c r="C21" s="47">
        <v>150.083333333334</v>
      </c>
      <c r="D21" s="47">
        <v>212.67099999999999</v>
      </c>
      <c r="E21" s="47">
        <v>212.69499999999999</v>
      </c>
      <c r="F21" s="47">
        <v>212.732</v>
      </c>
      <c r="G21" s="47">
        <v>135.42400000000001</v>
      </c>
      <c r="H21" s="47">
        <v>135.518</v>
      </c>
      <c r="I21" s="47">
        <v>135.423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1044.463</v>
      </c>
      <c r="Q21" s="68">
        <v>1.1598700721819999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179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/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-4.5474735088646402E-13</v>
      </c>
      <c r="E24" s="47">
        <v>-4.5474735088646402E-13</v>
      </c>
      <c r="F24" s="47">
        <v>0</v>
      </c>
      <c r="G24" s="47">
        <v>21.835000000000001</v>
      </c>
      <c r="H24" s="47">
        <v>7.8879999999989998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29.722999999999001</v>
      </c>
      <c r="Q24" s="68"/>
    </row>
    <row r="25" spans="1:17" ht="14.4" customHeight="1" x14ac:dyDescent="0.3">
      <c r="A25" s="17" t="s">
        <v>37</v>
      </c>
      <c r="B25" s="49">
        <v>26819.7746085453</v>
      </c>
      <c r="C25" s="50">
        <v>2234.98121737878</v>
      </c>
      <c r="D25" s="50">
        <v>2495.1981500000002</v>
      </c>
      <c r="E25" s="50">
        <v>2347.89966</v>
      </c>
      <c r="F25" s="50">
        <v>2350.79747</v>
      </c>
      <c r="G25" s="50">
        <v>2083.77295</v>
      </c>
      <c r="H25" s="50">
        <v>2126.5292599999998</v>
      </c>
      <c r="I25" s="50">
        <v>1924.07626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13328.27375</v>
      </c>
      <c r="Q25" s="69">
        <v>0.99391392690900005</v>
      </c>
    </row>
    <row r="26" spans="1:17" ht="14.4" customHeight="1" x14ac:dyDescent="0.3">
      <c r="A26" s="15" t="s">
        <v>38</v>
      </c>
      <c r="B26" s="46">
        <v>2296.1491037083601</v>
      </c>
      <c r="C26" s="47">
        <v>191.34575864236299</v>
      </c>
      <c r="D26" s="47">
        <v>168.65123</v>
      </c>
      <c r="E26" s="47">
        <v>160.56172000000001</v>
      </c>
      <c r="F26" s="47">
        <v>194.67744999999999</v>
      </c>
      <c r="G26" s="47">
        <v>189.86098000000001</v>
      </c>
      <c r="H26" s="47">
        <v>204.47426999999999</v>
      </c>
      <c r="I26" s="47">
        <v>204.69988000000001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1122.92553</v>
      </c>
      <c r="Q26" s="68">
        <v>0.97809460908800006</v>
      </c>
    </row>
    <row r="27" spans="1:17" ht="14.4" customHeight="1" x14ac:dyDescent="0.3">
      <c r="A27" s="18" t="s">
        <v>39</v>
      </c>
      <c r="B27" s="49">
        <v>29115.923712253702</v>
      </c>
      <c r="C27" s="50">
        <v>2426.3269760211401</v>
      </c>
      <c r="D27" s="50">
        <v>2663.8493800000001</v>
      </c>
      <c r="E27" s="50">
        <v>2508.4613800000002</v>
      </c>
      <c r="F27" s="50">
        <v>2545.4749200000001</v>
      </c>
      <c r="G27" s="50">
        <v>2273.63393</v>
      </c>
      <c r="H27" s="50">
        <v>2331.00353</v>
      </c>
      <c r="I27" s="50">
        <v>2128.7761399999999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14451.199280000001</v>
      </c>
      <c r="Q27" s="69">
        <v>0.99266637890700005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179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179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90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159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83" t="s">
        <v>45</v>
      </c>
      <c r="B1" s="283"/>
      <c r="C1" s="283"/>
      <c r="D1" s="283"/>
      <c r="E1" s="283"/>
      <c r="F1" s="283"/>
      <c r="G1" s="283"/>
      <c r="H1" s="288"/>
      <c r="I1" s="288"/>
      <c r="J1" s="288"/>
      <c r="K1" s="288"/>
    </row>
    <row r="2" spans="1:11" s="55" customFormat="1" ht="14.4" customHeight="1" thickBot="1" x14ac:dyDescent="0.35">
      <c r="A2" s="173" t="s">
        <v>178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84" t="s">
        <v>46</v>
      </c>
      <c r="C3" s="285"/>
      <c r="D3" s="285"/>
      <c r="E3" s="285"/>
      <c r="F3" s="291" t="s">
        <v>47</v>
      </c>
      <c r="G3" s="285"/>
      <c r="H3" s="285"/>
      <c r="I3" s="285"/>
      <c r="J3" s="285"/>
      <c r="K3" s="292"/>
    </row>
    <row r="4" spans="1:11" ht="14.4" customHeight="1" x14ac:dyDescent="0.3">
      <c r="A4" s="59"/>
      <c r="B4" s="289"/>
      <c r="C4" s="290"/>
      <c r="D4" s="290"/>
      <c r="E4" s="290"/>
      <c r="F4" s="293" t="s">
        <v>160</v>
      </c>
      <c r="G4" s="295" t="s">
        <v>48</v>
      </c>
      <c r="H4" s="106" t="s">
        <v>80</v>
      </c>
      <c r="I4" s="293" t="s">
        <v>49</v>
      </c>
      <c r="J4" s="295" t="s">
        <v>167</v>
      </c>
      <c r="K4" s="296" t="s">
        <v>161</v>
      </c>
    </row>
    <row r="5" spans="1:11" ht="42" thickBot="1" x14ac:dyDescent="0.35">
      <c r="A5" s="60"/>
      <c r="B5" s="24" t="s">
        <v>163</v>
      </c>
      <c r="C5" s="25" t="s">
        <v>164</v>
      </c>
      <c r="D5" s="26" t="s">
        <v>165</v>
      </c>
      <c r="E5" s="26" t="s">
        <v>166</v>
      </c>
      <c r="F5" s="294"/>
      <c r="G5" s="294"/>
      <c r="H5" s="25" t="s">
        <v>162</v>
      </c>
      <c r="I5" s="294"/>
      <c r="J5" s="294"/>
      <c r="K5" s="297"/>
    </row>
    <row r="6" spans="1:11" ht="14.4" customHeight="1" thickBot="1" x14ac:dyDescent="0.35">
      <c r="A6" s="337" t="s">
        <v>181</v>
      </c>
      <c r="B6" s="319">
        <v>25702.393919469501</v>
      </c>
      <c r="C6" s="319">
        <v>27305.50707</v>
      </c>
      <c r="D6" s="320">
        <v>1603.11315053051</v>
      </c>
      <c r="E6" s="321">
        <v>1.062372133722</v>
      </c>
      <c r="F6" s="319">
        <v>26819.7746085453</v>
      </c>
      <c r="G6" s="320">
        <v>13409.887304272699</v>
      </c>
      <c r="H6" s="322">
        <v>1924.07626</v>
      </c>
      <c r="I6" s="319">
        <v>13328.27375</v>
      </c>
      <c r="J6" s="320">
        <v>-81.613554272664004</v>
      </c>
      <c r="K6" s="323">
        <v>0.49695696345399998</v>
      </c>
    </row>
    <row r="7" spans="1:11" ht="14.4" customHeight="1" thickBot="1" x14ac:dyDescent="0.35">
      <c r="A7" s="338" t="s">
        <v>182</v>
      </c>
      <c r="B7" s="319">
        <v>8971.3021312641195</v>
      </c>
      <c r="C7" s="319">
        <v>9171.3235399999994</v>
      </c>
      <c r="D7" s="320">
        <v>200.02140873587999</v>
      </c>
      <c r="E7" s="321">
        <v>1.0222956941820001</v>
      </c>
      <c r="F7" s="319">
        <v>9435.7348211702501</v>
      </c>
      <c r="G7" s="320">
        <v>4717.8674105851196</v>
      </c>
      <c r="H7" s="322">
        <v>482.51697000000001</v>
      </c>
      <c r="I7" s="319">
        <v>4461.0847400000002</v>
      </c>
      <c r="J7" s="320">
        <v>-256.78267058512301</v>
      </c>
      <c r="K7" s="323">
        <v>0.47278615015600001</v>
      </c>
    </row>
    <row r="8" spans="1:11" ht="14.4" customHeight="1" thickBot="1" x14ac:dyDescent="0.35">
      <c r="A8" s="339" t="s">
        <v>183</v>
      </c>
      <c r="B8" s="319">
        <v>2914.4699964042002</v>
      </c>
      <c r="C8" s="319">
        <v>2884.9345400000002</v>
      </c>
      <c r="D8" s="320">
        <v>-29.535456404196999</v>
      </c>
      <c r="E8" s="321">
        <v>0.98986592538499996</v>
      </c>
      <c r="F8" s="319">
        <v>3069.6932364780801</v>
      </c>
      <c r="G8" s="320">
        <v>1534.84661823904</v>
      </c>
      <c r="H8" s="322">
        <v>185.85897</v>
      </c>
      <c r="I8" s="319">
        <v>1080.1747399999999</v>
      </c>
      <c r="J8" s="320">
        <v>-454.67187823904101</v>
      </c>
      <c r="K8" s="323">
        <v>0.35188361076699998</v>
      </c>
    </row>
    <row r="9" spans="1:11" ht="14.4" customHeight="1" thickBot="1" x14ac:dyDescent="0.35">
      <c r="A9" s="340" t="s">
        <v>184</v>
      </c>
      <c r="B9" s="324">
        <v>55.000004965370998</v>
      </c>
      <c r="C9" s="324">
        <v>58.6447</v>
      </c>
      <c r="D9" s="325">
        <v>3.644695034628</v>
      </c>
      <c r="E9" s="326">
        <v>1.066267176465</v>
      </c>
      <c r="F9" s="324">
        <v>60</v>
      </c>
      <c r="G9" s="325">
        <v>30</v>
      </c>
      <c r="H9" s="327">
        <v>6.0927499999999997</v>
      </c>
      <c r="I9" s="324">
        <v>28.577670000000001</v>
      </c>
      <c r="J9" s="325">
        <v>-1.422329999999</v>
      </c>
      <c r="K9" s="328">
        <v>0.47629450000000001</v>
      </c>
    </row>
    <row r="10" spans="1:11" ht="14.4" customHeight="1" thickBot="1" x14ac:dyDescent="0.35">
      <c r="A10" s="341" t="s">
        <v>185</v>
      </c>
      <c r="B10" s="319">
        <v>55.000004965370998</v>
      </c>
      <c r="C10" s="319">
        <v>58.6447</v>
      </c>
      <c r="D10" s="320">
        <v>3.644695034628</v>
      </c>
      <c r="E10" s="321">
        <v>1.066267176465</v>
      </c>
      <c r="F10" s="319">
        <v>60</v>
      </c>
      <c r="G10" s="320">
        <v>30</v>
      </c>
      <c r="H10" s="322">
        <v>6.0927499999999997</v>
      </c>
      <c r="I10" s="319">
        <v>28.577670000000001</v>
      </c>
      <c r="J10" s="320">
        <v>-1.422329999999</v>
      </c>
      <c r="K10" s="323">
        <v>0.47629450000000001</v>
      </c>
    </row>
    <row r="11" spans="1:11" ht="14.4" customHeight="1" thickBot="1" x14ac:dyDescent="0.35">
      <c r="A11" s="340" t="s">
        <v>186</v>
      </c>
      <c r="B11" s="324">
        <v>20.999999139313001</v>
      </c>
      <c r="C11" s="324">
        <v>18.534739999999999</v>
      </c>
      <c r="D11" s="325">
        <v>-2.4652591393119998</v>
      </c>
      <c r="E11" s="326">
        <v>0.88260670283999998</v>
      </c>
      <c r="F11" s="324">
        <v>20</v>
      </c>
      <c r="G11" s="325">
        <v>10</v>
      </c>
      <c r="H11" s="327">
        <v>0</v>
      </c>
      <c r="I11" s="324">
        <v>5.0819999999999999</v>
      </c>
      <c r="J11" s="325">
        <v>-4.9180000000000001</v>
      </c>
      <c r="K11" s="328">
        <v>0.25409999999999999</v>
      </c>
    </row>
    <row r="12" spans="1:11" ht="14.4" customHeight="1" thickBot="1" x14ac:dyDescent="0.35">
      <c r="A12" s="341" t="s">
        <v>187</v>
      </c>
      <c r="B12" s="319">
        <v>20.999999139313001</v>
      </c>
      <c r="C12" s="319">
        <v>18.534739999999999</v>
      </c>
      <c r="D12" s="320">
        <v>-2.4652591393119998</v>
      </c>
      <c r="E12" s="321">
        <v>0.88260670283999998</v>
      </c>
      <c r="F12" s="319">
        <v>20</v>
      </c>
      <c r="G12" s="320">
        <v>10</v>
      </c>
      <c r="H12" s="322">
        <v>0</v>
      </c>
      <c r="I12" s="319">
        <v>5.0819999999999999</v>
      </c>
      <c r="J12" s="320">
        <v>-4.9180000000000001</v>
      </c>
      <c r="K12" s="323">
        <v>0.25409999999999999</v>
      </c>
    </row>
    <row r="13" spans="1:11" ht="14.4" customHeight="1" thickBot="1" x14ac:dyDescent="0.35">
      <c r="A13" s="340" t="s">
        <v>188</v>
      </c>
      <c r="B13" s="324">
        <v>2692.1090662463498</v>
      </c>
      <c r="C13" s="324">
        <v>2580.4676100000001</v>
      </c>
      <c r="D13" s="325">
        <v>-111.64145624635201</v>
      </c>
      <c r="E13" s="326">
        <v>0.95853011393700005</v>
      </c>
      <c r="F13" s="324">
        <v>2638.6676235597702</v>
      </c>
      <c r="G13" s="325">
        <v>1319.3338117798801</v>
      </c>
      <c r="H13" s="327">
        <v>152.81681</v>
      </c>
      <c r="I13" s="324">
        <v>931.29516999999998</v>
      </c>
      <c r="J13" s="325">
        <v>-388.03864177988299</v>
      </c>
      <c r="K13" s="328">
        <v>0.35294144729799998</v>
      </c>
    </row>
    <row r="14" spans="1:11" ht="14.4" customHeight="1" thickBot="1" x14ac:dyDescent="0.35">
      <c r="A14" s="341" t="s">
        <v>189</v>
      </c>
      <c r="B14" s="319">
        <v>0</v>
      </c>
      <c r="C14" s="319">
        <v>0</v>
      </c>
      <c r="D14" s="320">
        <v>0</v>
      </c>
      <c r="E14" s="329" t="s">
        <v>179</v>
      </c>
      <c r="F14" s="319">
        <v>0</v>
      </c>
      <c r="G14" s="320">
        <v>0</v>
      </c>
      <c r="H14" s="322">
        <v>0</v>
      </c>
      <c r="I14" s="319">
        <v>18.507560000000002</v>
      </c>
      <c r="J14" s="320">
        <v>18.507560000000002</v>
      </c>
      <c r="K14" s="330" t="s">
        <v>179</v>
      </c>
    </row>
    <row r="15" spans="1:11" ht="14.4" customHeight="1" thickBot="1" x14ac:dyDescent="0.35">
      <c r="A15" s="341" t="s">
        <v>190</v>
      </c>
      <c r="B15" s="319">
        <v>92.000008305712001</v>
      </c>
      <c r="C15" s="319">
        <v>25.640239999999999</v>
      </c>
      <c r="D15" s="320">
        <v>-66.359768305711995</v>
      </c>
      <c r="E15" s="321">
        <v>0.27869823570800001</v>
      </c>
      <c r="F15" s="319">
        <v>30</v>
      </c>
      <c r="G15" s="320">
        <v>15</v>
      </c>
      <c r="H15" s="322">
        <v>0.79705000000000004</v>
      </c>
      <c r="I15" s="319">
        <v>6.62845</v>
      </c>
      <c r="J15" s="320">
        <v>-8.3715499999999992</v>
      </c>
      <c r="K15" s="323">
        <v>0.22094833333300001</v>
      </c>
    </row>
    <row r="16" spans="1:11" ht="14.4" customHeight="1" thickBot="1" x14ac:dyDescent="0.35">
      <c r="A16" s="341" t="s">
        <v>191</v>
      </c>
      <c r="B16" s="319">
        <v>141.249614967425</v>
      </c>
      <c r="C16" s="319">
        <v>220.86199999999999</v>
      </c>
      <c r="D16" s="320">
        <v>79.612385032575006</v>
      </c>
      <c r="E16" s="321">
        <v>1.563629041048</v>
      </c>
      <c r="F16" s="319">
        <v>249.460907107011</v>
      </c>
      <c r="G16" s="320">
        <v>124.730453553506</v>
      </c>
      <c r="H16" s="322">
        <v>11.63261</v>
      </c>
      <c r="I16" s="319">
        <v>75.452370000000002</v>
      </c>
      <c r="J16" s="320">
        <v>-49.278083553504999</v>
      </c>
      <c r="K16" s="323">
        <v>0.30246169981100002</v>
      </c>
    </row>
    <row r="17" spans="1:11" ht="14.4" customHeight="1" thickBot="1" x14ac:dyDescent="0.35">
      <c r="A17" s="341" t="s">
        <v>192</v>
      </c>
      <c r="B17" s="319">
        <v>29.522955257069999</v>
      </c>
      <c r="C17" s="319">
        <v>50.166910000000001</v>
      </c>
      <c r="D17" s="320">
        <v>20.643954742929001</v>
      </c>
      <c r="E17" s="321">
        <v>1.699250957879</v>
      </c>
      <c r="F17" s="319">
        <v>50</v>
      </c>
      <c r="G17" s="320">
        <v>25</v>
      </c>
      <c r="H17" s="322">
        <v>3.8</v>
      </c>
      <c r="I17" s="319">
        <v>20.60642</v>
      </c>
      <c r="J17" s="320">
        <v>-4.39358</v>
      </c>
      <c r="K17" s="323">
        <v>0.41212840000000001</v>
      </c>
    </row>
    <row r="18" spans="1:11" ht="14.4" customHeight="1" thickBot="1" x14ac:dyDescent="0.35">
      <c r="A18" s="341" t="s">
        <v>193</v>
      </c>
      <c r="B18" s="319">
        <v>13.439650414111</v>
      </c>
      <c r="C18" s="319">
        <v>9.3964800000000004</v>
      </c>
      <c r="D18" s="320">
        <v>-4.0431704141109996</v>
      </c>
      <c r="E18" s="321">
        <v>0.69916104291900005</v>
      </c>
      <c r="F18" s="319">
        <v>10.345099381901999</v>
      </c>
      <c r="G18" s="320">
        <v>5.1725496909509996</v>
      </c>
      <c r="H18" s="322">
        <v>0.1159</v>
      </c>
      <c r="I18" s="319">
        <v>0.85433000000000003</v>
      </c>
      <c r="J18" s="320">
        <v>-4.3182196909509996</v>
      </c>
      <c r="K18" s="323">
        <v>8.2583063580000005E-2</v>
      </c>
    </row>
    <row r="19" spans="1:11" ht="14.4" customHeight="1" thickBot="1" x14ac:dyDescent="0.35">
      <c r="A19" s="341" t="s">
        <v>194</v>
      </c>
      <c r="B19" s="319">
        <v>0</v>
      </c>
      <c r="C19" s="319">
        <v>15.87589</v>
      </c>
      <c r="D19" s="320">
        <v>15.87589</v>
      </c>
      <c r="E19" s="329" t="s">
        <v>179</v>
      </c>
      <c r="F19" s="319">
        <v>0</v>
      </c>
      <c r="G19" s="320">
        <v>0</v>
      </c>
      <c r="H19" s="322">
        <v>1.9844900000000001</v>
      </c>
      <c r="I19" s="319">
        <v>8.03599</v>
      </c>
      <c r="J19" s="320">
        <v>8.03599</v>
      </c>
      <c r="K19" s="330" t="s">
        <v>179</v>
      </c>
    </row>
    <row r="20" spans="1:11" ht="14.4" customHeight="1" thickBot="1" x14ac:dyDescent="0.35">
      <c r="A20" s="341" t="s">
        <v>195</v>
      </c>
      <c r="B20" s="319">
        <v>3.8768614765349998</v>
      </c>
      <c r="C20" s="319">
        <v>0</v>
      </c>
      <c r="D20" s="320">
        <v>-3.8768614765349998</v>
      </c>
      <c r="E20" s="321">
        <v>0</v>
      </c>
      <c r="F20" s="319">
        <v>0</v>
      </c>
      <c r="G20" s="320">
        <v>0</v>
      </c>
      <c r="H20" s="322">
        <v>0</v>
      </c>
      <c r="I20" s="319">
        <v>1.83436</v>
      </c>
      <c r="J20" s="320">
        <v>1.83436</v>
      </c>
      <c r="K20" s="330" t="s">
        <v>196</v>
      </c>
    </row>
    <row r="21" spans="1:11" ht="14.4" customHeight="1" thickBot="1" x14ac:dyDescent="0.35">
      <c r="A21" s="341" t="s">
        <v>197</v>
      </c>
      <c r="B21" s="319">
        <v>2305.8927384783601</v>
      </c>
      <c r="C21" s="319">
        <v>2158.8143300000002</v>
      </c>
      <c r="D21" s="320">
        <v>-147.07840847835399</v>
      </c>
      <c r="E21" s="321">
        <v>0.93621628359999998</v>
      </c>
      <c r="F21" s="319">
        <v>2200</v>
      </c>
      <c r="G21" s="320">
        <v>1100</v>
      </c>
      <c r="H21" s="322">
        <v>124.4473</v>
      </c>
      <c r="I21" s="319">
        <v>756.51890000000003</v>
      </c>
      <c r="J21" s="320">
        <v>-343.48110000000003</v>
      </c>
      <c r="K21" s="323">
        <v>0.34387222727200001</v>
      </c>
    </row>
    <row r="22" spans="1:11" ht="14.4" customHeight="1" thickBot="1" x14ac:dyDescent="0.35">
      <c r="A22" s="341" t="s">
        <v>198</v>
      </c>
      <c r="B22" s="319">
        <v>7.8115606171319998</v>
      </c>
      <c r="C22" s="319">
        <v>3.4448699999999999</v>
      </c>
      <c r="D22" s="320">
        <v>-4.3666906171319999</v>
      </c>
      <c r="E22" s="321">
        <v>0.44099638584900003</v>
      </c>
      <c r="F22" s="319">
        <v>3.8616170708530002</v>
      </c>
      <c r="G22" s="320">
        <v>1.9308085354260001</v>
      </c>
      <c r="H22" s="322">
        <v>0.38235999999999998</v>
      </c>
      <c r="I22" s="319">
        <v>2.73109</v>
      </c>
      <c r="J22" s="320">
        <v>0.80028146457299998</v>
      </c>
      <c r="K22" s="323">
        <v>0.70723998518999998</v>
      </c>
    </row>
    <row r="23" spans="1:11" ht="14.4" customHeight="1" thickBot="1" x14ac:dyDescent="0.35">
      <c r="A23" s="341" t="s">
        <v>199</v>
      </c>
      <c r="B23" s="319">
        <v>0</v>
      </c>
      <c r="C23" s="319">
        <v>1.99</v>
      </c>
      <c r="D23" s="320">
        <v>1.99</v>
      </c>
      <c r="E23" s="329" t="s">
        <v>196</v>
      </c>
      <c r="F23" s="319">
        <v>0</v>
      </c>
      <c r="G23" s="320">
        <v>0</v>
      </c>
      <c r="H23" s="322">
        <v>0</v>
      </c>
      <c r="I23" s="319">
        <v>0</v>
      </c>
      <c r="J23" s="320">
        <v>0</v>
      </c>
      <c r="K23" s="330" t="s">
        <v>179</v>
      </c>
    </row>
    <row r="24" spans="1:11" ht="14.4" customHeight="1" thickBot="1" x14ac:dyDescent="0.35">
      <c r="A24" s="341" t="s">
        <v>200</v>
      </c>
      <c r="B24" s="319">
        <v>98.315676730011006</v>
      </c>
      <c r="C24" s="319">
        <v>94.276889999999995</v>
      </c>
      <c r="D24" s="320">
        <v>-4.03878673001</v>
      </c>
      <c r="E24" s="321">
        <v>0.95892021634400004</v>
      </c>
      <c r="F24" s="319">
        <v>95</v>
      </c>
      <c r="G24" s="320">
        <v>47.5</v>
      </c>
      <c r="H24" s="322">
        <v>9.6570999999999998</v>
      </c>
      <c r="I24" s="319">
        <v>40.125700000000002</v>
      </c>
      <c r="J24" s="320">
        <v>-7.3742999999989998</v>
      </c>
      <c r="K24" s="323">
        <v>0.42237578947299997</v>
      </c>
    </row>
    <row r="25" spans="1:11" ht="14.4" customHeight="1" thickBot="1" x14ac:dyDescent="0.35">
      <c r="A25" s="340" t="s">
        <v>201</v>
      </c>
      <c r="B25" s="324">
        <v>9.3898256564979992</v>
      </c>
      <c r="C25" s="324">
        <v>81.783550000000005</v>
      </c>
      <c r="D25" s="325">
        <v>72.393724343501006</v>
      </c>
      <c r="E25" s="326">
        <v>8.7098049518509999</v>
      </c>
      <c r="F25" s="324">
        <v>81.592349997430006</v>
      </c>
      <c r="G25" s="325">
        <v>40.796174998715003</v>
      </c>
      <c r="H25" s="327">
        <v>9.2027800000000006</v>
      </c>
      <c r="I25" s="324">
        <v>10.21415</v>
      </c>
      <c r="J25" s="325">
        <v>-30.582024998714999</v>
      </c>
      <c r="K25" s="328">
        <v>0.12518514297300001</v>
      </c>
    </row>
    <row r="26" spans="1:11" ht="14.4" customHeight="1" thickBot="1" x14ac:dyDescent="0.35">
      <c r="A26" s="341" t="s">
        <v>202</v>
      </c>
      <c r="B26" s="319">
        <v>0</v>
      </c>
      <c r="C26" s="319">
        <v>2.9312999999999998</v>
      </c>
      <c r="D26" s="320">
        <v>2.9312999999999998</v>
      </c>
      <c r="E26" s="329" t="s">
        <v>196</v>
      </c>
      <c r="F26" s="319">
        <v>0</v>
      </c>
      <c r="G26" s="320">
        <v>0</v>
      </c>
      <c r="H26" s="322">
        <v>0</v>
      </c>
      <c r="I26" s="319">
        <v>0</v>
      </c>
      <c r="J26" s="320">
        <v>0</v>
      </c>
      <c r="K26" s="330" t="s">
        <v>179</v>
      </c>
    </row>
    <row r="27" spans="1:11" ht="14.4" customHeight="1" thickBot="1" x14ac:dyDescent="0.35">
      <c r="A27" s="341" t="s">
        <v>203</v>
      </c>
      <c r="B27" s="319">
        <v>0</v>
      </c>
      <c r="C27" s="319">
        <v>20.440000000000001</v>
      </c>
      <c r="D27" s="320">
        <v>20.440000000000001</v>
      </c>
      <c r="E27" s="329" t="s">
        <v>196</v>
      </c>
      <c r="F27" s="319">
        <v>26.652509484155001</v>
      </c>
      <c r="G27" s="320">
        <v>13.326254742076999</v>
      </c>
      <c r="H27" s="322">
        <v>0</v>
      </c>
      <c r="I27" s="319">
        <v>0.83899999999999997</v>
      </c>
      <c r="J27" s="320">
        <v>-12.487254742077001</v>
      </c>
      <c r="K27" s="323">
        <v>3.1479212134999997E-2</v>
      </c>
    </row>
    <row r="28" spans="1:11" ht="14.4" customHeight="1" thickBot="1" x14ac:dyDescent="0.35">
      <c r="A28" s="341" t="s">
        <v>204</v>
      </c>
      <c r="B28" s="319">
        <v>0.90833615026799996</v>
      </c>
      <c r="C28" s="319">
        <v>50.460999999999999</v>
      </c>
      <c r="D28" s="320">
        <v>49.552663849730997</v>
      </c>
      <c r="E28" s="321">
        <v>55.553222213052997</v>
      </c>
      <c r="F28" s="319">
        <v>54.006322088216997</v>
      </c>
      <c r="G28" s="320">
        <v>27.003161044108001</v>
      </c>
      <c r="H28" s="322">
        <v>9.1609099999999994</v>
      </c>
      <c r="I28" s="319">
        <v>9.1609099999999994</v>
      </c>
      <c r="J28" s="320">
        <v>-17.842251044108</v>
      </c>
      <c r="K28" s="323">
        <v>0.169626622324</v>
      </c>
    </row>
    <row r="29" spans="1:11" ht="14.4" customHeight="1" thickBot="1" x14ac:dyDescent="0.35">
      <c r="A29" s="341" t="s">
        <v>205</v>
      </c>
      <c r="B29" s="319">
        <v>0</v>
      </c>
      <c r="C29" s="319">
        <v>7.1117999999999997</v>
      </c>
      <c r="D29" s="320">
        <v>7.1117999999999997</v>
      </c>
      <c r="E29" s="329" t="s">
        <v>179</v>
      </c>
      <c r="F29" s="319">
        <v>0.152039614209</v>
      </c>
      <c r="G29" s="320">
        <v>7.6019807103999998E-2</v>
      </c>
      <c r="H29" s="322">
        <v>0</v>
      </c>
      <c r="I29" s="319">
        <v>0</v>
      </c>
      <c r="J29" s="320">
        <v>-7.6019807103999998E-2</v>
      </c>
      <c r="K29" s="323">
        <v>0</v>
      </c>
    </row>
    <row r="30" spans="1:11" ht="14.4" customHeight="1" thickBot="1" x14ac:dyDescent="0.35">
      <c r="A30" s="341" t="s">
        <v>206</v>
      </c>
      <c r="B30" s="319">
        <v>8.48148950623</v>
      </c>
      <c r="C30" s="319">
        <v>0.83945000000000003</v>
      </c>
      <c r="D30" s="320">
        <v>-7.6420395062299997</v>
      </c>
      <c r="E30" s="321">
        <v>9.8974360503E-2</v>
      </c>
      <c r="F30" s="319">
        <v>0.78147881084699999</v>
      </c>
      <c r="G30" s="320">
        <v>0.39073940542300001</v>
      </c>
      <c r="H30" s="322">
        <v>4.1869999999999997E-2</v>
      </c>
      <c r="I30" s="319">
        <v>0.21424000000000001</v>
      </c>
      <c r="J30" s="320">
        <v>-0.17649940542299999</v>
      </c>
      <c r="K30" s="323">
        <v>0.27414690843299999</v>
      </c>
    </row>
    <row r="31" spans="1:11" ht="14.4" customHeight="1" thickBot="1" x14ac:dyDescent="0.35">
      <c r="A31" s="340" t="s">
        <v>207</v>
      </c>
      <c r="B31" s="324">
        <v>136.97110039666299</v>
      </c>
      <c r="C31" s="324">
        <v>145.50394</v>
      </c>
      <c r="D31" s="325">
        <v>8.5328396033370009</v>
      </c>
      <c r="E31" s="326">
        <v>1.0622966419819999</v>
      </c>
      <c r="F31" s="324">
        <v>269.43326292088602</v>
      </c>
      <c r="G31" s="325">
        <v>134.71663146044301</v>
      </c>
      <c r="H31" s="327">
        <v>17.74663</v>
      </c>
      <c r="I31" s="324">
        <v>105.00575000000001</v>
      </c>
      <c r="J31" s="325">
        <v>-29.710881460442</v>
      </c>
      <c r="K31" s="328">
        <v>0.38972823496800002</v>
      </c>
    </row>
    <row r="32" spans="1:11" ht="14.4" customHeight="1" thickBot="1" x14ac:dyDescent="0.35">
      <c r="A32" s="341" t="s">
        <v>208</v>
      </c>
      <c r="B32" s="319">
        <v>0</v>
      </c>
      <c r="C32" s="319">
        <v>10.025</v>
      </c>
      <c r="D32" s="320">
        <v>10.025</v>
      </c>
      <c r="E32" s="329" t="s">
        <v>179</v>
      </c>
      <c r="F32" s="319">
        <v>13</v>
      </c>
      <c r="G32" s="320">
        <v>6.5</v>
      </c>
      <c r="H32" s="322">
        <v>0.66913</v>
      </c>
      <c r="I32" s="319">
        <v>8.3367199999999997</v>
      </c>
      <c r="J32" s="320">
        <v>1.836719999999</v>
      </c>
      <c r="K32" s="323">
        <v>0.64128615384599996</v>
      </c>
    </row>
    <row r="33" spans="1:11" ht="14.4" customHeight="1" thickBot="1" x14ac:dyDescent="0.35">
      <c r="A33" s="341" t="s">
        <v>209</v>
      </c>
      <c r="B33" s="319">
        <v>135.79364930070599</v>
      </c>
      <c r="C33" s="319">
        <v>135.47893999999999</v>
      </c>
      <c r="D33" s="320">
        <v>-0.31470930070600001</v>
      </c>
      <c r="E33" s="321">
        <v>0.99768244463300004</v>
      </c>
      <c r="F33" s="319">
        <v>255.43326292088599</v>
      </c>
      <c r="G33" s="320">
        <v>127.716631460443</v>
      </c>
      <c r="H33" s="322">
        <v>17.077500000000001</v>
      </c>
      <c r="I33" s="319">
        <v>96.669030000000006</v>
      </c>
      <c r="J33" s="320">
        <v>-31.047601460441999</v>
      </c>
      <c r="K33" s="323">
        <v>0.37845122007400001</v>
      </c>
    </row>
    <row r="34" spans="1:11" ht="14.4" customHeight="1" thickBot="1" x14ac:dyDescent="0.35">
      <c r="A34" s="341" t="s">
        <v>210</v>
      </c>
      <c r="B34" s="319">
        <v>1.1774510959560001</v>
      </c>
      <c r="C34" s="319">
        <v>0</v>
      </c>
      <c r="D34" s="320">
        <v>-1.1774510959560001</v>
      </c>
      <c r="E34" s="321">
        <v>0</v>
      </c>
      <c r="F34" s="319">
        <v>1</v>
      </c>
      <c r="G34" s="320">
        <v>0.5</v>
      </c>
      <c r="H34" s="322">
        <v>0</v>
      </c>
      <c r="I34" s="319">
        <v>0</v>
      </c>
      <c r="J34" s="320">
        <v>-0.5</v>
      </c>
      <c r="K34" s="323">
        <v>0</v>
      </c>
    </row>
    <row r="35" spans="1:11" ht="14.4" customHeight="1" thickBot="1" x14ac:dyDescent="0.35">
      <c r="A35" s="339" t="s">
        <v>26</v>
      </c>
      <c r="B35" s="319">
        <v>6056.8321348599302</v>
      </c>
      <c r="C35" s="319">
        <v>6286.3890000000001</v>
      </c>
      <c r="D35" s="320">
        <v>229.55686514007601</v>
      </c>
      <c r="E35" s="321">
        <v>1.0379004832930001</v>
      </c>
      <c r="F35" s="319">
        <v>6366.0415846921596</v>
      </c>
      <c r="G35" s="320">
        <v>3183.0207923460798</v>
      </c>
      <c r="H35" s="322">
        <v>296.65800000000002</v>
      </c>
      <c r="I35" s="319">
        <v>3380.91</v>
      </c>
      <c r="J35" s="320">
        <v>197.88920765391899</v>
      </c>
      <c r="K35" s="323">
        <v>0.53108512645100003</v>
      </c>
    </row>
    <row r="36" spans="1:11" ht="14.4" customHeight="1" thickBot="1" x14ac:dyDescent="0.35">
      <c r="A36" s="340" t="s">
        <v>211</v>
      </c>
      <c r="B36" s="324">
        <v>6056.8321348599302</v>
      </c>
      <c r="C36" s="324">
        <v>6286.3890000000001</v>
      </c>
      <c r="D36" s="325">
        <v>229.55686514007601</v>
      </c>
      <c r="E36" s="326">
        <v>1.0379004832930001</v>
      </c>
      <c r="F36" s="324">
        <v>6366.0415846921596</v>
      </c>
      <c r="G36" s="325">
        <v>3183.0207923460798</v>
      </c>
      <c r="H36" s="327">
        <v>296.65800000000002</v>
      </c>
      <c r="I36" s="324">
        <v>3380.91</v>
      </c>
      <c r="J36" s="325">
        <v>197.88920765391899</v>
      </c>
      <c r="K36" s="328">
        <v>0.53108512645100003</v>
      </c>
    </row>
    <row r="37" spans="1:11" ht="14.4" customHeight="1" thickBot="1" x14ac:dyDescent="0.35">
      <c r="A37" s="341" t="s">
        <v>212</v>
      </c>
      <c r="B37" s="319">
        <v>367.81505741042002</v>
      </c>
      <c r="C37" s="319">
        <v>334.21199999999999</v>
      </c>
      <c r="D37" s="320">
        <v>-33.60305741042</v>
      </c>
      <c r="E37" s="321">
        <v>0.90864143070400005</v>
      </c>
      <c r="F37" s="319">
        <v>344.99999999999898</v>
      </c>
      <c r="G37" s="320">
        <v>172.49999999999901</v>
      </c>
      <c r="H37" s="322">
        <v>31.219000000000001</v>
      </c>
      <c r="I37" s="319">
        <v>173.636</v>
      </c>
      <c r="J37" s="320">
        <v>1.1359999999999999</v>
      </c>
      <c r="K37" s="323">
        <v>0.50329275362299997</v>
      </c>
    </row>
    <row r="38" spans="1:11" ht="14.4" customHeight="1" thickBot="1" x14ac:dyDescent="0.35">
      <c r="A38" s="341" t="s">
        <v>213</v>
      </c>
      <c r="B38" s="319">
        <v>1404.7846305745099</v>
      </c>
      <c r="C38" s="319">
        <v>1504.5540000000001</v>
      </c>
      <c r="D38" s="320">
        <v>99.769369425492002</v>
      </c>
      <c r="E38" s="321">
        <v>1.0710211140220001</v>
      </c>
      <c r="F38" s="319">
        <v>1625.0415846921901</v>
      </c>
      <c r="G38" s="320">
        <v>812.520792346093</v>
      </c>
      <c r="H38" s="322">
        <v>123.093</v>
      </c>
      <c r="I38" s="319">
        <v>775.66499999999996</v>
      </c>
      <c r="J38" s="320">
        <v>-36.855792346092002</v>
      </c>
      <c r="K38" s="323">
        <v>0.47732009279400001</v>
      </c>
    </row>
    <row r="39" spans="1:11" ht="14.4" customHeight="1" thickBot="1" x14ac:dyDescent="0.35">
      <c r="A39" s="341" t="s">
        <v>214</v>
      </c>
      <c r="B39" s="319">
        <v>4284.2324468750003</v>
      </c>
      <c r="C39" s="319">
        <v>4447.6229999999996</v>
      </c>
      <c r="D39" s="320">
        <v>163.390553125004</v>
      </c>
      <c r="E39" s="321">
        <v>1.03813764896</v>
      </c>
      <c r="F39" s="319">
        <v>4395.99999999998</v>
      </c>
      <c r="G39" s="320">
        <v>2197.99999999999</v>
      </c>
      <c r="H39" s="322">
        <v>142.346</v>
      </c>
      <c r="I39" s="319">
        <v>2431.6089999999999</v>
      </c>
      <c r="J39" s="320">
        <v>233.60900000001001</v>
      </c>
      <c r="K39" s="323">
        <v>0.55314126478600001</v>
      </c>
    </row>
    <row r="40" spans="1:11" ht="14.4" customHeight="1" thickBot="1" x14ac:dyDescent="0.35">
      <c r="A40" s="342" t="s">
        <v>215</v>
      </c>
      <c r="B40" s="324">
        <v>1923.7838805280701</v>
      </c>
      <c r="C40" s="324">
        <v>2237.5191300000001</v>
      </c>
      <c r="D40" s="325">
        <v>313.73524947192902</v>
      </c>
      <c r="E40" s="326">
        <v>1.1630823777279999</v>
      </c>
      <c r="F40" s="324">
        <v>2311.0397873750799</v>
      </c>
      <c r="G40" s="325">
        <v>1155.5198936875399</v>
      </c>
      <c r="H40" s="327">
        <v>239.64236</v>
      </c>
      <c r="I40" s="324">
        <v>848.64864</v>
      </c>
      <c r="J40" s="325">
        <v>-306.87125368753902</v>
      </c>
      <c r="K40" s="328">
        <v>0.367215071171</v>
      </c>
    </row>
    <row r="41" spans="1:11" ht="14.4" customHeight="1" thickBot="1" x14ac:dyDescent="0.35">
      <c r="A41" s="339" t="s">
        <v>29</v>
      </c>
      <c r="B41" s="319">
        <v>443.544766645359</v>
      </c>
      <c r="C41" s="319">
        <v>530.83978999999999</v>
      </c>
      <c r="D41" s="320">
        <v>87.295023354641003</v>
      </c>
      <c r="E41" s="321">
        <v>1.196812204582</v>
      </c>
      <c r="F41" s="319">
        <v>510.60969277632898</v>
      </c>
      <c r="G41" s="320">
        <v>255.30484638816401</v>
      </c>
      <c r="H41" s="322">
        <v>56.570369999999997</v>
      </c>
      <c r="I41" s="319">
        <v>285.58825999999999</v>
      </c>
      <c r="J41" s="320">
        <v>30.283413611835002</v>
      </c>
      <c r="K41" s="323">
        <v>0.55930834067599999</v>
      </c>
    </row>
    <row r="42" spans="1:11" ht="14.4" customHeight="1" thickBot="1" x14ac:dyDescent="0.35">
      <c r="A42" s="343" t="s">
        <v>216</v>
      </c>
      <c r="B42" s="319">
        <v>443.544766645359</v>
      </c>
      <c r="C42" s="319">
        <v>530.83978999999999</v>
      </c>
      <c r="D42" s="320">
        <v>87.295023354641003</v>
      </c>
      <c r="E42" s="321">
        <v>1.196812204582</v>
      </c>
      <c r="F42" s="319">
        <v>510.60969277632898</v>
      </c>
      <c r="G42" s="320">
        <v>255.30484638816401</v>
      </c>
      <c r="H42" s="322">
        <v>56.570369999999997</v>
      </c>
      <c r="I42" s="319">
        <v>285.58825999999999</v>
      </c>
      <c r="J42" s="320">
        <v>30.283413611835002</v>
      </c>
      <c r="K42" s="323">
        <v>0.55930834067599999</v>
      </c>
    </row>
    <row r="43" spans="1:11" ht="14.4" customHeight="1" thickBot="1" x14ac:dyDescent="0.35">
      <c r="A43" s="341" t="s">
        <v>217</v>
      </c>
      <c r="B43" s="319">
        <v>349.74122439192399</v>
      </c>
      <c r="C43" s="319">
        <v>502.37607000000003</v>
      </c>
      <c r="D43" s="320">
        <v>152.63484560807601</v>
      </c>
      <c r="E43" s="321">
        <v>1.4364222315320001</v>
      </c>
      <c r="F43" s="319">
        <v>481.195364143809</v>
      </c>
      <c r="G43" s="320">
        <v>240.59768207190399</v>
      </c>
      <c r="H43" s="322">
        <v>54.501190000000001</v>
      </c>
      <c r="I43" s="319">
        <v>264.32857999999999</v>
      </c>
      <c r="J43" s="320">
        <v>23.730897928095001</v>
      </c>
      <c r="K43" s="323">
        <v>0.54931655559500003</v>
      </c>
    </row>
    <row r="44" spans="1:11" ht="14.4" customHeight="1" thickBot="1" x14ac:dyDescent="0.35">
      <c r="A44" s="341" t="s">
        <v>218</v>
      </c>
      <c r="B44" s="319">
        <v>57.532935068405997</v>
      </c>
      <c r="C44" s="319">
        <v>2.68912</v>
      </c>
      <c r="D44" s="320">
        <v>-54.843815068406002</v>
      </c>
      <c r="E44" s="321">
        <v>4.6740532128000001E-2</v>
      </c>
      <c r="F44" s="319">
        <v>2.6834651097119999</v>
      </c>
      <c r="G44" s="320">
        <v>1.341732554856</v>
      </c>
      <c r="H44" s="322">
        <v>0</v>
      </c>
      <c r="I44" s="319">
        <v>0</v>
      </c>
      <c r="J44" s="320">
        <v>-1.341732554856</v>
      </c>
      <c r="K44" s="323">
        <v>0</v>
      </c>
    </row>
    <row r="45" spans="1:11" ht="14.4" customHeight="1" thickBot="1" x14ac:dyDescent="0.35">
      <c r="A45" s="341" t="s">
        <v>219</v>
      </c>
      <c r="B45" s="319">
        <v>15.562822619087999</v>
      </c>
      <c r="C45" s="319">
        <v>3.6177999999999999</v>
      </c>
      <c r="D45" s="320">
        <v>-11.945022619088</v>
      </c>
      <c r="E45" s="321">
        <v>0.23246425719399999</v>
      </c>
      <c r="F45" s="319">
        <v>4.7308635228069997</v>
      </c>
      <c r="G45" s="320">
        <v>2.3654317614029998</v>
      </c>
      <c r="H45" s="322">
        <v>0</v>
      </c>
      <c r="I45" s="319">
        <v>3.7906</v>
      </c>
      <c r="J45" s="320">
        <v>1.4251682385960001</v>
      </c>
      <c r="K45" s="323">
        <v>0.80124907043399995</v>
      </c>
    </row>
    <row r="46" spans="1:11" ht="14.4" customHeight="1" thickBot="1" x14ac:dyDescent="0.35">
      <c r="A46" s="341" t="s">
        <v>220</v>
      </c>
      <c r="B46" s="319">
        <v>20.707784565939001</v>
      </c>
      <c r="C46" s="319">
        <v>22.1568</v>
      </c>
      <c r="D46" s="320">
        <v>1.4490154340600001</v>
      </c>
      <c r="E46" s="321">
        <v>1.0699744306029999</v>
      </c>
      <c r="F46" s="319">
        <v>21.999999999999002</v>
      </c>
      <c r="G46" s="320">
        <v>11</v>
      </c>
      <c r="H46" s="322">
        <v>2.0691799999999998</v>
      </c>
      <c r="I46" s="319">
        <v>17.469080000000002</v>
      </c>
      <c r="J46" s="320">
        <v>6.4690799999999999</v>
      </c>
      <c r="K46" s="323">
        <v>0.794049090909</v>
      </c>
    </row>
    <row r="47" spans="1:11" ht="14.4" customHeight="1" thickBot="1" x14ac:dyDescent="0.35">
      <c r="A47" s="344" t="s">
        <v>30</v>
      </c>
      <c r="B47" s="324">
        <v>0</v>
      </c>
      <c r="C47" s="324">
        <v>3.5510000000000002</v>
      </c>
      <c r="D47" s="325">
        <v>3.5510000000000002</v>
      </c>
      <c r="E47" s="331" t="s">
        <v>179</v>
      </c>
      <c r="F47" s="324">
        <v>0</v>
      </c>
      <c r="G47" s="325">
        <v>0</v>
      </c>
      <c r="H47" s="327">
        <v>2.4209999999999998</v>
      </c>
      <c r="I47" s="324">
        <v>3.5720000000000001</v>
      </c>
      <c r="J47" s="325">
        <v>3.5720000000000001</v>
      </c>
      <c r="K47" s="332" t="s">
        <v>179</v>
      </c>
    </row>
    <row r="48" spans="1:11" ht="14.4" customHeight="1" thickBot="1" x14ac:dyDescent="0.35">
      <c r="A48" s="340" t="s">
        <v>221</v>
      </c>
      <c r="B48" s="324">
        <v>0</v>
      </c>
      <c r="C48" s="324">
        <v>3.5510000000000002</v>
      </c>
      <c r="D48" s="325">
        <v>3.5510000000000002</v>
      </c>
      <c r="E48" s="331" t="s">
        <v>179</v>
      </c>
      <c r="F48" s="324">
        <v>0</v>
      </c>
      <c r="G48" s="325">
        <v>0</v>
      </c>
      <c r="H48" s="327">
        <v>2.4209999999999998</v>
      </c>
      <c r="I48" s="324">
        <v>3.5720000000000001</v>
      </c>
      <c r="J48" s="325">
        <v>3.5720000000000001</v>
      </c>
      <c r="K48" s="332" t="s">
        <v>179</v>
      </c>
    </row>
    <row r="49" spans="1:11" ht="14.4" customHeight="1" thickBot="1" x14ac:dyDescent="0.35">
      <c r="A49" s="341" t="s">
        <v>222</v>
      </c>
      <c r="B49" s="319">
        <v>0</v>
      </c>
      <c r="C49" s="319">
        <v>3.5510000000000002</v>
      </c>
      <c r="D49" s="320">
        <v>3.5510000000000002</v>
      </c>
      <c r="E49" s="329" t="s">
        <v>179</v>
      </c>
      <c r="F49" s="319">
        <v>0</v>
      </c>
      <c r="G49" s="320">
        <v>0</v>
      </c>
      <c r="H49" s="322">
        <v>2.4209999999999998</v>
      </c>
      <c r="I49" s="319">
        <v>3.5720000000000001</v>
      </c>
      <c r="J49" s="320">
        <v>3.5720000000000001</v>
      </c>
      <c r="K49" s="330" t="s">
        <v>179</v>
      </c>
    </row>
    <row r="50" spans="1:11" ht="14.4" customHeight="1" thickBot="1" x14ac:dyDescent="0.35">
      <c r="A50" s="339" t="s">
        <v>31</v>
      </c>
      <c r="B50" s="319">
        <v>1480.2391138827099</v>
      </c>
      <c r="C50" s="319">
        <v>1703.12834</v>
      </c>
      <c r="D50" s="320">
        <v>222.88922611728799</v>
      </c>
      <c r="E50" s="321">
        <v>1.150576500801</v>
      </c>
      <c r="F50" s="319">
        <v>1800.43009459875</v>
      </c>
      <c r="G50" s="320">
        <v>900.21504729937499</v>
      </c>
      <c r="H50" s="322">
        <v>180.65099000000001</v>
      </c>
      <c r="I50" s="319">
        <v>559.48838000000001</v>
      </c>
      <c r="J50" s="320">
        <v>-340.72666729937498</v>
      </c>
      <c r="K50" s="323">
        <v>0.31075262609600002</v>
      </c>
    </row>
    <row r="51" spans="1:11" ht="14.4" customHeight="1" thickBot="1" x14ac:dyDescent="0.35">
      <c r="A51" s="340" t="s">
        <v>223</v>
      </c>
      <c r="B51" s="324">
        <v>6.9938277921200003</v>
      </c>
      <c r="C51" s="324">
        <v>4.3068499999999998</v>
      </c>
      <c r="D51" s="325">
        <v>-2.68697779212</v>
      </c>
      <c r="E51" s="326">
        <v>0.61580727006900005</v>
      </c>
      <c r="F51" s="324">
        <v>4.8589922706040003</v>
      </c>
      <c r="G51" s="325">
        <v>2.4294961353020001</v>
      </c>
      <c r="H51" s="327">
        <v>0.16719000000000001</v>
      </c>
      <c r="I51" s="324">
        <v>1.83887</v>
      </c>
      <c r="J51" s="325">
        <v>-0.59062613530200003</v>
      </c>
      <c r="K51" s="328">
        <v>0.37844678435099999</v>
      </c>
    </row>
    <row r="52" spans="1:11" ht="14.4" customHeight="1" thickBot="1" x14ac:dyDescent="0.35">
      <c r="A52" s="341" t="s">
        <v>224</v>
      </c>
      <c r="B52" s="319">
        <v>0.67196376455999995</v>
      </c>
      <c r="C52" s="319">
        <v>0.87590000000000001</v>
      </c>
      <c r="D52" s="320">
        <v>0.203936235439</v>
      </c>
      <c r="E52" s="321">
        <v>1.3034929057110001</v>
      </c>
      <c r="F52" s="319">
        <v>0.78388929277599995</v>
      </c>
      <c r="G52" s="320">
        <v>0.39194464638799997</v>
      </c>
      <c r="H52" s="322">
        <v>3.78E-2</v>
      </c>
      <c r="I52" s="319">
        <v>3.78E-2</v>
      </c>
      <c r="J52" s="320">
        <v>-0.35414464638799997</v>
      </c>
      <c r="K52" s="323">
        <v>4.8221094928000002E-2</v>
      </c>
    </row>
    <row r="53" spans="1:11" ht="14.4" customHeight="1" thickBot="1" x14ac:dyDescent="0.35">
      <c r="A53" s="341" t="s">
        <v>225</v>
      </c>
      <c r="B53" s="319">
        <v>6.3218640275590001</v>
      </c>
      <c r="C53" s="319">
        <v>3.4309500000000002</v>
      </c>
      <c r="D53" s="320">
        <v>-2.890914027559</v>
      </c>
      <c r="E53" s="321">
        <v>0.54271176745299998</v>
      </c>
      <c r="F53" s="319">
        <v>4.0751029778280001</v>
      </c>
      <c r="G53" s="320">
        <v>2.0375514889140001</v>
      </c>
      <c r="H53" s="322">
        <v>0.12939000000000001</v>
      </c>
      <c r="I53" s="319">
        <v>1.8010699999999999</v>
      </c>
      <c r="J53" s="320">
        <v>-0.236481488914</v>
      </c>
      <c r="K53" s="323">
        <v>0.44196919925599998</v>
      </c>
    </row>
    <row r="54" spans="1:11" ht="14.4" customHeight="1" thickBot="1" x14ac:dyDescent="0.35">
      <c r="A54" s="340" t="s">
        <v>226</v>
      </c>
      <c r="B54" s="324">
        <v>1.999996816928</v>
      </c>
      <c r="C54" s="324">
        <v>1.62</v>
      </c>
      <c r="D54" s="325">
        <v>-0.37999681692800003</v>
      </c>
      <c r="E54" s="326">
        <v>0.81000128914500003</v>
      </c>
      <c r="F54" s="324">
        <v>2</v>
      </c>
      <c r="G54" s="325">
        <v>1</v>
      </c>
      <c r="H54" s="327">
        <v>0</v>
      </c>
      <c r="I54" s="324">
        <v>0.81</v>
      </c>
      <c r="J54" s="325">
        <v>-0.19</v>
      </c>
      <c r="K54" s="328">
        <v>0.40499999999899999</v>
      </c>
    </row>
    <row r="55" spans="1:11" ht="14.4" customHeight="1" thickBot="1" x14ac:dyDescent="0.35">
      <c r="A55" s="341" t="s">
        <v>227</v>
      </c>
      <c r="B55" s="319">
        <v>1.999996816928</v>
      </c>
      <c r="C55" s="319">
        <v>1.62</v>
      </c>
      <c r="D55" s="320">
        <v>-0.37999681692800003</v>
      </c>
      <c r="E55" s="321">
        <v>0.81000128914500003</v>
      </c>
      <c r="F55" s="319">
        <v>2</v>
      </c>
      <c r="G55" s="320">
        <v>1</v>
      </c>
      <c r="H55" s="322">
        <v>0</v>
      </c>
      <c r="I55" s="319">
        <v>0.81</v>
      </c>
      <c r="J55" s="320">
        <v>-0.19</v>
      </c>
      <c r="K55" s="323">
        <v>0.40499999999899999</v>
      </c>
    </row>
    <row r="56" spans="1:11" ht="14.4" customHeight="1" thickBot="1" x14ac:dyDescent="0.35">
      <c r="A56" s="340" t="s">
        <v>228</v>
      </c>
      <c r="B56" s="324">
        <v>436.59616931502097</v>
      </c>
      <c r="C56" s="324">
        <v>475.72815000000003</v>
      </c>
      <c r="D56" s="325">
        <v>39.131980684978998</v>
      </c>
      <c r="E56" s="326">
        <v>1.089629693147</v>
      </c>
      <c r="F56" s="324">
        <v>442.38043361208099</v>
      </c>
      <c r="G56" s="325">
        <v>221.19021680604001</v>
      </c>
      <c r="H56" s="327">
        <v>39.477069999999998</v>
      </c>
      <c r="I56" s="324">
        <v>231.15985000000001</v>
      </c>
      <c r="J56" s="325">
        <v>9.9696331939589999</v>
      </c>
      <c r="K56" s="328">
        <v>0.52253633396999999</v>
      </c>
    </row>
    <row r="57" spans="1:11" ht="14.4" customHeight="1" thickBot="1" x14ac:dyDescent="0.35">
      <c r="A57" s="341" t="s">
        <v>229</v>
      </c>
      <c r="B57" s="319">
        <v>426.476451106936</v>
      </c>
      <c r="C57" s="319">
        <v>418.49767000000003</v>
      </c>
      <c r="D57" s="320">
        <v>-7.9787811069350001</v>
      </c>
      <c r="E57" s="321">
        <v>0.98129139115099995</v>
      </c>
      <c r="F57" s="319">
        <v>433</v>
      </c>
      <c r="G57" s="320">
        <v>216.5</v>
      </c>
      <c r="H57" s="322">
        <v>38.677070000000001</v>
      </c>
      <c r="I57" s="319">
        <v>226.95984999999999</v>
      </c>
      <c r="J57" s="320">
        <v>10.459849999998999</v>
      </c>
      <c r="K57" s="323">
        <v>0.52415669745899995</v>
      </c>
    </row>
    <row r="58" spans="1:11" ht="14.4" customHeight="1" thickBot="1" x14ac:dyDescent="0.35">
      <c r="A58" s="341" t="s">
        <v>230</v>
      </c>
      <c r="B58" s="319">
        <v>0</v>
      </c>
      <c r="C58" s="319">
        <v>49.630479999999999</v>
      </c>
      <c r="D58" s="320">
        <v>49.630479999999999</v>
      </c>
      <c r="E58" s="329" t="s">
        <v>196</v>
      </c>
      <c r="F58" s="319">
        <v>0</v>
      </c>
      <c r="G58" s="320">
        <v>0</v>
      </c>
      <c r="H58" s="322">
        <v>0</v>
      </c>
      <c r="I58" s="319">
        <v>0</v>
      </c>
      <c r="J58" s="320">
        <v>0</v>
      </c>
      <c r="K58" s="330" t="s">
        <v>179</v>
      </c>
    </row>
    <row r="59" spans="1:11" ht="14.4" customHeight="1" thickBot="1" x14ac:dyDescent="0.35">
      <c r="A59" s="341" t="s">
        <v>231</v>
      </c>
      <c r="B59" s="319">
        <v>10.119718208084</v>
      </c>
      <c r="C59" s="319">
        <v>7.6</v>
      </c>
      <c r="D59" s="320">
        <v>-2.5197182080839999</v>
      </c>
      <c r="E59" s="321">
        <v>0.75100905417700003</v>
      </c>
      <c r="F59" s="319">
        <v>9.3804336120799992</v>
      </c>
      <c r="G59" s="320">
        <v>4.6902168060399996</v>
      </c>
      <c r="H59" s="322">
        <v>0.8</v>
      </c>
      <c r="I59" s="319">
        <v>4.2</v>
      </c>
      <c r="J59" s="320">
        <v>-0.49021680604000001</v>
      </c>
      <c r="K59" s="323">
        <v>0.447740496195</v>
      </c>
    </row>
    <row r="60" spans="1:11" ht="14.4" customHeight="1" thickBot="1" x14ac:dyDescent="0.35">
      <c r="A60" s="340" t="s">
        <v>232</v>
      </c>
      <c r="B60" s="324">
        <v>1007.8274608605</v>
      </c>
      <c r="C60" s="324">
        <v>1197.9883400000001</v>
      </c>
      <c r="D60" s="325">
        <v>190.160879139504</v>
      </c>
      <c r="E60" s="326">
        <v>1.1886839628050001</v>
      </c>
      <c r="F60" s="324">
        <v>1321.1906687160699</v>
      </c>
      <c r="G60" s="325">
        <v>660.59533435803303</v>
      </c>
      <c r="H60" s="327">
        <v>141.00673</v>
      </c>
      <c r="I60" s="324">
        <v>325.67966000000001</v>
      </c>
      <c r="J60" s="325">
        <v>-334.91567435803302</v>
      </c>
      <c r="K60" s="328">
        <v>0.24650466258299999</v>
      </c>
    </row>
    <row r="61" spans="1:11" ht="14.4" customHeight="1" thickBot="1" x14ac:dyDescent="0.35">
      <c r="A61" s="341" t="s">
        <v>233</v>
      </c>
      <c r="B61" s="319">
        <v>4.9999920423219999</v>
      </c>
      <c r="C61" s="319">
        <v>2.8090000000000002</v>
      </c>
      <c r="D61" s="320">
        <v>-2.1909920423220002</v>
      </c>
      <c r="E61" s="321">
        <v>0.56180089412599998</v>
      </c>
      <c r="F61" s="319">
        <v>24.975999999999001</v>
      </c>
      <c r="G61" s="320">
        <v>12.487999999998999</v>
      </c>
      <c r="H61" s="322">
        <v>16.242000000000001</v>
      </c>
      <c r="I61" s="319">
        <v>16.242000000000001</v>
      </c>
      <c r="J61" s="320">
        <v>3.754</v>
      </c>
      <c r="K61" s="323">
        <v>0.65030429211999996</v>
      </c>
    </row>
    <row r="62" spans="1:11" ht="14.4" customHeight="1" thickBot="1" x14ac:dyDescent="0.35">
      <c r="A62" s="341" t="s">
        <v>234</v>
      </c>
      <c r="B62" s="319">
        <v>933.15222193161696</v>
      </c>
      <c r="C62" s="319">
        <v>1115.6534999999999</v>
      </c>
      <c r="D62" s="320">
        <v>182.50127806838401</v>
      </c>
      <c r="E62" s="321">
        <v>1.195575034575</v>
      </c>
      <c r="F62" s="319">
        <v>1172.40101218922</v>
      </c>
      <c r="G62" s="320">
        <v>586.20050609460998</v>
      </c>
      <c r="H62" s="322">
        <v>118.65573000000001</v>
      </c>
      <c r="I62" s="319">
        <v>247.78541000000001</v>
      </c>
      <c r="J62" s="320">
        <v>-338.41509609461002</v>
      </c>
      <c r="K62" s="323">
        <v>0.211348683107</v>
      </c>
    </row>
    <row r="63" spans="1:11" ht="14.4" customHeight="1" thickBot="1" x14ac:dyDescent="0.35">
      <c r="A63" s="341" t="s">
        <v>235</v>
      </c>
      <c r="B63" s="319">
        <v>3.9999936338570001</v>
      </c>
      <c r="C63" s="319">
        <v>0</v>
      </c>
      <c r="D63" s="320">
        <v>-3.9999936338570001</v>
      </c>
      <c r="E63" s="321">
        <v>0</v>
      </c>
      <c r="F63" s="319">
        <v>4</v>
      </c>
      <c r="G63" s="320">
        <v>2</v>
      </c>
      <c r="H63" s="322">
        <v>0</v>
      </c>
      <c r="I63" s="319">
        <v>0</v>
      </c>
      <c r="J63" s="320">
        <v>-2</v>
      </c>
      <c r="K63" s="323">
        <v>0</v>
      </c>
    </row>
    <row r="64" spans="1:11" ht="14.4" customHeight="1" thickBot="1" x14ac:dyDescent="0.35">
      <c r="A64" s="341" t="s">
        <v>236</v>
      </c>
      <c r="B64" s="319">
        <v>65.675253252698994</v>
      </c>
      <c r="C64" s="319">
        <v>79.525840000000002</v>
      </c>
      <c r="D64" s="320">
        <v>13.8505867473</v>
      </c>
      <c r="E64" s="321">
        <v>1.210895064142</v>
      </c>
      <c r="F64" s="319">
        <v>119.813656526846</v>
      </c>
      <c r="G64" s="320">
        <v>59.906828263422</v>
      </c>
      <c r="H64" s="322">
        <v>6.109</v>
      </c>
      <c r="I64" s="319">
        <v>57.481349999999999</v>
      </c>
      <c r="J64" s="320">
        <v>-2.4254782634219998</v>
      </c>
      <c r="K64" s="323">
        <v>0.479756245375</v>
      </c>
    </row>
    <row r="65" spans="1:11" ht="14.4" customHeight="1" thickBot="1" x14ac:dyDescent="0.35">
      <c r="A65" s="341" t="s">
        <v>237</v>
      </c>
      <c r="B65" s="319">
        <v>0</v>
      </c>
      <c r="C65" s="319">
        <v>0</v>
      </c>
      <c r="D65" s="320">
        <v>0</v>
      </c>
      <c r="E65" s="321">
        <v>1</v>
      </c>
      <c r="F65" s="319">
        <v>0</v>
      </c>
      <c r="G65" s="320">
        <v>0</v>
      </c>
      <c r="H65" s="322">
        <v>0</v>
      </c>
      <c r="I65" s="319">
        <v>4.1708999999999996</v>
      </c>
      <c r="J65" s="320">
        <v>4.1708999999999996</v>
      </c>
      <c r="K65" s="330" t="s">
        <v>196</v>
      </c>
    </row>
    <row r="66" spans="1:11" ht="14.4" customHeight="1" thickBot="1" x14ac:dyDescent="0.35">
      <c r="A66" s="340" t="s">
        <v>238</v>
      </c>
      <c r="B66" s="324">
        <v>26.821659098146</v>
      </c>
      <c r="C66" s="324">
        <v>23.484999999999999</v>
      </c>
      <c r="D66" s="325">
        <v>-3.3366590981459998</v>
      </c>
      <c r="E66" s="326">
        <v>0.87559833320000002</v>
      </c>
      <c r="F66" s="324">
        <v>30</v>
      </c>
      <c r="G66" s="325">
        <v>15</v>
      </c>
      <c r="H66" s="327">
        <v>0</v>
      </c>
      <c r="I66" s="324">
        <v>0</v>
      </c>
      <c r="J66" s="325">
        <v>-15</v>
      </c>
      <c r="K66" s="328">
        <v>0</v>
      </c>
    </row>
    <row r="67" spans="1:11" ht="14.4" customHeight="1" thickBot="1" x14ac:dyDescent="0.35">
      <c r="A67" s="341" t="s">
        <v>239</v>
      </c>
      <c r="B67" s="319">
        <v>1.8216988865329999</v>
      </c>
      <c r="C67" s="319">
        <v>1.1000000000000001</v>
      </c>
      <c r="D67" s="320">
        <v>-0.72169888653299996</v>
      </c>
      <c r="E67" s="321">
        <v>0.60383195495700004</v>
      </c>
      <c r="F67" s="319">
        <v>5</v>
      </c>
      <c r="G67" s="320">
        <v>2.5</v>
      </c>
      <c r="H67" s="322">
        <v>0</v>
      </c>
      <c r="I67" s="319">
        <v>0</v>
      </c>
      <c r="J67" s="320">
        <v>-2.5</v>
      </c>
      <c r="K67" s="323">
        <v>0</v>
      </c>
    </row>
    <row r="68" spans="1:11" ht="14.4" customHeight="1" thickBot="1" x14ac:dyDescent="0.35">
      <c r="A68" s="341" t="s">
        <v>240</v>
      </c>
      <c r="B68" s="319">
        <v>24.999960211611999</v>
      </c>
      <c r="C68" s="319">
        <v>22.385000000000002</v>
      </c>
      <c r="D68" s="320">
        <v>-2.6149602116119999</v>
      </c>
      <c r="E68" s="321">
        <v>0.89540142506300002</v>
      </c>
      <c r="F68" s="319">
        <v>25</v>
      </c>
      <c r="G68" s="320">
        <v>12.5</v>
      </c>
      <c r="H68" s="322">
        <v>0</v>
      </c>
      <c r="I68" s="319">
        <v>0</v>
      </c>
      <c r="J68" s="320">
        <v>-12.5</v>
      </c>
      <c r="K68" s="323">
        <v>0</v>
      </c>
    </row>
    <row r="69" spans="1:11" ht="14.4" customHeight="1" thickBot="1" x14ac:dyDescent="0.35">
      <c r="A69" s="338" t="s">
        <v>32</v>
      </c>
      <c r="B69" s="319">
        <v>12221.0011033057</v>
      </c>
      <c r="C69" s="319">
        <v>13310.073560000001</v>
      </c>
      <c r="D69" s="320">
        <v>1089.0724566943099</v>
      </c>
      <c r="E69" s="321">
        <v>1.0891148317129999</v>
      </c>
      <c r="F69" s="319">
        <v>13272</v>
      </c>
      <c r="G69" s="320">
        <v>6636</v>
      </c>
      <c r="H69" s="322">
        <v>1066.4939300000001</v>
      </c>
      <c r="I69" s="319">
        <v>6944.35437</v>
      </c>
      <c r="J69" s="320">
        <v>308.35437000000002</v>
      </c>
      <c r="K69" s="323">
        <v>0.52323345162699997</v>
      </c>
    </row>
    <row r="70" spans="1:11" ht="14.4" customHeight="1" thickBot="1" x14ac:dyDescent="0.35">
      <c r="A70" s="344" t="s">
        <v>241</v>
      </c>
      <c r="B70" s="324">
        <v>9026.0008148627094</v>
      </c>
      <c r="C70" s="324">
        <v>9831.6970000000001</v>
      </c>
      <c r="D70" s="325">
        <v>805.69618513729404</v>
      </c>
      <c r="E70" s="326">
        <v>1.0892639167289999</v>
      </c>
      <c r="F70" s="324">
        <v>9766.0000000000091</v>
      </c>
      <c r="G70" s="325">
        <v>4883</v>
      </c>
      <c r="H70" s="327">
        <v>784.18399999999997</v>
      </c>
      <c r="I70" s="324">
        <v>5113.0429999999997</v>
      </c>
      <c r="J70" s="325">
        <v>230.04299999999901</v>
      </c>
      <c r="K70" s="328">
        <v>0.523555498668</v>
      </c>
    </row>
    <row r="71" spans="1:11" ht="14.4" customHeight="1" thickBot="1" x14ac:dyDescent="0.35">
      <c r="A71" s="340" t="s">
        <v>242</v>
      </c>
      <c r="B71" s="324">
        <v>9000.00081251544</v>
      </c>
      <c r="C71" s="324">
        <v>9796.7060000000001</v>
      </c>
      <c r="D71" s="325">
        <v>796.70518748456197</v>
      </c>
      <c r="E71" s="326">
        <v>1.0885227906170001</v>
      </c>
      <c r="F71" s="324">
        <v>9738.0000000000091</v>
      </c>
      <c r="G71" s="325">
        <v>4869</v>
      </c>
      <c r="H71" s="327">
        <v>784.18399999999997</v>
      </c>
      <c r="I71" s="324">
        <v>5085.433</v>
      </c>
      <c r="J71" s="325">
        <v>216.432999999999</v>
      </c>
      <c r="K71" s="328">
        <v>0.52222561100800002</v>
      </c>
    </row>
    <row r="72" spans="1:11" ht="14.4" customHeight="1" thickBot="1" x14ac:dyDescent="0.35">
      <c r="A72" s="341" t="s">
        <v>243</v>
      </c>
      <c r="B72" s="319">
        <v>9000.00081251544</v>
      </c>
      <c r="C72" s="319">
        <v>9796.7060000000001</v>
      </c>
      <c r="D72" s="320">
        <v>796.70518748456197</v>
      </c>
      <c r="E72" s="321">
        <v>1.0885227906170001</v>
      </c>
      <c r="F72" s="319">
        <v>9738.0000000000091</v>
      </c>
      <c r="G72" s="320">
        <v>4869</v>
      </c>
      <c r="H72" s="322">
        <v>784.18399999999997</v>
      </c>
      <c r="I72" s="319">
        <v>5085.433</v>
      </c>
      <c r="J72" s="320">
        <v>216.432999999999</v>
      </c>
      <c r="K72" s="323">
        <v>0.52222561100800002</v>
      </c>
    </row>
    <row r="73" spans="1:11" ht="14.4" customHeight="1" thickBot="1" x14ac:dyDescent="0.35">
      <c r="A73" s="340" t="s">
        <v>244</v>
      </c>
      <c r="B73" s="324">
        <v>26.000002347266001</v>
      </c>
      <c r="C73" s="324">
        <v>34.991</v>
      </c>
      <c r="D73" s="325">
        <v>8.9909976527330002</v>
      </c>
      <c r="E73" s="326">
        <v>1.345807570808</v>
      </c>
      <c r="F73" s="324">
        <v>28</v>
      </c>
      <c r="G73" s="325">
        <v>14</v>
      </c>
      <c r="H73" s="327">
        <v>0</v>
      </c>
      <c r="I73" s="324">
        <v>27.61</v>
      </c>
      <c r="J73" s="325">
        <v>13.61</v>
      </c>
      <c r="K73" s="328">
        <v>0.98607142857100005</v>
      </c>
    </row>
    <row r="74" spans="1:11" ht="14.4" customHeight="1" thickBot="1" x14ac:dyDescent="0.35">
      <c r="A74" s="341" t="s">
        <v>245</v>
      </c>
      <c r="B74" s="319">
        <v>26.000002347266001</v>
      </c>
      <c r="C74" s="319">
        <v>34.991</v>
      </c>
      <c r="D74" s="320">
        <v>8.9909976527330002</v>
      </c>
      <c r="E74" s="321">
        <v>1.345807570808</v>
      </c>
      <c r="F74" s="319">
        <v>28</v>
      </c>
      <c r="G74" s="320">
        <v>14</v>
      </c>
      <c r="H74" s="322">
        <v>0</v>
      </c>
      <c r="I74" s="319">
        <v>27.61</v>
      </c>
      <c r="J74" s="320">
        <v>13.61</v>
      </c>
      <c r="K74" s="323">
        <v>0.98607142857100005</v>
      </c>
    </row>
    <row r="75" spans="1:11" ht="14.4" customHeight="1" thickBot="1" x14ac:dyDescent="0.35">
      <c r="A75" s="339" t="s">
        <v>246</v>
      </c>
      <c r="B75" s="319">
        <v>3060.0002762552499</v>
      </c>
      <c r="C75" s="319">
        <v>3330.8935000000001</v>
      </c>
      <c r="D75" s="320">
        <v>270.89322374475103</v>
      </c>
      <c r="E75" s="321">
        <v>1.0885271893099999</v>
      </c>
      <c r="F75" s="319">
        <v>3311</v>
      </c>
      <c r="G75" s="320">
        <v>1655.5</v>
      </c>
      <c r="H75" s="322">
        <v>266.62400000000002</v>
      </c>
      <c r="I75" s="319">
        <v>1729.0482500000001</v>
      </c>
      <c r="J75" s="320">
        <v>73.548250000002</v>
      </c>
      <c r="K75" s="323">
        <v>0.52221330413699996</v>
      </c>
    </row>
    <row r="76" spans="1:11" ht="14.4" customHeight="1" thickBot="1" x14ac:dyDescent="0.35">
      <c r="A76" s="340" t="s">
        <v>247</v>
      </c>
      <c r="B76" s="324">
        <v>810.00007312639002</v>
      </c>
      <c r="C76" s="324">
        <v>881.71700000000101</v>
      </c>
      <c r="D76" s="325">
        <v>71.716926873610007</v>
      </c>
      <c r="E76" s="326">
        <v>1.0885394078999999</v>
      </c>
      <c r="F76" s="324">
        <v>875.99999999999602</v>
      </c>
      <c r="G76" s="325">
        <v>437.99999999999801</v>
      </c>
      <c r="H76" s="327">
        <v>70.578000000000003</v>
      </c>
      <c r="I76" s="324">
        <v>457.69</v>
      </c>
      <c r="J76" s="325">
        <v>19.690000000002001</v>
      </c>
      <c r="K76" s="328">
        <v>0.52247716894899998</v>
      </c>
    </row>
    <row r="77" spans="1:11" ht="14.4" customHeight="1" thickBot="1" x14ac:dyDescent="0.35">
      <c r="A77" s="341" t="s">
        <v>248</v>
      </c>
      <c r="B77" s="319">
        <v>810.00007312639002</v>
      </c>
      <c r="C77" s="319">
        <v>881.71700000000101</v>
      </c>
      <c r="D77" s="320">
        <v>71.716926873610007</v>
      </c>
      <c r="E77" s="321">
        <v>1.0885394078999999</v>
      </c>
      <c r="F77" s="319">
        <v>875.99999999999602</v>
      </c>
      <c r="G77" s="320">
        <v>437.99999999999801</v>
      </c>
      <c r="H77" s="322">
        <v>70.578000000000003</v>
      </c>
      <c r="I77" s="319">
        <v>457.69</v>
      </c>
      <c r="J77" s="320">
        <v>19.690000000002001</v>
      </c>
      <c r="K77" s="323">
        <v>0.52247716894899998</v>
      </c>
    </row>
    <row r="78" spans="1:11" ht="14.4" customHeight="1" thickBot="1" x14ac:dyDescent="0.35">
      <c r="A78" s="340" t="s">
        <v>249</v>
      </c>
      <c r="B78" s="324">
        <v>2250.00020312886</v>
      </c>
      <c r="C78" s="324">
        <v>2449.1765</v>
      </c>
      <c r="D78" s="325">
        <v>199.17629687114001</v>
      </c>
      <c r="E78" s="326">
        <v>1.0885227906170001</v>
      </c>
      <c r="F78" s="324">
        <v>2435</v>
      </c>
      <c r="G78" s="325">
        <v>1217.5</v>
      </c>
      <c r="H78" s="327">
        <v>196.04599999999999</v>
      </c>
      <c r="I78" s="324">
        <v>1271.35825</v>
      </c>
      <c r="J78" s="325">
        <v>53.858249999999998</v>
      </c>
      <c r="K78" s="328">
        <v>0.52211837782299997</v>
      </c>
    </row>
    <row r="79" spans="1:11" ht="14.4" customHeight="1" thickBot="1" x14ac:dyDescent="0.35">
      <c r="A79" s="341" t="s">
        <v>250</v>
      </c>
      <c r="B79" s="319">
        <v>2250.00020312886</v>
      </c>
      <c r="C79" s="319">
        <v>2449.1765</v>
      </c>
      <c r="D79" s="320">
        <v>199.17629687114001</v>
      </c>
      <c r="E79" s="321">
        <v>1.0885227906170001</v>
      </c>
      <c r="F79" s="319">
        <v>2435</v>
      </c>
      <c r="G79" s="320">
        <v>1217.5</v>
      </c>
      <c r="H79" s="322">
        <v>196.04599999999999</v>
      </c>
      <c r="I79" s="319">
        <v>1271.35825</v>
      </c>
      <c r="J79" s="320">
        <v>53.858249999999998</v>
      </c>
      <c r="K79" s="323">
        <v>0.52211837782299997</v>
      </c>
    </row>
    <row r="80" spans="1:11" ht="14.4" customHeight="1" thickBot="1" x14ac:dyDescent="0.35">
      <c r="A80" s="339" t="s">
        <v>251</v>
      </c>
      <c r="B80" s="319">
        <v>135.00001218773201</v>
      </c>
      <c r="C80" s="319">
        <v>147.48305999999999</v>
      </c>
      <c r="D80" s="320">
        <v>12.483047812268</v>
      </c>
      <c r="E80" s="321">
        <v>1.092467012483</v>
      </c>
      <c r="F80" s="319">
        <v>195</v>
      </c>
      <c r="G80" s="320">
        <v>97.5</v>
      </c>
      <c r="H80" s="322">
        <v>15.685930000000001</v>
      </c>
      <c r="I80" s="319">
        <v>102.26312</v>
      </c>
      <c r="J80" s="320">
        <v>4.7631199999989997</v>
      </c>
      <c r="K80" s="323">
        <v>0.52442625640999996</v>
      </c>
    </row>
    <row r="81" spans="1:11" ht="14.4" customHeight="1" thickBot="1" x14ac:dyDescent="0.35">
      <c r="A81" s="340" t="s">
        <v>252</v>
      </c>
      <c r="B81" s="324">
        <v>135.00001218773201</v>
      </c>
      <c r="C81" s="324">
        <v>147.48305999999999</v>
      </c>
      <c r="D81" s="325">
        <v>12.483047812268</v>
      </c>
      <c r="E81" s="326">
        <v>1.092467012483</v>
      </c>
      <c r="F81" s="324">
        <v>195</v>
      </c>
      <c r="G81" s="325">
        <v>97.5</v>
      </c>
      <c r="H81" s="327">
        <v>15.685930000000001</v>
      </c>
      <c r="I81" s="324">
        <v>102.26312</v>
      </c>
      <c r="J81" s="325">
        <v>4.7631199999989997</v>
      </c>
      <c r="K81" s="328">
        <v>0.52442625640999996</v>
      </c>
    </row>
    <row r="82" spans="1:11" ht="14.4" customHeight="1" thickBot="1" x14ac:dyDescent="0.35">
      <c r="A82" s="341" t="s">
        <v>253</v>
      </c>
      <c r="B82" s="319">
        <v>135.00001218773201</v>
      </c>
      <c r="C82" s="319">
        <v>147.48305999999999</v>
      </c>
      <c r="D82" s="320">
        <v>12.483047812268</v>
      </c>
      <c r="E82" s="321">
        <v>1.092467012483</v>
      </c>
      <c r="F82" s="319">
        <v>195</v>
      </c>
      <c r="G82" s="320">
        <v>97.5</v>
      </c>
      <c r="H82" s="322">
        <v>15.685930000000001</v>
      </c>
      <c r="I82" s="319">
        <v>102.26312</v>
      </c>
      <c r="J82" s="320">
        <v>4.7631199999989997</v>
      </c>
      <c r="K82" s="323">
        <v>0.52442625640999996</v>
      </c>
    </row>
    <row r="83" spans="1:11" ht="14.4" customHeight="1" thickBot="1" x14ac:dyDescent="0.35">
      <c r="A83" s="338" t="s">
        <v>254</v>
      </c>
      <c r="B83" s="319">
        <v>0</v>
      </c>
      <c r="C83" s="319">
        <v>0.77583999999999997</v>
      </c>
      <c r="D83" s="320">
        <v>0.77583999999999997</v>
      </c>
      <c r="E83" s="329" t="s">
        <v>179</v>
      </c>
      <c r="F83" s="319">
        <v>0</v>
      </c>
      <c r="G83" s="320">
        <v>0</v>
      </c>
      <c r="H83" s="322">
        <v>0</v>
      </c>
      <c r="I83" s="319">
        <v>29.722999999999999</v>
      </c>
      <c r="J83" s="320">
        <v>29.722999999999999</v>
      </c>
      <c r="K83" s="330" t="s">
        <v>179</v>
      </c>
    </row>
    <row r="84" spans="1:11" ht="14.4" customHeight="1" thickBot="1" x14ac:dyDescent="0.35">
      <c r="A84" s="339" t="s">
        <v>255</v>
      </c>
      <c r="B84" s="319">
        <v>0</v>
      </c>
      <c r="C84" s="319">
        <v>0.77583999999999997</v>
      </c>
      <c r="D84" s="320">
        <v>0.77583999999999997</v>
      </c>
      <c r="E84" s="329" t="s">
        <v>179</v>
      </c>
      <c r="F84" s="319">
        <v>0</v>
      </c>
      <c r="G84" s="320">
        <v>0</v>
      </c>
      <c r="H84" s="322">
        <v>0</v>
      </c>
      <c r="I84" s="319">
        <v>29.722999999999999</v>
      </c>
      <c r="J84" s="320">
        <v>29.722999999999999</v>
      </c>
      <c r="K84" s="330" t="s">
        <v>179</v>
      </c>
    </row>
    <row r="85" spans="1:11" ht="14.4" customHeight="1" thickBot="1" x14ac:dyDescent="0.35">
      <c r="A85" s="340" t="s">
        <v>256</v>
      </c>
      <c r="B85" s="324">
        <v>0</v>
      </c>
      <c r="C85" s="324">
        <v>0.17584</v>
      </c>
      <c r="D85" s="325">
        <v>0.17584</v>
      </c>
      <c r="E85" s="331" t="s">
        <v>196</v>
      </c>
      <c r="F85" s="324">
        <v>0</v>
      </c>
      <c r="G85" s="325">
        <v>0</v>
      </c>
      <c r="H85" s="327">
        <v>0</v>
      </c>
      <c r="I85" s="324">
        <v>7.8879999999999999</v>
      </c>
      <c r="J85" s="325">
        <v>7.8879999999999999</v>
      </c>
      <c r="K85" s="332" t="s">
        <v>179</v>
      </c>
    </row>
    <row r="86" spans="1:11" ht="14.4" customHeight="1" thickBot="1" x14ac:dyDescent="0.35">
      <c r="A86" s="341" t="s">
        <v>257</v>
      </c>
      <c r="B86" s="319">
        <v>0</v>
      </c>
      <c r="C86" s="319">
        <v>0.17584</v>
      </c>
      <c r="D86" s="320">
        <v>0.17584</v>
      </c>
      <c r="E86" s="329" t="s">
        <v>196</v>
      </c>
      <c r="F86" s="319">
        <v>0</v>
      </c>
      <c r="G86" s="320">
        <v>0</v>
      </c>
      <c r="H86" s="322">
        <v>0</v>
      </c>
      <c r="I86" s="319">
        <v>0</v>
      </c>
      <c r="J86" s="320">
        <v>0</v>
      </c>
      <c r="K86" s="330" t="s">
        <v>179</v>
      </c>
    </row>
    <row r="87" spans="1:11" ht="14.4" customHeight="1" thickBot="1" x14ac:dyDescent="0.35">
      <c r="A87" s="341" t="s">
        <v>258</v>
      </c>
      <c r="B87" s="319">
        <v>0</v>
      </c>
      <c r="C87" s="319">
        <v>0</v>
      </c>
      <c r="D87" s="320">
        <v>0</v>
      </c>
      <c r="E87" s="321">
        <v>1</v>
      </c>
      <c r="F87" s="319">
        <v>0</v>
      </c>
      <c r="G87" s="320">
        <v>0</v>
      </c>
      <c r="H87" s="322">
        <v>0</v>
      </c>
      <c r="I87" s="319">
        <v>7.8879999999999999</v>
      </c>
      <c r="J87" s="320">
        <v>7.8879999999999999</v>
      </c>
      <c r="K87" s="330" t="s">
        <v>196</v>
      </c>
    </row>
    <row r="88" spans="1:11" ht="14.4" customHeight="1" thickBot="1" x14ac:dyDescent="0.35">
      <c r="A88" s="343" t="s">
        <v>259</v>
      </c>
      <c r="B88" s="319">
        <v>0</v>
      </c>
      <c r="C88" s="319">
        <v>0</v>
      </c>
      <c r="D88" s="320">
        <v>0</v>
      </c>
      <c r="E88" s="329" t="s">
        <v>179</v>
      </c>
      <c r="F88" s="319">
        <v>0</v>
      </c>
      <c r="G88" s="320">
        <v>0</v>
      </c>
      <c r="H88" s="322">
        <v>0</v>
      </c>
      <c r="I88" s="319">
        <v>21.835000000000001</v>
      </c>
      <c r="J88" s="320">
        <v>21.835000000000001</v>
      </c>
      <c r="K88" s="330" t="s">
        <v>196</v>
      </c>
    </row>
    <row r="89" spans="1:11" ht="14.4" customHeight="1" thickBot="1" x14ac:dyDescent="0.35">
      <c r="A89" s="341" t="s">
        <v>260</v>
      </c>
      <c r="B89" s="319">
        <v>0</v>
      </c>
      <c r="C89" s="319">
        <v>0</v>
      </c>
      <c r="D89" s="320">
        <v>0</v>
      </c>
      <c r="E89" s="329" t="s">
        <v>179</v>
      </c>
      <c r="F89" s="319">
        <v>0</v>
      </c>
      <c r="G89" s="320">
        <v>0</v>
      </c>
      <c r="H89" s="322">
        <v>0</v>
      </c>
      <c r="I89" s="319">
        <v>21.835000000000001</v>
      </c>
      <c r="J89" s="320">
        <v>21.835000000000001</v>
      </c>
      <c r="K89" s="330" t="s">
        <v>196</v>
      </c>
    </row>
    <row r="90" spans="1:11" ht="14.4" customHeight="1" thickBot="1" x14ac:dyDescent="0.35">
      <c r="A90" s="343" t="s">
        <v>261</v>
      </c>
      <c r="B90" s="319">
        <v>0</v>
      </c>
      <c r="C90" s="319">
        <v>0.6</v>
      </c>
      <c r="D90" s="320">
        <v>0.6</v>
      </c>
      <c r="E90" s="329" t="s">
        <v>179</v>
      </c>
      <c r="F90" s="319">
        <v>0</v>
      </c>
      <c r="G90" s="320">
        <v>0</v>
      </c>
      <c r="H90" s="322">
        <v>0</v>
      </c>
      <c r="I90" s="319">
        <v>0</v>
      </c>
      <c r="J90" s="320">
        <v>0</v>
      </c>
      <c r="K90" s="330" t="s">
        <v>179</v>
      </c>
    </row>
    <row r="91" spans="1:11" ht="14.4" customHeight="1" thickBot="1" x14ac:dyDescent="0.35">
      <c r="A91" s="341" t="s">
        <v>262</v>
      </c>
      <c r="B91" s="319">
        <v>0</v>
      </c>
      <c r="C91" s="319">
        <v>0.6</v>
      </c>
      <c r="D91" s="320">
        <v>0.6</v>
      </c>
      <c r="E91" s="329" t="s">
        <v>179</v>
      </c>
      <c r="F91" s="319">
        <v>0</v>
      </c>
      <c r="G91" s="320">
        <v>0</v>
      </c>
      <c r="H91" s="322">
        <v>0</v>
      </c>
      <c r="I91" s="319">
        <v>0</v>
      </c>
      <c r="J91" s="320">
        <v>0</v>
      </c>
      <c r="K91" s="330" t="s">
        <v>179</v>
      </c>
    </row>
    <row r="92" spans="1:11" ht="14.4" customHeight="1" thickBot="1" x14ac:dyDescent="0.35">
      <c r="A92" s="338" t="s">
        <v>263</v>
      </c>
      <c r="B92" s="319">
        <v>2586.3068043716198</v>
      </c>
      <c r="C92" s="319">
        <v>2585.8150000000001</v>
      </c>
      <c r="D92" s="320">
        <v>-0.49180437161700002</v>
      </c>
      <c r="E92" s="321">
        <v>0.99980984298800002</v>
      </c>
      <c r="F92" s="319">
        <v>1801</v>
      </c>
      <c r="G92" s="320">
        <v>900.50000000000102</v>
      </c>
      <c r="H92" s="322">
        <v>135.423</v>
      </c>
      <c r="I92" s="319">
        <v>1044.463</v>
      </c>
      <c r="J92" s="320">
        <v>143.962999999999</v>
      </c>
      <c r="K92" s="323">
        <v>0.57993503609099994</v>
      </c>
    </row>
    <row r="93" spans="1:11" ht="14.4" customHeight="1" thickBot="1" x14ac:dyDescent="0.35">
      <c r="A93" s="339" t="s">
        <v>264</v>
      </c>
      <c r="B93" s="319">
        <v>2564.00592094175</v>
      </c>
      <c r="C93" s="319">
        <v>2569.48</v>
      </c>
      <c r="D93" s="320">
        <v>5.4740790582479999</v>
      </c>
      <c r="E93" s="321">
        <v>1.0021349713009999</v>
      </c>
      <c r="F93" s="319">
        <v>1801</v>
      </c>
      <c r="G93" s="320">
        <v>900.50000000000102</v>
      </c>
      <c r="H93" s="322">
        <v>135.423</v>
      </c>
      <c r="I93" s="319">
        <v>1044.463</v>
      </c>
      <c r="J93" s="320">
        <v>143.962999999999</v>
      </c>
      <c r="K93" s="323">
        <v>0.57993503609099994</v>
      </c>
    </row>
    <row r="94" spans="1:11" ht="14.4" customHeight="1" thickBot="1" x14ac:dyDescent="0.35">
      <c r="A94" s="340" t="s">
        <v>265</v>
      </c>
      <c r="B94" s="324">
        <v>2564.00592094175</v>
      </c>
      <c r="C94" s="324">
        <v>2569.2890000000002</v>
      </c>
      <c r="D94" s="325">
        <v>5.2830790582480001</v>
      </c>
      <c r="E94" s="326">
        <v>1.0020604784930001</v>
      </c>
      <c r="F94" s="324">
        <v>1801</v>
      </c>
      <c r="G94" s="325">
        <v>900.50000000000102</v>
      </c>
      <c r="H94" s="327">
        <v>135.423</v>
      </c>
      <c r="I94" s="324">
        <v>1044.348</v>
      </c>
      <c r="J94" s="325">
        <v>143.84799999999899</v>
      </c>
      <c r="K94" s="328">
        <v>0.57987118267600002</v>
      </c>
    </row>
    <row r="95" spans="1:11" ht="14.4" customHeight="1" thickBot="1" x14ac:dyDescent="0.35">
      <c r="A95" s="341" t="s">
        <v>266</v>
      </c>
      <c r="B95" s="319">
        <v>109.00025170930201</v>
      </c>
      <c r="C95" s="319">
        <v>109.87</v>
      </c>
      <c r="D95" s="320">
        <v>0.86974829069699999</v>
      </c>
      <c r="E95" s="321">
        <v>1.0079793236900001</v>
      </c>
      <c r="F95" s="319">
        <v>114</v>
      </c>
      <c r="G95" s="320">
        <v>57</v>
      </c>
      <c r="H95" s="322">
        <v>9.5389999999999997</v>
      </c>
      <c r="I95" s="319">
        <v>57.18</v>
      </c>
      <c r="J95" s="320">
        <v>0.17999999999899999</v>
      </c>
      <c r="K95" s="323">
        <v>0.50157894736800002</v>
      </c>
    </row>
    <row r="96" spans="1:11" ht="14.4" customHeight="1" thickBot="1" x14ac:dyDescent="0.35">
      <c r="A96" s="341" t="s">
        <v>267</v>
      </c>
      <c r="B96" s="319">
        <v>355.00081978717702</v>
      </c>
      <c r="C96" s="319">
        <v>355.589</v>
      </c>
      <c r="D96" s="320">
        <v>0.58818021282199995</v>
      </c>
      <c r="E96" s="321">
        <v>1.0016568418430001</v>
      </c>
      <c r="F96" s="319">
        <v>296</v>
      </c>
      <c r="G96" s="320">
        <v>148</v>
      </c>
      <c r="H96" s="322">
        <v>27.206</v>
      </c>
      <c r="I96" s="319">
        <v>163.23599999999999</v>
      </c>
      <c r="J96" s="320">
        <v>15.235999999999001</v>
      </c>
      <c r="K96" s="323">
        <v>0.55147297297200004</v>
      </c>
    </row>
    <row r="97" spans="1:11" ht="14.4" customHeight="1" thickBot="1" x14ac:dyDescent="0.35">
      <c r="A97" s="341" t="s">
        <v>268</v>
      </c>
      <c r="B97" s="319">
        <v>198.000457233411</v>
      </c>
      <c r="C97" s="319">
        <v>197.47499999999999</v>
      </c>
      <c r="D97" s="320">
        <v>-0.52545723341100004</v>
      </c>
      <c r="E97" s="321">
        <v>0.99734618171699996</v>
      </c>
      <c r="F97" s="319">
        <v>173</v>
      </c>
      <c r="G97" s="320">
        <v>86.5</v>
      </c>
      <c r="H97" s="322">
        <v>16.454999999999998</v>
      </c>
      <c r="I97" s="319">
        <v>98.73</v>
      </c>
      <c r="J97" s="320">
        <v>12.229999999999</v>
      </c>
      <c r="K97" s="323">
        <v>0.57069364161799996</v>
      </c>
    </row>
    <row r="98" spans="1:11" ht="14.4" customHeight="1" thickBot="1" x14ac:dyDescent="0.35">
      <c r="A98" s="341" t="s">
        <v>269</v>
      </c>
      <c r="B98" s="319">
        <v>655.00151256507297</v>
      </c>
      <c r="C98" s="319">
        <v>659.06</v>
      </c>
      <c r="D98" s="320">
        <v>4.0584874349259996</v>
      </c>
      <c r="E98" s="321">
        <v>1.006196149714</v>
      </c>
      <c r="F98" s="319">
        <v>666.00000000000102</v>
      </c>
      <c r="G98" s="320">
        <v>333</v>
      </c>
      <c r="H98" s="322">
        <v>55.572000000000003</v>
      </c>
      <c r="I98" s="319">
        <v>333.428</v>
      </c>
      <c r="J98" s="320">
        <v>0.42799999999900001</v>
      </c>
      <c r="K98" s="323">
        <v>0.50064264264199998</v>
      </c>
    </row>
    <row r="99" spans="1:11" ht="14.4" customHeight="1" thickBot="1" x14ac:dyDescent="0.35">
      <c r="A99" s="341" t="s">
        <v>270</v>
      </c>
      <c r="B99" s="319">
        <v>1134.0026187004501</v>
      </c>
      <c r="C99" s="319">
        <v>1134.1469999999999</v>
      </c>
      <c r="D99" s="320">
        <v>0.14438129955199999</v>
      </c>
      <c r="E99" s="321">
        <v>1.000127320075</v>
      </c>
      <c r="F99" s="319">
        <v>461.00000000000102</v>
      </c>
      <c r="G99" s="320">
        <v>230.5</v>
      </c>
      <c r="H99" s="322">
        <v>19.658000000000001</v>
      </c>
      <c r="I99" s="319">
        <v>342.50799999999998</v>
      </c>
      <c r="J99" s="320">
        <v>112.008</v>
      </c>
      <c r="K99" s="323">
        <v>0.74296746203899999</v>
      </c>
    </row>
    <row r="100" spans="1:11" ht="14.4" customHeight="1" thickBot="1" x14ac:dyDescent="0.35">
      <c r="A100" s="341" t="s">
        <v>271</v>
      </c>
      <c r="B100" s="319">
        <v>113.000260946341</v>
      </c>
      <c r="C100" s="319">
        <v>113.148</v>
      </c>
      <c r="D100" s="320">
        <v>0.147739053659</v>
      </c>
      <c r="E100" s="321">
        <v>1.0013074222339999</v>
      </c>
      <c r="F100" s="319">
        <v>91</v>
      </c>
      <c r="G100" s="320">
        <v>45.5</v>
      </c>
      <c r="H100" s="322">
        <v>6.9930000000000003</v>
      </c>
      <c r="I100" s="319">
        <v>49.265999999999998</v>
      </c>
      <c r="J100" s="320">
        <v>3.7659999999989999</v>
      </c>
      <c r="K100" s="323">
        <v>0.54138461538399996</v>
      </c>
    </row>
    <row r="101" spans="1:11" ht="14.4" customHeight="1" thickBot="1" x14ac:dyDescent="0.35">
      <c r="A101" s="340" t="s">
        <v>272</v>
      </c>
      <c r="B101" s="324">
        <v>0</v>
      </c>
      <c r="C101" s="324">
        <v>0.191</v>
      </c>
      <c r="D101" s="325">
        <v>0.191</v>
      </c>
      <c r="E101" s="331" t="s">
        <v>179</v>
      </c>
      <c r="F101" s="324">
        <v>0</v>
      </c>
      <c r="G101" s="325">
        <v>0</v>
      </c>
      <c r="H101" s="327">
        <v>0</v>
      </c>
      <c r="I101" s="324">
        <v>0.115</v>
      </c>
      <c r="J101" s="325">
        <v>0.115</v>
      </c>
      <c r="K101" s="332" t="s">
        <v>179</v>
      </c>
    </row>
    <row r="102" spans="1:11" ht="14.4" customHeight="1" thickBot="1" x14ac:dyDescent="0.35">
      <c r="A102" s="341" t="s">
        <v>273</v>
      </c>
      <c r="B102" s="319">
        <v>0</v>
      </c>
      <c r="C102" s="319">
        <v>0.191</v>
      </c>
      <c r="D102" s="320">
        <v>0.191</v>
      </c>
      <c r="E102" s="329" t="s">
        <v>179</v>
      </c>
      <c r="F102" s="319">
        <v>0</v>
      </c>
      <c r="G102" s="320">
        <v>0</v>
      </c>
      <c r="H102" s="322">
        <v>0</v>
      </c>
      <c r="I102" s="319">
        <v>9.5000000000000001E-2</v>
      </c>
      <c r="J102" s="320">
        <v>9.5000000000000001E-2</v>
      </c>
      <c r="K102" s="330" t="s">
        <v>179</v>
      </c>
    </row>
    <row r="103" spans="1:11" ht="14.4" customHeight="1" thickBot="1" x14ac:dyDescent="0.35">
      <c r="A103" s="341" t="s">
        <v>274</v>
      </c>
      <c r="B103" s="319">
        <v>0</v>
      </c>
      <c r="C103" s="319">
        <v>0</v>
      </c>
      <c r="D103" s="320">
        <v>0</v>
      </c>
      <c r="E103" s="321">
        <v>1</v>
      </c>
      <c r="F103" s="319">
        <v>0</v>
      </c>
      <c r="G103" s="320">
        <v>0</v>
      </c>
      <c r="H103" s="322">
        <v>0</v>
      </c>
      <c r="I103" s="319">
        <v>0.02</v>
      </c>
      <c r="J103" s="320">
        <v>0.02</v>
      </c>
      <c r="K103" s="330" t="s">
        <v>196</v>
      </c>
    </row>
    <row r="104" spans="1:11" ht="14.4" customHeight="1" thickBot="1" x14ac:dyDescent="0.35">
      <c r="A104" s="339" t="s">
        <v>275</v>
      </c>
      <c r="B104" s="319">
        <v>22.300883429864999</v>
      </c>
      <c r="C104" s="319">
        <v>16.335000000000001</v>
      </c>
      <c r="D104" s="320">
        <v>-5.9658834298650003</v>
      </c>
      <c r="E104" s="321">
        <v>0.73248219297499995</v>
      </c>
      <c r="F104" s="319">
        <v>0</v>
      </c>
      <c r="G104" s="320">
        <v>0</v>
      </c>
      <c r="H104" s="322">
        <v>0</v>
      </c>
      <c r="I104" s="319">
        <v>0</v>
      </c>
      <c r="J104" s="320">
        <v>0</v>
      </c>
      <c r="K104" s="330" t="s">
        <v>179</v>
      </c>
    </row>
    <row r="105" spans="1:11" ht="14.4" customHeight="1" thickBot="1" x14ac:dyDescent="0.35">
      <c r="A105" s="340" t="s">
        <v>276</v>
      </c>
      <c r="B105" s="324">
        <v>22.300883429864999</v>
      </c>
      <c r="C105" s="324">
        <v>9.0749999999999993</v>
      </c>
      <c r="D105" s="325">
        <v>-13.225883429865</v>
      </c>
      <c r="E105" s="326">
        <v>0.40693455165300002</v>
      </c>
      <c r="F105" s="324">
        <v>0</v>
      </c>
      <c r="G105" s="325">
        <v>0</v>
      </c>
      <c r="H105" s="327">
        <v>0</v>
      </c>
      <c r="I105" s="324">
        <v>0</v>
      </c>
      <c r="J105" s="325">
        <v>0</v>
      </c>
      <c r="K105" s="332" t="s">
        <v>179</v>
      </c>
    </row>
    <row r="106" spans="1:11" ht="14.4" customHeight="1" thickBot="1" x14ac:dyDescent="0.35">
      <c r="A106" s="341" t="s">
        <v>277</v>
      </c>
      <c r="B106" s="319">
        <v>22.300883429864999</v>
      </c>
      <c r="C106" s="319">
        <v>9.0749999999999993</v>
      </c>
      <c r="D106" s="320">
        <v>-13.225883429865</v>
      </c>
      <c r="E106" s="321">
        <v>0.40693455165300002</v>
      </c>
      <c r="F106" s="319">
        <v>0</v>
      </c>
      <c r="G106" s="320">
        <v>0</v>
      </c>
      <c r="H106" s="322">
        <v>0</v>
      </c>
      <c r="I106" s="319">
        <v>0</v>
      </c>
      <c r="J106" s="320">
        <v>0</v>
      </c>
      <c r="K106" s="330" t="s">
        <v>179</v>
      </c>
    </row>
    <row r="107" spans="1:11" ht="14.4" customHeight="1" thickBot="1" x14ac:dyDescent="0.35">
      <c r="A107" s="340" t="s">
        <v>278</v>
      </c>
      <c r="B107" s="324">
        <v>0</v>
      </c>
      <c r="C107" s="324">
        <v>7.26</v>
      </c>
      <c r="D107" s="325">
        <v>7.26</v>
      </c>
      <c r="E107" s="331" t="s">
        <v>179</v>
      </c>
      <c r="F107" s="324">
        <v>0</v>
      </c>
      <c r="G107" s="325">
        <v>0</v>
      </c>
      <c r="H107" s="327">
        <v>0</v>
      </c>
      <c r="I107" s="324">
        <v>0</v>
      </c>
      <c r="J107" s="325">
        <v>0</v>
      </c>
      <c r="K107" s="332" t="s">
        <v>179</v>
      </c>
    </row>
    <row r="108" spans="1:11" ht="14.4" customHeight="1" thickBot="1" x14ac:dyDescent="0.35">
      <c r="A108" s="341" t="s">
        <v>279</v>
      </c>
      <c r="B108" s="319">
        <v>0</v>
      </c>
      <c r="C108" s="319">
        <v>7.26</v>
      </c>
      <c r="D108" s="320">
        <v>7.26</v>
      </c>
      <c r="E108" s="329" t="s">
        <v>179</v>
      </c>
      <c r="F108" s="319">
        <v>0</v>
      </c>
      <c r="G108" s="320">
        <v>0</v>
      </c>
      <c r="H108" s="322">
        <v>0</v>
      </c>
      <c r="I108" s="319">
        <v>0</v>
      </c>
      <c r="J108" s="320">
        <v>0</v>
      </c>
      <c r="K108" s="330" t="s">
        <v>179</v>
      </c>
    </row>
    <row r="109" spans="1:11" ht="14.4" customHeight="1" thickBot="1" x14ac:dyDescent="0.35">
      <c r="A109" s="337" t="s">
        <v>280</v>
      </c>
      <c r="B109" s="319">
        <v>66.393345115147</v>
      </c>
      <c r="C109" s="319">
        <v>65.769329999999997</v>
      </c>
      <c r="D109" s="320">
        <v>-0.62401511514700003</v>
      </c>
      <c r="E109" s="321">
        <v>0.99060124001700001</v>
      </c>
      <c r="F109" s="319">
        <v>65.697036219110998</v>
      </c>
      <c r="G109" s="320">
        <v>32.848518109555002</v>
      </c>
      <c r="H109" s="322">
        <v>1.7743199999999999</v>
      </c>
      <c r="I109" s="319">
        <v>19.608049999999999</v>
      </c>
      <c r="J109" s="320">
        <v>-13.240468109555</v>
      </c>
      <c r="K109" s="323">
        <v>0.29846171347200001</v>
      </c>
    </row>
    <row r="110" spans="1:11" ht="14.4" customHeight="1" thickBot="1" x14ac:dyDescent="0.35">
      <c r="A110" s="338" t="s">
        <v>281</v>
      </c>
      <c r="B110" s="319">
        <v>66.393345115147</v>
      </c>
      <c r="C110" s="319">
        <v>65.769329999999997</v>
      </c>
      <c r="D110" s="320">
        <v>-0.62401511514700003</v>
      </c>
      <c r="E110" s="321">
        <v>0.99060124001700001</v>
      </c>
      <c r="F110" s="319">
        <v>65.697036219110998</v>
      </c>
      <c r="G110" s="320">
        <v>32.848518109555002</v>
      </c>
      <c r="H110" s="322">
        <v>1.7743199999999999</v>
      </c>
      <c r="I110" s="319">
        <v>19.608049999999999</v>
      </c>
      <c r="J110" s="320">
        <v>-13.240468109555</v>
      </c>
      <c r="K110" s="323">
        <v>0.29846171347200001</v>
      </c>
    </row>
    <row r="111" spans="1:11" ht="14.4" customHeight="1" thickBot="1" x14ac:dyDescent="0.35">
      <c r="A111" s="344" t="s">
        <v>282</v>
      </c>
      <c r="B111" s="324">
        <v>66.393345115147</v>
      </c>
      <c r="C111" s="324">
        <v>65.769329999999997</v>
      </c>
      <c r="D111" s="325">
        <v>-0.62401511514700003</v>
      </c>
      <c r="E111" s="326">
        <v>0.99060124001700001</v>
      </c>
      <c r="F111" s="324">
        <v>65.697036219110998</v>
      </c>
      <c r="G111" s="325">
        <v>32.848518109555002</v>
      </c>
      <c r="H111" s="327">
        <v>1.7743199999999999</v>
      </c>
      <c r="I111" s="324">
        <v>19.608049999999999</v>
      </c>
      <c r="J111" s="325">
        <v>-13.240468109555</v>
      </c>
      <c r="K111" s="328">
        <v>0.29846171347200001</v>
      </c>
    </row>
    <row r="112" spans="1:11" ht="14.4" customHeight="1" thickBot="1" x14ac:dyDescent="0.35">
      <c r="A112" s="340" t="s">
        <v>283</v>
      </c>
      <c r="B112" s="324">
        <v>0</v>
      </c>
      <c r="C112" s="324">
        <v>4.5900000000000003E-3</v>
      </c>
      <c r="D112" s="325">
        <v>4.5900000000000003E-3</v>
      </c>
      <c r="E112" s="331" t="s">
        <v>179</v>
      </c>
      <c r="F112" s="324">
        <v>0</v>
      </c>
      <c r="G112" s="325">
        <v>0</v>
      </c>
      <c r="H112" s="327">
        <v>-3.3E-4</v>
      </c>
      <c r="I112" s="324">
        <v>-1.16E-3</v>
      </c>
      <c r="J112" s="325">
        <v>-1.16E-3</v>
      </c>
      <c r="K112" s="332" t="s">
        <v>179</v>
      </c>
    </row>
    <row r="113" spans="1:11" ht="14.4" customHeight="1" thickBot="1" x14ac:dyDescent="0.35">
      <c r="A113" s="341" t="s">
        <v>284</v>
      </c>
      <c r="B113" s="319">
        <v>0</v>
      </c>
      <c r="C113" s="319">
        <v>4.5900000000000003E-3</v>
      </c>
      <c r="D113" s="320">
        <v>4.5900000000000003E-3</v>
      </c>
      <c r="E113" s="329" t="s">
        <v>179</v>
      </c>
      <c r="F113" s="319">
        <v>0</v>
      </c>
      <c r="G113" s="320">
        <v>0</v>
      </c>
      <c r="H113" s="322">
        <v>-3.3E-4</v>
      </c>
      <c r="I113" s="319">
        <v>-1.16E-3</v>
      </c>
      <c r="J113" s="320">
        <v>-1.16E-3</v>
      </c>
      <c r="K113" s="330" t="s">
        <v>179</v>
      </c>
    </row>
    <row r="114" spans="1:11" ht="14.4" customHeight="1" thickBot="1" x14ac:dyDescent="0.35">
      <c r="A114" s="340" t="s">
        <v>285</v>
      </c>
      <c r="B114" s="324">
        <v>66.393345115147</v>
      </c>
      <c r="C114" s="324">
        <v>65.764740000000003</v>
      </c>
      <c r="D114" s="325">
        <v>-0.62860511514700002</v>
      </c>
      <c r="E114" s="326">
        <v>0.99053210658299995</v>
      </c>
      <c r="F114" s="324">
        <v>65.697036219110998</v>
      </c>
      <c r="G114" s="325">
        <v>32.848518109555002</v>
      </c>
      <c r="H114" s="327">
        <v>1.7746500000000001</v>
      </c>
      <c r="I114" s="324">
        <v>19.609210000000001</v>
      </c>
      <c r="J114" s="325">
        <v>-13.239308109554999</v>
      </c>
      <c r="K114" s="328">
        <v>0.29847937027999999</v>
      </c>
    </row>
    <row r="115" spans="1:11" ht="14.4" customHeight="1" thickBot="1" x14ac:dyDescent="0.35">
      <c r="A115" s="341" t="s">
        <v>286</v>
      </c>
      <c r="B115" s="319">
        <v>0.66260490109600001</v>
      </c>
      <c r="C115" s="319">
        <v>0</v>
      </c>
      <c r="D115" s="320">
        <v>-0.66260490109600001</v>
      </c>
      <c r="E115" s="321">
        <v>0</v>
      </c>
      <c r="F115" s="319">
        <v>0</v>
      </c>
      <c r="G115" s="320">
        <v>0</v>
      </c>
      <c r="H115" s="322">
        <v>0</v>
      </c>
      <c r="I115" s="319">
        <v>0</v>
      </c>
      <c r="J115" s="320">
        <v>0</v>
      </c>
      <c r="K115" s="323">
        <v>6</v>
      </c>
    </row>
    <row r="116" spans="1:11" ht="14.4" customHeight="1" thickBot="1" x14ac:dyDescent="0.35">
      <c r="A116" s="341" t="s">
        <v>287</v>
      </c>
      <c r="B116" s="319">
        <v>65.730740214050996</v>
      </c>
      <c r="C116" s="319">
        <v>65.764740000000003</v>
      </c>
      <c r="D116" s="320">
        <v>3.3999785948000003E-2</v>
      </c>
      <c r="E116" s="321">
        <v>1.000517258528</v>
      </c>
      <c r="F116" s="319">
        <v>65.697036219110998</v>
      </c>
      <c r="G116" s="320">
        <v>32.848518109555002</v>
      </c>
      <c r="H116" s="322">
        <v>1.7746500000000001</v>
      </c>
      <c r="I116" s="319">
        <v>19.609210000000001</v>
      </c>
      <c r="J116" s="320">
        <v>-13.239308109554999</v>
      </c>
      <c r="K116" s="323">
        <v>0.29847937027999999</v>
      </c>
    </row>
    <row r="117" spans="1:11" ht="14.4" customHeight="1" thickBot="1" x14ac:dyDescent="0.35">
      <c r="A117" s="337" t="s">
        <v>288</v>
      </c>
      <c r="B117" s="319">
        <v>2237.4927831473701</v>
      </c>
      <c r="C117" s="319">
        <v>2251.6234100000001</v>
      </c>
      <c r="D117" s="320">
        <v>14.130626852635</v>
      </c>
      <c r="E117" s="321">
        <v>1.006315384326</v>
      </c>
      <c r="F117" s="319">
        <v>2296.1491037083601</v>
      </c>
      <c r="G117" s="320">
        <v>1148.0745518541801</v>
      </c>
      <c r="H117" s="322">
        <v>204.69988000000001</v>
      </c>
      <c r="I117" s="319">
        <v>1122.92553</v>
      </c>
      <c r="J117" s="320">
        <v>-25.149021854179999</v>
      </c>
      <c r="K117" s="323">
        <v>0.48904730454400003</v>
      </c>
    </row>
    <row r="118" spans="1:11" ht="14.4" customHeight="1" thickBot="1" x14ac:dyDescent="0.35">
      <c r="A118" s="342" t="s">
        <v>289</v>
      </c>
      <c r="B118" s="324">
        <v>2237.4927831473701</v>
      </c>
      <c r="C118" s="324">
        <v>2251.6234100000001</v>
      </c>
      <c r="D118" s="325">
        <v>14.130626852635</v>
      </c>
      <c r="E118" s="326">
        <v>1.006315384326</v>
      </c>
      <c r="F118" s="324">
        <v>2296.1491037083601</v>
      </c>
      <c r="G118" s="325">
        <v>1148.0745518541801</v>
      </c>
      <c r="H118" s="327">
        <v>204.69988000000001</v>
      </c>
      <c r="I118" s="324">
        <v>1122.92553</v>
      </c>
      <c r="J118" s="325">
        <v>-25.149021854179999</v>
      </c>
      <c r="K118" s="328">
        <v>0.48904730454400003</v>
      </c>
    </row>
    <row r="119" spans="1:11" ht="14.4" customHeight="1" thickBot="1" x14ac:dyDescent="0.35">
      <c r="A119" s="344" t="s">
        <v>38</v>
      </c>
      <c r="B119" s="324">
        <v>2237.4927831473701</v>
      </c>
      <c r="C119" s="324">
        <v>2251.6234100000001</v>
      </c>
      <c r="D119" s="325">
        <v>14.130626852635</v>
      </c>
      <c r="E119" s="326">
        <v>1.006315384326</v>
      </c>
      <c r="F119" s="324">
        <v>2296.1491037083601</v>
      </c>
      <c r="G119" s="325">
        <v>1148.0745518541801</v>
      </c>
      <c r="H119" s="327">
        <v>204.69988000000001</v>
      </c>
      <c r="I119" s="324">
        <v>1122.92553</v>
      </c>
      <c r="J119" s="325">
        <v>-25.149021854179999</v>
      </c>
      <c r="K119" s="328">
        <v>0.48904730454400003</v>
      </c>
    </row>
    <row r="120" spans="1:11" ht="14.4" customHeight="1" thickBot="1" x14ac:dyDescent="0.35">
      <c r="A120" s="340" t="s">
        <v>290</v>
      </c>
      <c r="B120" s="324">
        <v>20.331755033198998</v>
      </c>
      <c r="C120" s="324">
        <v>18.803999999999998</v>
      </c>
      <c r="D120" s="325">
        <v>-1.527755033199</v>
      </c>
      <c r="E120" s="326">
        <v>0.92485867399499999</v>
      </c>
      <c r="F120" s="324">
        <v>20.312821346721002</v>
      </c>
      <c r="G120" s="325">
        <v>10.15641067336</v>
      </c>
      <c r="H120" s="327">
        <v>1.5669999999999999</v>
      </c>
      <c r="I120" s="324">
        <v>9.4019999999999992</v>
      </c>
      <c r="J120" s="325">
        <v>-0.75441067336000001</v>
      </c>
      <c r="K120" s="328">
        <v>0.46286036978799999</v>
      </c>
    </row>
    <row r="121" spans="1:11" ht="14.4" customHeight="1" thickBot="1" x14ac:dyDescent="0.35">
      <c r="A121" s="341" t="s">
        <v>291</v>
      </c>
      <c r="B121" s="319">
        <v>20.331755033198998</v>
      </c>
      <c r="C121" s="319">
        <v>18.803999999999998</v>
      </c>
      <c r="D121" s="320">
        <v>-1.527755033199</v>
      </c>
      <c r="E121" s="321">
        <v>0.92485867399499999</v>
      </c>
      <c r="F121" s="319">
        <v>20.312821346721002</v>
      </c>
      <c r="G121" s="320">
        <v>10.15641067336</v>
      </c>
      <c r="H121" s="322">
        <v>1.5669999999999999</v>
      </c>
      <c r="I121" s="319">
        <v>9.4019999999999992</v>
      </c>
      <c r="J121" s="320">
        <v>-0.75441067336000001</v>
      </c>
      <c r="K121" s="323">
        <v>0.46286036978799999</v>
      </c>
    </row>
    <row r="122" spans="1:11" ht="14.4" customHeight="1" thickBot="1" x14ac:dyDescent="0.35">
      <c r="A122" s="340" t="s">
        <v>292</v>
      </c>
      <c r="B122" s="324">
        <v>32.348185356141997</v>
      </c>
      <c r="C122" s="324">
        <v>24.540320000000001</v>
      </c>
      <c r="D122" s="325">
        <v>-7.8078653561419999</v>
      </c>
      <c r="E122" s="326">
        <v>0.75863049904699997</v>
      </c>
      <c r="F122" s="324">
        <v>27.435444136017001</v>
      </c>
      <c r="G122" s="325">
        <v>13.717722068007999</v>
      </c>
      <c r="H122" s="327">
        <v>1.8859999999999999</v>
      </c>
      <c r="I122" s="324">
        <v>7.3495200000000001</v>
      </c>
      <c r="J122" s="325">
        <v>-6.3682020680080003</v>
      </c>
      <c r="K122" s="328">
        <v>0.26788412695500002</v>
      </c>
    </row>
    <row r="123" spans="1:11" ht="14.4" customHeight="1" thickBot="1" x14ac:dyDescent="0.35">
      <c r="A123" s="341" t="s">
        <v>293</v>
      </c>
      <c r="B123" s="319">
        <v>6.671612084046</v>
      </c>
      <c r="C123" s="319">
        <v>1.4983</v>
      </c>
      <c r="D123" s="320">
        <v>-5.1733120840459996</v>
      </c>
      <c r="E123" s="321">
        <v>0.22457840490700001</v>
      </c>
      <c r="F123" s="319">
        <v>2.7660195134030001</v>
      </c>
      <c r="G123" s="320">
        <v>1.383009756701</v>
      </c>
      <c r="H123" s="322">
        <v>0</v>
      </c>
      <c r="I123" s="319">
        <v>0</v>
      </c>
      <c r="J123" s="320">
        <v>-1.383009756701</v>
      </c>
      <c r="K123" s="323">
        <v>0</v>
      </c>
    </row>
    <row r="124" spans="1:11" ht="14.4" customHeight="1" thickBot="1" x14ac:dyDescent="0.35">
      <c r="A124" s="341" t="s">
        <v>294</v>
      </c>
      <c r="B124" s="319">
        <v>25.676573272094998</v>
      </c>
      <c r="C124" s="319">
        <v>23.042020000000001</v>
      </c>
      <c r="D124" s="320">
        <v>-2.6345532720949998</v>
      </c>
      <c r="E124" s="321">
        <v>0.897394670068</v>
      </c>
      <c r="F124" s="319">
        <v>24.669424622613001</v>
      </c>
      <c r="G124" s="320">
        <v>12.334712311305999</v>
      </c>
      <c r="H124" s="322">
        <v>1.8859999999999999</v>
      </c>
      <c r="I124" s="319">
        <v>7.3495200000000001</v>
      </c>
      <c r="J124" s="320">
        <v>-4.9851923113060002</v>
      </c>
      <c r="K124" s="323">
        <v>0.297920203346</v>
      </c>
    </row>
    <row r="125" spans="1:11" ht="14.4" customHeight="1" thickBot="1" x14ac:dyDescent="0.35">
      <c r="A125" s="340" t="s">
        <v>295</v>
      </c>
      <c r="B125" s="324">
        <v>166.49510732697601</v>
      </c>
      <c r="C125" s="324">
        <v>172.77231</v>
      </c>
      <c r="D125" s="325">
        <v>6.277202673024</v>
      </c>
      <c r="E125" s="326">
        <v>1.037702024845</v>
      </c>
      <c r="F125" s="324">
        <v>169.06170695673799</v>
      </c>
      <c r="G125" s="325">
        <v>84.530853478368996</v>
      </c>
      <c r="H125" s="327">
        <v>18.313400000000001</v>
      </c>
      <c r="I125" s="324">
        <v>94.609499999999997</v>
      </c>
      <c r="J125" s="325">
        <v>10.078646521631001</v>
      </c>
      <c r="K125" s="328">
        <v>0.55961519437499996</v>
      </c>
    </row>
    <row r="126" spans="1:11" ht="14.4" customHeight="1" thickBot="1" x14ac:dyDescent="0.35">
      <c r="A126" s="341" t="s">
        <v>296</v>
      </c>
      <c r="B126" s="319">
        <v>166.49510732697601</v>
      </c>
      <c r="C126" s="319">
        <v>172.77231</v>
      </c>
      <c r="D126" s="320">
        <v>6.277202673024</v>
      </c>
      <c r="E126" s="321">
        <v>1.037702024845</v>
      </c>
      <c r="F126" s="319">
        <v>169.06170695673799</v>
      </c>
      <c r="G126" s="320">
        <v>84.530853478368996</v>
      </c>
      <c r="H126" s="322">
        <v>18.313400000000001</v>
      </c>
      <c r="I126" s="319">
        <v>94.609499999999997</v>
      </c>
      <c r="J126" s="320">
        <v>10.078646521631001</v>
      </c>
      <c r="K126" s="323">
        <v>0.55961519437499996</v>
      </c>
    </row>
    <row r="127" spans="1:11" ht="14.4" customHeight="1" thickBot="1" x14ac:dyDescent="0.35">
      <c r="A127" s="340" t="s">
        <v>297</v>
      </c>
      <c r="B127" s="324">
        <v>699.202834554638</v>
      </c>
      <c r="C127" s="324">
        <v>668.98874999999998</v>
      </c>
      <c r="D127" s="325">
        <v>-30.214084554637999</v>
      </c>
      <c r="E127" s="326">
        <v>0.95678781168799998</v>
      </c>
      <c r="F127" s="324">
        <v>758.85113712550003</v>
      </c>
      <c r="G127" s="325">
        <v>379.42556856275002</v>
      </c>
      <c r="H127" s="327">
        <v>62.736649999999997</v>
      </c>
      <c r="I127" s="324">
        <v>305.66142000000002</v>
      </c>
      <c r="J127" s="325">
        <v>-73.764148562749</v>
      </c>
      <c r="K127" s="328">
        <v>0.40279496866499997</v>
      </c>
    </row>
    <row r="128" spans="1:11" ht="14.4" customHeight="1" thickBot="1" x14ac:dyDescent="0.35">
      <c r="A128" s="341" t="s">
        <v>298</v>
      </c>
      <c r="B128" s="319">
        <v>699.202834554638</v>
      </c>
      <c r="C128" s="319">
        <v>668.98874999999998</v>
      </c>
      <c r="D128" s="320">
        <v>-30.214084554637999</v>
      </c>
      <c r="E128" s="321">
        <v>0.95678781168799998</v>
      </c>
      <c r="F128" s="319">
        <v>758.85113712550003</v>
      </c>
      <c r="G128" s="320">
        <v>379.42556856275002</v>
      </c>
      <c r="H128" s="322">
        <v>62.736649999999997</v>
      </c>
      <c r="I128" s="319">
        <v>305.66142000000002</v>
      </c>
      <c r="J128" s="320">
        <v>-73.764148562749</v>
      </c>
      <c r="K128" s="323">
        <v>0.40279496866499997</v>
      </c>
    </row>
    <row r="129" spans="1:11" ht="14.4" customHeight="1" thickBot="1" x14ac:dyDescent="0.35">
      <c r="A129" s="340" t="s">
        <v>299</v>
      </c>
      <c r="B129" s="324">
        <v>1319.11490087641</v>
      </c>
      <c r="C129" s="324">
        <v>1366.51803</v>
      </c>
      <c r="D129" s="325">
        <v>47.403129123589999</v>
      </c>
      <c r="E129" s="326">
        <v>1.035935557313</v>
      </c>
      <c r="F129" s="324">
        <v>1320.4879941433801</v>
      </c>
      <c r="G129" s="325">
        <v>660.24399707169198</v>
      </c>
      <c r="H129" s="327">
        <v>120.19683000000001</v>
      </c>
      <c r="I129" s="324">
        <v>705.90309000000002</v>
      </c>
      <c r="J129" s="325">
        <v>45.659092928306997</v>
      </c>
      <c r="K129" s="328">
        <v>0.534577438894</v>
      </c>
    </row>
    <row r="130" spans="1:11" ht="14.4" customHeight="1" thickBot="1" x14ac:dyDescent="0.35">
      <c r="A130" s="341" t="s">
        <v>300</v>
      </c>
      <c r="B130" s="319">
        <v>1319.11490087641</v>
      </c>
      <c r="C130" s="319">
        <v>1366.51803</v>
      </c>
      <c r="D130" s="320">
        <v>47.403129123589999</v>
      </c>
      <c r="E130" s="321">
        <v>1.035935557313</v>
      </c>
      <c r="F130" s="319">
        <v>1320.4879941433801</v>
      </c>
      <c r="G130" s="320">
        <v>660.24399707169198</v>
      </c>
      <c r="H130" s="322">
        <v>120.19683000000001</v>
      </c>
      <c r="I130" s="319">
        <v>705.90309000000002</v>
      </c>
      <c r="J130" s="320">
        <v>45.659092928306997</v>
      </c>
      <c r="K130" s="323">
        <v>0.534577438894</v>
      </c>
    </row>
    <row r="131" spans="1:11" ht="14.4" customHeight="1" thickBot="1" x14ac:dyDescent="0.35">
      <c r="A131" s="345"/>
      <c r="B131" s="319">
        <v>-27873.493357501698</v>
      </c>
      <c r="C131" s="319">
        <v>-29491.361150000001</v>
      </c>
      <c r="D131" s="320">
        <v>-1617.8677924982901</v>
      </c>
      <c r="E131" s="321">
        <v>1.058043237413</v>
      </c>
      <c r="F131" s="319">
        <v>-29050.226676034599</v>
      </c>
      <c r="G131" s="320">
        <v>-14525.1133380173</v>
      </c>
      <c r="H131" s="322">
        <v>-2127.00182</v>
      </c>
      <c r="I131" s="319">
        <v>-14431.59123</v>
      </c>
      <c r="J131" s="320">
        <v>93.522108017288005</v>
      </c>
      <c r="K131" s="323">
        <v>0.49678067544600002</v>
      </c>
    </row>
    <row r="132" spans="1:11" ht="14.4" customHeight="1" thickBot="1" x14ac:dyDescent="0.35">
      <c r="A132" s="346" t="s">
        <v>50</v>
      </c>
      <c r="B132" s="333">
        <v>-27873.493357501698</v>
      </c>
      <c r="C132" s="333">
        <v>-29491.361150000001</v>
      </c>
      <c r="D132" s="334">
        <v>-1617.8677924982901</v>
      </c>
      <c r="E132" s="335">
        <v>-1.07808627803</v>
      </c>
      <c r="F132" s="333">
        <v>-29050.226676034599</v>
      </c>
      <c r="G132" s="334">
        <v>-14525.1133380173</v>
      </c>
      <c r="H132" s="333">
        <v>-2127.00182</v>
      </c>
      <c r="I132" s="333">
        <v>-14431.59123</v>
      </c>
      <c r="J132" s="334">
        <v>93.522108017288005</v>
      </c>
      <c r="K132" s="336">
        <v>0.49678067544600002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01" t="s">
        <v>77</v>
      </c>
      <c r="B1" s="302"/>
      <c r="C1" s="302"/>
      <c r="D1" s="302"/>
      <c r="E1" s="302"/>
      <c r="F1" s="302"/>
      <c r="G1" s="272"/>
      <c r="H1" s="303"/>
      <c r="I1" s="303"/>
    </row>
    <row r="2" spans="1:10" ht="14.4" customHeight="1" thickBot="1" x14ac:dyDescent="0.35">
      <c r="A2" s="173" t="s">
        <v>178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44"/>
      <c r="C3" s="243">
        <v>2015</v>
      </c>
      <c r="D3" s="218">
        <v>2016</v>
      </c>
      <c r="E3" s="7"/>
      <c r="F3" s="280">
        <v>2017</v>
      </c>
      <c r="G3" s="298"/>
      <c r="H3" s="298"/>
      <c r="I3" s="281"/>
    </row>
    <row r="4" spans="1:10" ht="14.4" customHeight="1" thickBot="1" x14ac:dyDescent="0.35">
      <c r="A4" s="222" t="s">
        <v>0</v>
      </c>
      <c r="B4" s="223" t="s">
        <v>132</v>
      </c>
      <c r="C4" s="299" t="s">
        <v>55</v>
      </c>
      <c r="D4" s="300"/>
      <c r="E4" s="224"/>
      <c r="F4" s="219" t="s">
        <v>55</v>
      </c>
      <c r="G4" s="220" t="s">
        <v>56</v>
      </c>
      <c r="H4" s="220" t="s">
        <v>52</v>
      </c>
      <c r="I4" s="221" t="s">
        <v>57</v>
      </c>
    </row>
    <row r="5" spans="1:10" ht="14.4" customHeight="1" x14ac:dyDescent="0.3">
      <c r="A5" s="347" t="s">
        <v>301</v>
      </c>
      <c r="B5" s="348" t="s">
        <v>302</v>
      </c>
      <c r="C5" s="349" t="s">
        <v>303</v>
      </c>
      <c r="D5" s="349" t="s">
        <v>303</v>
      </c>
      <c r="E5" s="349"/>
      <c r="F5" s="349" t="s">
        <v>303</v>
      </c>
      <c r="G5" s="349" t="s">
        <v>303</v>
      </c>
      <c r="H5" s="349" t="s">
        <v>303</v>
      </c>
      <c r="I5" s="350" t="s">
        <v>303</v>
      </c>
      <c r="J5" s="351" t="s">
        <v>53</v>
      </c>
    </row>
    <row r="6" spans="1:10" ht="14.4" customHeight="1" x14ac:dyDescent="0.3">
      <c r="A6" s="347" t="s">
        <v>301</v>
      </c>
      <c r="B6" s="348" t="s">
        <v>304</v>
      </c>
      <c r="C6" s="349">
        <v>22.916219999999999</v>
      </c>
      <c r="D6" s="349">
        <v>33.604860000000002</v>
      </c>
      <c r="E6" s="349"/>
      <c r="F6" s="349">
        <v>28.577669999999998</v>
      </c>
      <c r="G6" s="349">
        <v>30.000000488281248</v>
      </c>
      <c r="H6" s="349">
        <v>-1.4223304882812506</v>
      </c>
      <c r="I6" s="350">
        <v>0.95258898449562202</v>
      </c>
      <c r="J6" s="351" t="s">
        <v>1</v>
      </c>
    </row>
    <row r="7" spans="1:10" ht="14.4" customHeight="1" x14ac:dyDescent="0.3">
      <c r="A7" s="347" t="s">
        <v>301</v>
      </c>
      <c r="B7" s="348" t="s">
        <v>305</v>
      </c>
      <c r="C7" s="349">
        <v>22.916219999999999</v>
      </c>
      <c r="D7" s="349">
        <v>33.604860000000002</v>
      </c>
      <c r="E7" s="349"/>
      <c r="F7" s="349">
        <v>28.577669999999998</v>
      </c>
      <c r="G7" s="349">
        <v>30.000000488281248</v>
      </c>
      <c r="H7" s="349">
        <v>-1.4223304882812506</v>
      </c>
      <c r="I7" s="350">
        <v>0.95258898449562202</v>
      </c>
      <c r="J7" s="351" t="s">
        <v>306</v>
      </c>
    </row>
    <row r="9" spans="1:10" ht="14.4" customHeight="1" x14ac:dyDescent="0.3">
      <c r="A9" s="347" t="s">
        <v>301</v>
      </c>
      <c r="B9" s="348" t="s">
        <v>302</v>
      </c>
      <c r="C9" s="349" t="s">
        <v>303</v>
      </c>
      <c r="D9" s="349" t="s">
        <v>303</v>
      </c>
      <c r="E9" s="349"/>
      <c r="F9" s="349" t="s">
        <v>303</v>
      </c>
      <c r="G9" s="349" t="s">
        <v>303</v>
      </c>
      <c r="H9" s="349" t="s">
        <v>303</v>
      </c>
      <c r="I9" s="350" t="s">
        <v>303</v>
      </c>
      <c r="J9" s="351" t="s">
        <v>53</v>
      </c>
    </row>
    <row r="10" spans="1:10" ht="14.4" customHeight="1" x14ac:dyDescent="0.3">
      <c r="A10" s="347" t="s">
        <v>307</v>
      </c>
      <c r="B10" s="348" t="s">
        <v>308</v>
      </c>
      <c r="C10" s="349" t="s">
        <v>303</v>
      </c>
      <c r="D10" s="349" t="s">
        <v>303</v>
      </c>
      <c r="E10" s="349"/>
      <c r="F10" s="349" t="s">
        <v>303</v>
      </c>
      <c r="G10" s="349" t="s">
        <v>303</v>
      </c>
      <c r="H10" s="349" t="s">
        <v>303</v>
      </c>
      <c r="I10" s="350" t="s">
        <v>303</v>
      </c>
      <c r="J10" s="351" t="s">
        <v>0</v>
      </c>
    </row>
    <row r="11" spans="1:10" ht="14.4" customHeight="1" x14ac:dyDescent="0.3">
      <c r="A11" s="347" t="s">
        <v>307</v>
      </c>
      <c r="B11" s="348" t="s">
        <v>304</v>
      </c>
      <c r="C11" s="349">
        <v>22.916219999999999</v>
      </c>
      <c r="D11" s="349">
        <v>27.432669999999998</v>
      </c>
      <c r="E11" s="349"/>
      <c r="F11" s="349">
        <v>28.577669999999998</v>
      </c>
      <c r="G11" s="349">
        <v>27</v>
      </c>
      <c r="H11" s="349">
        <v>1.5776699999999977</v>
      </c>
      <c r="I11" s="350">
        <v>1.0584322222222222</v>
      </c>
      <c r="J11" s="351" t="s">
        <v>1</v>
      </c>
    </row>
    <row r="12" spans="1:10" ht="14.4" customHeight="1" x14ac:dyDescent="0.3">
      <c r="A12" s="347" t="s">
        <v>307</v>
      </c>
      <c r="B12" s="348" t="s">
        <v>309</v>
      </c>
      <c r="C12" s="349">
        <v>22.916219999999999</v>
      </c>
      <c r="D12" s="349">
        <v>27.432669999999998</v>
      </c>
      <c r="E12" s="349"/>
      <c r="F12" s="349">
        <v>28.577669999999998</v>
      </c>
      <c r="G12" s="349">
        <v>27</v>
      </c>
      <c r="H12" s="349">
        <v>1.5776699999999977</v>
      </c>
      <c r="I12" s="350">
        <v>1.0584322222222222</v>
      </c>
      <c r="J12" s="351" t="s">
        <v>310</v>
      </c>
    </row>
    <row r="13" spans="1:10" ht="14.4" customHeight="1" x14ac:dyDescent="0.3">
      <c r="A13" s="347" t="s">
        <v>303</v>
      </c>
      <c r="B13" s="348" t="s">
        <v>303</v>
      </c>
      <c r="C13" s="349" t="s">
        <v>303</v>
      </c>
      <c r="D13" s="349" t="s">
        <v>303</v>
      </c>
      <c r="E13" s="349"/>
      <c r="F13" s="349" t="s">
        <v>303</v>
      </c>
      <c r="G13" s="349" t="s">
        <v>303</v>
      </c>
      <c r="H13" s="349" t="s">
        <v>303</v>
      </c>
      <c r="I13" s="350" t="s">
        <v>303</v>
      </c>
      <c r="J13" s="351" t="s">
        <v>311</v>
      </c>
    </row>
    <row r="14" spans="1:10" ht="14.4" customHeight="1" x14ac:dyDescent="0.3">
      <c r="A14" s="347" t="s">
        <v>312</v>
      </c>
      <c r="B14" s="348" t="s">
        <v>313</v>
      </c>
      <c r="C14" s="349" t="s">
        <v>303</v>
      </c>
      <c r="D14" s="349" t="s">
        <v>303</v>
      </c>
      <c r="E14" s="349"/>
      <c r="F14" s="349" t="s">
        <v>303</v>
      </c>
      <c r="G14" s="349" t="s">
        <v>303</v>
      </c>
      <c r="H14" s="349" t="s">
        <v>303</v>
      </c>
      <c r="I14" s="350" t="s">
        <v>303</v>
      </c>
      <c r="J14" s="351" t="s">
        <v>0</v>
      </c>
    </row>
    <row r="15" spans="1:10" ht="14.4" customHeight="1" x14ac:dyDescent="0.3">
      <c r="A15" s="347" t="s">
        <v>312</v>
      </c>
      <c r="B15" s="348" t="s">
        <v>304</v>
      </c>
      <c r="C15" s="349">
        <v>0</v>
      </c>
      <c r="D15" s="349">
        <v>6.1721900000000005</v>
      </c>
      <c r="E15" s="349"/>
      <c r="F15" s="349">
        <v>0</v>
      </c>
      <c r="G15" s="349">
        <v>3</v>
      </c>
      <c r="H15" s="349">
        <v>-3</v>
      </c>
      <c r="I15" s="350">
        <v>0</v>
      </c>
      <c r="J15" s="351" t="s">
        <v>1</v>
      </c>
    </row>
    <row r="16" spans="1:10" ht="14.4" customHeight="1" x14ac:dyDescent="0.3">
      <c r="A16" s="347" t="s">
        <v>312</v>
      </c>
      <c r="B16" s="348" t="s">
        <v>314</v>
      </c>
      <c r="C16" s="349">
        <v>0</v>
      </c>
      <c r="D16" s="349">
        <v>6.1721900000000005</v>
      </c>
      <c r="E16" s="349"/>
      <c r="F16" s="349">
        <v>0</v>
      </c>
      <c r="G16" s="349">
        <v>3</v>
      </c>
      <c r="H16" s="349">
        <v>-3</v>
      </c>
      <c r="I16" s="350">
        <v>0</v>
      </c>
      <c r="J16" s="351" t="s">
        <v>310</v>
      </c>
    </row>
    <row r="17" spans="1:10" ht="14.4" customHeight="1" x14ac:dyDescent="0.3">
      <c r="A17" s="347" t="s">
        <v>303</v>
      </c>
      <c r="B17" s="348" t="s">
        <v>303</v>
      </c>
      <c r="C17" s="349" t="s">
        <v>303</v>
      </c>
      <c r="D17" s="349" t="s">
        <v>303</v>
      </c>
      <c r="E17" s="349"/>
      <c r="F17" s="349" t="s">
        <v>303</v>
      </c>
      <c r="G17" s="349" t="s">
        <v>303</v>
      </c>
      <c r="H17" s="349" t="s">
        <v>303</v>
      </c>
      <c r="I17" s="350" t="s">
        <v>303</v>
      </c>
      <c r="J17" s="351" t="s">
        <v>311</v>
      </c>
    </row>
    <row r="18" spans="1:10" ht="14.4" customHeight="1" x14ac:dyDescent="0.3">
      <c r="A18" s="347" t="s">
        <v>301</v>
      </c>
      <c r="B18" s="348" t="s">
        <v>305</v>
      </c>
      <c r="C18" s="349">
        <v>22.916219999999999</v>
      </c>
      <c r="D18" s="349">
        <v>33.604860000000002</v>
      </c>
      <c r="E18" s="349"/>
      <c r="F18" s="349">
        <v>28.577669999999998</v>
      </c>
      <c r="G18" s="349">
        <v>30</v>
      </c>
      <c r="H18" s="349">
        <v>-1.4223300000000023</v>
      </c>
      <c r="I18" s="350">
        <v>0.95258899999999991</v>
      </c>
      <c r="J18" s="351" t="s">
        <v>306</v>
      </c>
    </row>
  </sheetData>
  <mergeCells count="3">
    <mergeCell ref="F3:I3"/>
    <mergeCell ref="C4:D4"/>
    <mergeCell ref="A1:I1"/>
  </mergeCells>
  <conditionalFormatting sqref="F8 F19:F65537">
    <cfRule type="cellIs" dxfId="42" priority="18" stopIfTrue="1" operator="greaterThan">
      <formula>1</formula>
    </cfRule>
  </conditionalFormatting>
  <conditionalFormatting sqref="H5:H7">
    <cfRule type="expression" dxfId="41" priority="14">
      <formula>$H5&gt;0</formula>
    </cfRule>
  </conditionalFormatting>
  <conditionalFormatting sqref="I5:I7">
    <cfRule type="expression" dxfId="40" priority="15">
      <formula>$I5&gt;1</formula>
    </cfRule>
  </conditionalFormatting>
  <conditionalFormatting sqref="B5:B7">
    <cfRule type="expression" dxfId="39" priority="11">
      <formula>OR($J5="NS",$J5="SumaNS",$J5="Účet")</formula>
    </cfRule>
  </conditionalFormatting>
  <conditionalFormatting sqref="B5:D7 F5:I7">
    <cfRule type="expression" dxfId="38" priority="17">
      <formula>AND($J5&lt;&gt;"",$J5&lt;&gt;"mezeraKL")</formula>
    </cfRule>
  </conditionalFormatting>
  <conditionalFormatting sqref="B5:D7 F5:I7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6" priority="13">
      <formula>OR($J5="SumaNS",$J5="NS")</formula>
    </cfRule>
  </conditionalFormatting>
  <conditionalFormatting sqref="A5:A7">
    <cfRule type="expression" dxfId="35" priority="9">
      <formula>AND($J5&lt;&gt;"mezeraKL",$J5&lt;&gt;"")</formula>
    </cfRule>
  </conditionalFormatting>
  <conditionalFormatting sqref="A5:A7">
    <cfRule type="expression" dxfId="34" priority="10">
      <formula>AND($J5&lt;&gt;"",$J5&lt;&gt;"mezeraKL")</formula>
    </cfRule>
  </conditionalFormatting>
  <conditionalFormatting sqref="H9:H18">
    <cfRule type="expression" dxfId="33" priority="5">
      <formula>$H9&gt;0</formula>
    </cfRule>
  </conditionalFormatting>
  <conditionalFormatting sqref="A9:A18">
    <cfRule type="expression" dxfId="32" priority="2">
      <formula>AND($J9&lt;&gt;"mezeraKL",$J9&lt;&gt;"")</formula>
    </cfRule>
  </conditionalFormatting>
  <conditionalFormatting sqref="I9:I18">
    <cfRule type="expression" dxfId="31" priority="6">
      <formula>$I9&gt;1</formula>
    </cfRule>
  </conditionalFormatting>
  <conditionalFormatting sqref="B9:B18">
    <cfRule type="expression" dxfId="30" priority="1">
      <formula>OR($J9="NS",$J9="SumaNS",$J9="Účet")</formula>
    </cfRule>
  </conditionalFormatting>
  <conditionalFormatting sqref="A9:D18 F9:I18">
    <cfRule type="expression" dxfId="29" priority="8">
      <formula>AND($J9&lt;&gt;"",$J9&lt;&gt;"mezeraKL")</formula>
    </cfRule>
  </conditionalFormatting>
  <conditionalFormatting sqref="B9:D18 F9:I18">
    <cfRule type="expression" dxfId="2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27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64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308" t="s">
        <v>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4.4" customHeight="1" thickBot="1" x14ac:dyDescent="0.35">
      <c r="A2" s="173" t="s">
        <v>178</v>
      </c>
      <c r="B2" s="57"/>
      <c r="C2" s="165"/>
      <c r="D2" s="165"/>
      <c r="E2" s="263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304"/>
      <c r="D3" s="305"/>
      <c r="E3" s="305"/>
      <c r="F3" s="305"/>
      <c r="G3" s="305"/>
      <c r="H3" s="305"/>
      <c r="I3" s="305"/>
      <c r="J3" s="306" t="s">
        <v>75</v>
      </c>
      <c r="K3" s="307"/>
      <c r="L3" s="71">
        <f>IF(M3&lt;&gt;0,N3/M3,0)</f>
        <v>170.10515005955131</v>
      </c>
      <c r="M3" s="71">
        <f>SUBTOTAL(9,M5:M1048576)</f>
        <v>168</v>
      </c>
      <c r="N3" s="72">
        <f>SUBTOTAL(9,N5:N1048576)</f>
        <v>28577.665210004619</v>
      </c>
    </row>
    <row r="4" spans="1:14" s="162" customFormat="1" ht="14.4" customHeight="1" thickBot="1" x14ac:dyDescent="0.35">
      <c r="A4" s="352" t="s">
        <v>3</v>
      </c>
      <c r="B4" s="353" t="s">
        <v>4</v>
      </c>
      <c r="C4" s="353" t="s">
        <v>0</v>
      </c>
      <c r="D4" s="353" t="s">
        <v>5</v>
      </c>
      <c r="E4" s="354" t="s">
        <v>6</v>
      </c>
      <c r="F4" s="353" t="s">
        <v>1</v>
      </c>
      <c r="G4" s="353" t="s">
        <v>7</v>
      </c>
      <c r="H4" s="353" t="s">
        <v>8</v>
      </c>
      <c r="I4" s="353" t="s">
        <v>9</v>
      </c>
      <c r="J4" s="355" t="s">
        <v>10</v>
      </c>
      <c r="K4" s="355" t="s">
        <v>11</v>
      </c>
      <c r="L4" s="356" t="s">
        <v>81</v>
      </c>
      <c r="M4" s="356" t="s">
        <v>12</v>
      </c>
      <c r="N4" s="357" t="s">
        <v>89</v>
      </c>
    </row>
    <row r="5" spans="1:14" ht="14.4" customHeight="1" x14ac:dyDescent="0.3">
      <c r="A5" s="358" t="s">
        <v>301</v>
      </c>
      <c r="B5" s="359" t="s">
        <v>302</v>
      </c>
      <c r="C5" s="360" t="s">
        <v>307</v>
      </c>
      <c r="D5" s="361" t="s">
        <v>308</v>
      </c>
      <c r="E5" s="362">
        <v>50113001</v>
      </c>
      <c r="F5" s="361" t="s">
        <v>315</v>
      </c>
      <c r="G5" s="360" t="s">
        <v>316</v>
      </c>
      <c r="H5" s="360">
        <v>900503</v>
      </c>
      <c r="I5" s="360">
        <v>0</v>
      </c>
      <c r="J5" s="360" t="s">
        <v>317</v>
      </c>
      <c r="K5" s="360" t="s">
        <v>303</v>
      </c>
      <c r="L5" s="363">
        <v>111.43978142074111</v>
      </c>
      <c r="M5" s="363">
        <v>80</v>
      </c>
      <c r="N5" s="364">
        <v>8915.1825136592888</v>
      </c>
    </row>
    <row r="6" spans="1:14" ht="14.4" customHeight="1" x14ac:dyDescent="0.3">
      <c r="A6" s="365" t="s">
        <v>301</v>
      </c>
      <c r="B6" s="366" t="s">
        <v>302</v>
      </c>
      <c r="C6" s="367" t="s">
        <v>307</v>
      </c>
      <c r="D6" s="368" t="s">
        <v>308</v>
      </c>
      <c r="E6" s="369">
        <v>50113001</v>
      </c>
      <c r="F6" s="368" t="s">
        <v>315</v>
      </c>
      <c r="G6" s="367" t="s">
        <v>316</v>
      </c>
      <c r="H6" s="367">
        <v>930224</v>
      </c>
      <c r="I6" s="367">
        <v>0</v>
      </c>
      <c r="J6" s="367" t="s">
        <v>318</v>
      </c>
      <c r="K6" s="367" t="s">
        <v>319</v>
      </c>
      <c r="L6" s="370">
        <v>75.018013472882302</v>
      </c>
      <c r="M6" s="370">
        <v>8</v>
      </c>
      <c r="N6" s="371">
        <v>600.14410778305842</v>
      </c>
    </row>
    <row r="7" spans="1:14" ht="14.4" customHeight="1" thickBot="1" x14ac:dyDescent="0.35">
      <c r="A7" s="372" t="s">
        <v>301</v>
      </c>
      <c r="B7" s="373" t="s">
        <v>302</v>
      </c>
      <c r="C7" s="374" t="s">
        <v>307</v>
      </c>
      <c r="D7" s="375" t="s">
        <v>308</v>
      </c>
      <c r="E7" s="376">
        <v>50113001</v>
      </c>
      <c r="F7" s="375" t="s">
        <v>315</v>
      </c>
      <c r="G7" s="374" t="s">
        <v>316</v>
      </c>
      <c r="H7" s="374">
        <v>920294</v>
      </c>
      <c r="I7" s="374">
        <v>0</v>
      </c>
      <c r="J7" s="374" t="s">
        <v>320</v>
      </c>
      <c r="K7" s="374" t="s">
        <v>303</v>
      </c>
      <c r="L7" s="377">
        <v>238.27923235702843</v>
      </c>
      <c r="M7" s="377">
        <v>80</v>
      </c>
      <c r="N7" s="378">
        <v>19062.338588562274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7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309" t="s">
        <v>133</v>
      </c>
      <c r="B1" s="309"/>
      <c r="C1" s="309"/>
      <c r="D1" s="309"/>
      <c r="E1" s="309"/>
      <c r="F1" s="272"/>
      <c r="G1" s="272"/>
      <c r="H1" s="272"/>
      <c r="I1" s="272"/>
      <c r="J1" s="303"/>
      <c r="K1" s="303"/>
      <c r="L1" s="303"/>
      <c r="M1" s="303"/>
      <c r="N1" s="303"/>
      <c r="O1" s="303"/>
      <c r="P1" s="303"/>
      <c r="Q1" s="303"/>
    </row>
    <row r="2" spans="1:17" ht="14.4" customHeight="1" thickBot="1" x14ac:dyDescent="0.35">
      <c r="A2" s="173" t="s">
        <v>178</v>
      </c>
      <c r="B2" s="168"/>
      <c r="C2" s="168"/>
      <c r="D2" s="168"/>
      <c r="E2" s="168"/>
    </row>
    <row r="3" spans="1:17" ht="14.4" customHeight="1" thickBot="1" x14ac:dyDescent="0.35">
      <c r="A3" s="226" t="s">
        <v>2</v>
      </c>
      <c r="B3" s="230">
        <f>SUM(B6:B1048576)</f>
        <v>39</v>
      </c>
      <c r="C3" s="231">
        <f>SUM(C6:C1048576)</f>
        <v>0</v>
      </c>
      <c r="D3" s="231">
        <f>SUM(D6:D1048576)</f>
        <v>0</v>
      </c>
      <c r="E3" s="232">
        <f>SUM(E6:E1048576)</f>
        <v>0</v>
      </c>
      <c r="F3" s="229">
        <f>IF(SUM($B3:$E3)=0,"",B3/SUM($B3:$E3))</f>
        <v>1</v>
      </c>
      <c r="G3" s="227">
        <f t="shared" ref="G3:I3" si="0">IF(SUM($B3:$E3)=0,"",C3/SUM($B3:$E3))</f>
        <v>0</v>
      </c>
      <c r="H3" s="227">
        <f t="shared" si="0"/>
        <v>0</v>
      </c>
      <c r="I3" s="228">
        <f t="shared" si="0"/>
        <v>0</v>
      </c>
      <c r="J3" s="231">
        <f>SUM(J6:J1048576)</f>
        <v>16</v>
      </c>
      <c r="K3" s="231">
        <f>SUM(K6:K1048576)</f>
        <v>0</v>
      </c>
      <c r="L3" s="231">
        <f>SUM(L6:L1048576)</f>
        <v>0</v>
      </c>
      <c r="M3" s="232">
        <f>SUM(M6:M1048576)</f>
        <v>0</v>
      </c>
      <c r="N3" s="229">
        <f>IF(SUM($J3:$M3)=0,"",J3/SUM($J3:$M3))</f>
        <v>1</v>
      </c>
      <c r="O3" s="227">
        <f t="shared" ref="O3:Q3" si="1">IF(SUM($J3:$M3)=0,"",K3/SUM($J3:$M3))</f>
        <v>0</v>
      </c>
      <c r="P3" s="227">
        <f t="shared" si="1"/>
        <v>0</v>
      </c>
      <c r="Q3" s="228">
        <f t="shared" si="1"/>
        <v>0</v>
      </c>
    </row>
    <row r="4" spans="1:17" ht="14.4" customHeight="1" thickBot="1" x14ac:dyDescent="0.35">
      <c r="A4" s="225"/>
      <c r="B4" s="313" t="s">
        <v>135</v>
      </c>
      <c r="C4" s="314"/>
      <c r="D4" s="314"/>
      <c r="E4" s="315"/>
      <c r="F4" s="310" t="s">
        <v>140</v>
      </c>
      <c r="G4" s="311"/>
      <c r="H4" s="311"/>
      <c r="I4" s="312"/>
      <c r="J4" s="313" t="s">
        <v>141</v>
      </c>
      <c r="K4" s="314"/>
      <c r="L4" s="314"/>
      <c r="M4" s="315"/>
      <c r="N4" s="310" t="s">
        <v>142</v>
      </c>
      <c r="O4" s="311"/>
      <c r="P4" s="311"/>
      <c r="Q4" s="312"/>
    </row>
    <row r="5" spans="1:17" ht="14.4" customHeight="1" thickBot="1" x14ac:dyDescent="0.35">
      <c r="A5" s="379" t="s">
        <v>134</v>
      </c>
      <c r="B5" s="380" t="s">
        <v>136</v>
      </c>
      <c r="C5" s="380" t="s">
        <v>137</v>
      </c>
      <c r="D5" s="380" t="s">
        <v>138</v>
      </c>
      <c r="E5" s="381" t="s">
        <v>139</v>
      </c>
      <c r="F5" s="382" t="s">
        <v>136</v>
      </c>
      <c r="G5" s="383" t="s">
        <v>137</v>
      </c>
      <c r="H5" s="383" t="s">
        <v>138</v>
      </c>
      <c r="I5" s="384" t="s">
        <v>139</v>
      </c>
      <c r="J5" s="380" t="s">
        <v>136</v>
      </c>
      <c r="K5" s="380" t="s">
        <v>137</v>
      </c>
      <c r="L5" s="380" t="s">
        <v>138</v>
      </c>
      <c r="M5" s="381" t="s">
        <v>139</v>
      </c>
      <c r="N5" s="382" t="s">
        <v>136</v>
      </c>
      <c r="O5" s="383" t="s">
        <v>137</v>
      </c>
      <c r="P5" s="383" t="s">
        <v>138</v>
      </c>
      <c r="Q5" s="384" t="s">
        <v>139</v>
      </c>
    </row>
    <row r="6" spans="1:17" ht="14.4" customHeight="1" x14ac:dyDescent="0.3">
      <c r="A6" s="389" t="s">
        <v>321</v>
      </c>
      <c r="B6" s="393"/>
      <c r="C6" s="363"/>
      <c r="D6" s="363"/>
      <c r="E6" s="364"/>
      <c r="F6" s="391"/>
      <c r="G6" s="385"/>
      <c r="H6" s="385"/>
      <c r="I6" s="395"/>
      <c r="J6" s="393"/>
      <c r="K6" s="363"/>
      <c r="L6" s="363"/>
      <c r="M6" s="364"/>
      <c r="N6" s="391"/>
      <c r="O6" s="385"/>
      <c r="P6" s="385"/>
      <c r="Q6" s="386"/>
    </row>
    <row r="7" spans="1:17" ht="14.4" customHeight="1" thickBot="1" x14ac:dyDescent="0.35">
      <c r="A7" s="390" t="s">
        <v>322</v>
      </c>
      <c r="B7" s="394">
        <v>39</v>
      </c>
      <c r="C7" s="377"/>
      <c r="D7" s="377"/>
      <c r="E7" s="378"/>
      <c r="F7" s="392">
        <v>1</v>
      </c>
      <c r="G7" s="387">
        <v>0</v>
      </c>
      <c r="H7" s="387">
        <v>0</v>
      </c>
      <c r="I7" s="396">
        <v>0</v>
      </c>
      <c r="J7" s="394">
        <v>16</v>
      </c>
      <c r="K7" s="377"/>
      <c r="L7" s="377"/>
      <c r="M7" s="378"/>
      <c r="N7" s="392">
        <v>1</v>
      </c>
      <c r="O7" s="387">
        <v>0</v>
      </c>
      <c r="P7" s="387">
        <v>0</v>
      </c>
      <c r="Q7" s="38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301" t="s">
        <v>78</v>
      </c>
      <c r="B1" s="302"/>
      <c r="C1" s="302"/>
      <c r="D1" s="302"/>
      <c r="E1" s="302"/>
      <c r="F1" s="302"/>
      <c r="G1" s="272"/>
      <c r="H1" s="303"/>
      <c r="I1" s="303"/>
    </row>
    <row r="2" spans="1:10" ht="14.4" customHeight="1" thickBot="1" x14ac:dyDescent="0.35">
      <c r="A2" s="173" t="s">
        <v>178</v>
      </c>
      <c r="B2" s="160"/>
      <c r="C2" s="160"/>
      <c r="D2" s="160"/>
      <c r="E2" s="160"/>
      <c r="F2" s="160"/>
    </row>
    <row r="3" spans="1:10" ht="14.4" customHeight="1" thickBot="1" x14ac:dyDescent="0.35">
      <c r="A3" s="173"/>
      <c r="B3" s="244"/>
      <c r="C3" s="217">
        <v>2015</v>
      </c>
      <c r="D3" s="218">
        <v>2016</v>
      </c>
      <c r="E3" s="7"/>
      <c r="F3" s="280">
        <v>2017</v>
      </c>
      <c r="G3" s="298"/>
      <c r="H3" s="298"/>
      <c r="I3" s="281"/>
    </row>
    <row r="4" spans="1:10" ht="14.4" customHeight="1" thickBot="1" x14ac:dyDescent="0.35">
      <c r="A4" s="222" t="s">
        <v>0</v>
      </c>
      <c r="B4" s="223" t="s">
        <v>132</v>
      </c>
      <c r="C4" s="299" t="s">
        <v>55</v>
      </c>
      <c r="D4" s="300"/>
      <c r="E4" s="224"/>
      <c r="F4" s="219" t="s">
        <v>55</v>
      </c>
      <c r="G4" s="220" t="s">
        <v>56</v>
      </c>
      <c r="H4" s="220" t="s">
        <v>52</v>
      </c>
      <c r="I4" s="221" t="s">
        <v>57</v>
      </c>
    </row>
    <row r="5" spans="1:10" ht="14.4" customHeight="1" x14ac:dyDescent="0.3">
      <c r="A5" s="347" t="s">
        <v>301</v>
      </c>
      <c r="B5" s="348" t="s">
        <v>302</v>
      </c>
      <c r="C5" s="349" t="s">
        <v>303</v>
      </c>
      <c r="D5" s="349" t="s">
        <v>303</v>
      </c>
      <c r="E5" s="349"/>
      <c r="F5" s="349" t="s">
        <v>303</v>
      </c>
      <c r="G5" s="349" t="s">
        <v>303</v>
      </c>
      <c r="H5" s="349" t="s">
        <v>303</v>
      </c>
      <c r="I5" s="350" t="s">
        <v>303</v>
      </c>
      <c r="J5" s="351" t="s">
        <v>53</v>
      </c>
    </row>
    <row r="6" spans="1:10" ht="14.4" customHeight="1" x14ac:dyDescent="0.3">
      <c r="A6" s="347" t="s">
        <v>301</v>
      </c>
      <c r="B6" s="348" t="s">
        <v>323</v>
      </c>
      <c r="C6" s="349">
        <v>2.84</v>
      </c>
      <c r="D6" s="349">
        <v>5.5380000000000003</v>
      </c>
      <c r="E6" s="349"/>
      <c r="F6" s="349">
        <v>5.0819999999999999</v>
      </c>
      <c r="G6" s="349">
        <v>10</v>
      </c>
      <c r="H6" s="349">
        <v>-4.9180000000000001</v>
      </c>
      <c r="I6" s="350">
        <v>0.50819999999999999</v>
      </c>
      <c r="J6" s="351" t="s">
        <v>1</v>
      </c>
    </row>
    <row r="7" spans="1:10" ht="14.4" customHeight="1" x14ac:dyDescent="0.3">
      <c r="A7" s="347" t="s">
        <v>301</v>
      </c>
      <c r="B7" s="348" t="s">
        <v>305</v>
      </c>
      <c r="C7" s="349">
        <v>2.84</v>
      </c>
      <c r="D7" s="349">
        <v>5.5380000000000003</v>
      </c>
      <c r="E7" s="349"/>
      <c r="F7" s="349">
        <v>5.0819999999999999</v>
      </c>
      <c r="G7" s="349">
        <v>10</v>
      </c>
      <c r="H7" s="349">
        <v>-4.9180000000000001</v>
      </c>
      <c r="I7" s="350">
        <v>0.50819999999999999</v>
      </c>
      <c r="J7" s="351" t="s">
        <v>306</v>
      </c>
    </row>
    <row r="9" spans="1:10" ht="14.4" customHeight="1" x14ac:dyDescent="0.3">
      <c r="A9" s="347" t="s">
        <v>301</v>
      </c>
      <c r="B9" s="348" t="s">
        <v>302</v>
      </c>
      <c r="C9" s="349" t="s">
        <v>303</v>
      </c>
      <c r="D9" s="349" t="s">
        <v>303</v>
      </c>
      <c r="E9" s="349"/>
      <c r="F9" s="349" t="s">
        <v>303</v>
      </c>
      <c r="G9" s="349" t="s">
        <v>303</v>
      </c>
      <c r="H9" s="349" t="s">
        <v>303</v>
      </c>
      <c r="I9" s="350" t="s">
        <v>303</v>
      </c>
      <c r="J9" s="351" t="s">
        <v>53</v>
      </c>
    </row>
    <row r="10" spans="1:10" ht="14.4" customHeight="1" x14ac:dyDescent="0.3">
      <c r="A10" s="347" t="s">
        <v>307</v>
      </c>
      <c r="B10" s="348" t="s">
        <v>308</v>
      </c>
      <c r="C10" s="349" t="s">
        <v>303</v>
      </c>
      <c r="D10" s="349" t="s">
        <v>303</v>
      </c>
      <c r="E10" s="349"/>
      <c r="F10" s="349" t="s">
        <v>303</v>
      </c>
      <c r="G10" s="349" t="s">
        <v>303</v>
      </c>
      <c r="H10" s="349" t="s">
        <v>303</v>
      </c>
      <c r="I10" s="350" t="s">
        <v>303</v>
      </c>
      <c r="J10" s="351" t="s">
        <v>0</v>
      </c>
    </row>
    <row r="11" spans="1:10" ht="14.4" customHeight="1" x14ac:dyDescent="0.3">
      <c r="A11" s="347" t="s">
        <v>307</v>
      </c>
      <c r="B11" s="348" t="s">
        <v>323</v>
      </c>
      <c r="C11" s="349">
        <v>2.84</v>
      </c>
      <c r="D11" s="349">
        <v>5.5380000000000003</v>
      </c>
      <c r="E11" s="349"/>
      <c r="F11" s="349">
        <v>5.0819999999999999</v>
      </c>
      <c r="G11" s="349">
        <v>10</v>
      </c>
      <c r="H11" s="349">
        <v>-4.9180000000000001</v>
      </c>
      <c r="I11" s="350">
        <v>0.50819999999999999</v>
      </c>
      <c r="J11" s="351" t="s">
        <v>1</v>
      </c>
    </row>
    <row r="12" spans="1:10" ht="14.4" customHeight="1" x14ac:dyDescent="0.3">
      <c r="A12" s="347" t="s">
        <v>307</v>
      </c>
      <c r="B12" s="348" t="s">
        <v>309</v>
      </c>
      <c r="C12" s="349">
        <v>2.84</v>
      </c>
      <c r="D12" s="349">
        <v>5.5380000000000003</v>
      </c>
      <c r="E12" s="349"/>
      <c r="F12" s="349">
        <v>5.0819999999999999</v>
      </c>
      <c r="G12" s="349">
        <v>10</v>
      </c>
      <c r="H12" s="349">
        <v>-4.9180000000000001</v>
      </c>
      <c r="I12" s="350">
        <v>0.50819999999999999</v>
      </c>
      <c r="J12" s="351" t="s">
        <v>310</v>
      </c>
    </row>
    <row r="13" spans="1:10" ht="14.4" customHeight="1" x14ac:dyDescent="0.3">
      <c r="A13" s="347" t="s">
        <v>303</v>
      </c>
      <c r="B13" s="348" t="s">
        <v>303</v>
      </c>
      <c r="C13" s="349" t="s">
        <v>303</v>
      </c>
      <c r="D13" s="349" t="s">
        <v>303</v>
      </c>
      <c r="E13" s="349"/>
      <c r="F13" s="349" t="s">
        <v>303</v>
      </c>
      <c r="G13" s="349" t="s">
        <v>303</v>
      </c>
      <c r="H13" s="349" t="s">
        <v>303</v>
      </c>
      <c r="I13" s="350" t="s">
        <v>303</v>
      </c>
      <c r="J13" s="351" t="s">
        <v>311</v>
      </c>
    </row>
    <row r="14" spans="1:10" ht="14.4" customHeight="1" x14ac:dyDescent="0.3">
      <c r="A14" s="347" t="s">
        <v>324</v>
      </c>
      <c r="B14" s="348" t="s">
        <v>325</v>
      </c>
      <c r="C14" s="349" t="s">
        <v>303</v>
      </c>
      <c r="D14" s="349" t="s">
        <v>303</v>
      </c>
      <c r="E14" s="349"/>
      <c r="F14" s="349" t="s">
        <v>303</v>
      </c>
      <c r="G14" s="349" t="s">
        <v>303</v>
      </c>
      <c r="H14" s="349" t="s">
        <v>303</v>
      </c>
      <c r="I14" s="350" t="s">
        <v>303</v>
      </c>
      <c r="J14" s="351" t="s">
        <v>0</v>
      </c>
    </row>
    <row r="15" spans="1:10" ht="14.4" customHeight="1" x14ac:dyDescent="0.3">
      <c r="A15" s="347" t="s">
        <v>324</v>
      </c>
      <c r="B15" s="348" t="s">
        <v>323</v>
      </c>
      <c r="C15" s="349">
        <v>0</v>
      </c>
      <c r="D15" s="349">
        <v>0</v>
      </c>
      <c r="E15" s="349"/>
      <c r="F15" s="349">
        <v>0</v>
      </c>
      <c r="G15" s="349">
        <v>0</v>
      </c>
      <c r="H15" s="349">
        <v>0</v>
      </c>
      <c r="I15" s="350" t="s">
        <v>303</v>
      </c>
      <c r="J15" s="351" t="s">
        <v>1</v>
      </c>
    </row>
    <row r="16" spans="1:10" ht="14.4" customHeight="1" x14ac:dyDescent="0.3">
      <c r="A16" s="347" t="s">
        <v>324</v>
      </c>
      <c r="B16" s="348" t="s">
        <v>326</v>
      </c>
      <c r="C16" s="349">
        <v>0</v>
      </c>
      <c r="D16" s="349">
        <v>0</v>
      </c>
      <c r="E16" s="349"/>
      <c r="F16" s="349">
        <v>0</v>
      </c>
      <c r="G16" s="349">
        <v>0</v>
      </c>
      <c r="H16" s="349">
        <v>0</v>
      </c>
      <c r="I16" s="350" t="s">
        <v>303</v>
      </c>
      <c r="J16" s="351" t="s">
        <v>310</v>
      </c>
    </row>
    <row r="17" spans="1:10" ht="14.4" customHeight="1" x14ac:dyDescent="0.3">
      <c r="A17" s="347" t="s">
        <v>303</v>
      </c>
      <c r="B17" s="348" t="s">
        <v>303</v>
      </c>
      <c r="C17" s="349" t="s">
        <v>303</v>
      </c>
      <c r="D17" s="349" t="s">
        <v>303</v>
      </c>
      <c r="E17" s="349"/>
      <c r="F17" s="349" t="s">
        <v>303</v>
      </c>
      <c r="G17" s="349" t="s">
        <v>303</v>
      </c>
      <c r="H17" s="349" t="s">
        <v>303</v>
      </c>
      <c r="I17" s="350" t="s">
        <v>303</v>
      </c>
      <c r="J17" s="351" t="s">
        <v>311</v>
      </c>
    </row>
    <row r="18" spans="1:10" ht="14.4" customHeight="1" x14ac:dyDescent="0.3">
      <c r="A18" s="347" t="s">
        <v>301</v>
      </c>
      <c r="B18" s="348" t="s">
        <v>305</v>
      </c>
      <c r="C18" s="349">
        <v>2.84</v>
      </c>
      <c r="D18" s="349">
        <v>5.5380000000000003</v>
      </c>
      <c r="E18" s="349"/>
      <c r="F18" s="349">
        <v>5.0819999999999999</v>
      </c>
      <c r="G18" s="349">
        <v>10</v>
      </c>
      <c r="H18" s="349">
        <v>-4.9180000000000001</v>
      </c>
      <c r="I18" s="350">
        <v>0.50819999999999999</v>
      </c>
      <c r="J18" s="351" t="s">
        <v>306</v>
      </c>
    </row>
  </sheetData>
  <mergeCells count="3">
    <mergeCell ref="A1:I1"/>
    <mergeCell ref="F3:I3"/>
    <mergeCell ref="C4:D4"/>
  </mergeCells>
  <conditionalFormatting sqref="F8 F19:F65537">
    <cfRule type="cellIs" dxfId="25" priority="18" stopIfTrue="1" operator="greaterThan">
      <formula>1</formula>
    </cfRule>
  </conditionalFormatting>
  <conditionalFormatting sqref="H5:H7">
    <cfRule type="expression" dxfId="24" priority="14">
      <formula>$H5&gt;0</formula>
    </cfRule>
  </conditionalFormatting>
  <conditionalFormatting sqref="I5:I7">
    <cfRule type="expression" dxfId="23" priority="15">
      <formula>$I5&gt;1</formula>
    </cfRule>
  </conditionalFormatting>
  <conditionalFormatting sqref="B5:B7">
    <cfRule type="expression" dxfId="22" priority="11">
      <formula>OR($J5="NS",$J5="SumaNS",$J5="Účet")</formula>
    </cfRule>
  </conditionalFormatting>
  <conditionalFormatting sqref="F5:I7 B5:D7">
    <cfRule type="expression" dxfId="21" priority="17">
      <formula>AND($J5&lt;&gt;"",$J5&lt;&gt;"mezeraKL")</formula>
    </cfRule>
  </conditionalFormatting>
  <conditionalFormatting sqref="B5:D7 F5:I7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9" priority="13">
      <formula>OR($J5="SumaNS",$J5="NS")</formula>
    </cfRule>
  </conditionalFormatting>
  <conditionalFormatting sqref="A5:A7">
    <cfRule type="expression" dxfId="18" priority="9">
      <formula>AND($J5&lt;&gt;"mezeraKL",$J5&lt;&gt;"")</formula>
    </cfRule>
  </conditionalFormatting>
  <conditionalFormatting sqref="A5:A7">
    <cfRule type="expression" dxfId="17" priority="10">
      <formula>AND($J5&lt;&gt;"",$J5&lt;&gt;"mezeraKL")</formula>
    </cfRule>
  </conditionalFormatting>
  <conditionalFormatting sqref="H9:H18">
    <cfRule type="expression" dxfId="16" priority="6">
      <formula>$H9&gt;0</formula>
    </cfRule>
  </conditionalFormatting>
  <conditionalFormatting sqref="A9:A18">
    <cfRule type="expression" dxfId="15" priority="5">
      <formula>AND($J9&lt;&gt;"mezeraKL",$J9&lt;&gt;"")</formula>
    </cfRule>
  </conditionalFormatting>
  <conditionalFormatting sqref="I9:I18">
    <cfRule type="expression" dxfId="14" priority="7">
      <formula>$I9&gt;1</formula>
    </cfRule>
  </conditionalFormatting>
  <conditionalFormatting sqref="B9:B18">
    <cfRule type="expression" dxfId="13" priority="4">
      <formula>OR($J9="NS",$J9="SumaNS",$J9="Účet")</formula>
    </cfRule>
  </conditionalFormatting>
  <conditionalFormatting sqref="A9:D18 F9:I18">
    <cfRule type="expression" dxfId="12" priority="8">
      <formula>AND($J9&lt;&gt;"",$J9&lt;&gt;"mezeraKL")</formula>
    </cfRule>
  </conditionalFormatting>
  <conditionalFormatting sqref="B9:D18 F9:I18">
    <cfRule type="expression" dxfId="11" priority="1">
      <formula>OR($J9="KL",$J9="SumaKL")</formula>
    </cfRule>
    <cfRule type="expression" priority="3" stopIfTrue="1">
      <formula>OR($J9="mezeraNS",$J9="mezeraKL")</formula>
    </cfRule>
  </conditionalFormatting>
  <conditionalFormatting sqref="B9:D18 F9:I18">
    <cfRule type="expression" dxfId="10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2017-07-25T12:16:59Z</dcterms:modified>
</cp:coreProperties>
</file>