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19" r:id="rId14"/>
    <sheet name="ZV Vykáz.-A" sheetId="344" r:id="rId15"/>
    <sheet name="ZV Vykáz.-A Lékaři" sheetId="429" r:id="rId16"/>
    <sheet name="ZV Vykáz.-A Detail" sheetId="345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6" hidden="1">'ZV Vykáz.-A Detail'!$A$5:$Q$5</definedName>
    <definedName name="_xlnm._FilterDatabase" localSheetId="15" hidden="1">'ZV Vykáz.-A Lékaři'!$A$4:$A$5</definedName>
    <definedName name="_xlnm._FilterDatabase" localSheetId="18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J21" i="419" l="1"/>
  <c r="AI21" i="419"/>
  <c r="AH21" i="419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D23" i="419" l="1"/>
  <c r="D22" i="419"/>
  <c r="E22" i="419"/>
  <c r="E23" i="419"/>
  <c r="I22" i="419"/>
  <c r="I23" i="419"/>
  <c r="M22" i="419"/>
  <c r="M23" i="419"/>
  <c r="Q22" i="419"/>
  <c r="Q23" i="419"/>
  <c r="U22" i="419"/>
  <c r="U23" i="419"/>
  <c r="Y22" i="419"/>
  <c r="Y23" i="419"/>
  <c r="AC22" i="419"/>
  <c r="AC23" i="419"/>
  <c r="AG22" i="419"/>
  <c r="AG23" i="419"/>
  <c r="B23" i="419"/>
  <c r="B22" i="419"/>
  <c r="F22" i="419"/>
  <c r="F23" i="419"/>
  <c r="J22" i="419"/>
  <c r="J23" i="419"/>
  <c r="N22" i="419"/>
  <c r="N23" i="419"/>
  <c r="R22" i="419"/>
  <c r="R23" i="419"/>
  <c r="V22" i="419"/>
  <c r="V23" i="419"/>
  <c r="Z22" i="419"/>
  <c r="Z23" i="419"/>
  <c r="AD22" i="419"/>
  <c r="AD23" i="419"/>
  <c r="AH22" i="419"/>
  <c r="AH23" i="419"/>
  <c r="C23" i="419"/>
  <c r="C22" i="419"/>
  <c r="G23" i="419"/>
  <c r="G22" i="419"/>
  <c r="K23" i="419"/>
  <c r="K22" i="419"/>
  <c r="O23" i="419"/>
  <c r="O22" i="419"/>
  <c r="S23" i="419"/>
  <c r="S22" i="419"/>
  <c r="W23" i="419"/>
  <c r="W22" i="419"/>
  <c r="AA23" i="419"/>
  <c r="AA22" i="419"/>
  <c r="AE23" i="419"/>
  <c r="AE22" i="419"/>
  <c r="AI23" i="419"/>
  <c r="AI22" i="419"/>
  <c r="H23" i="419"/>
  <c r="H22" i="419"/>
  <c r="L23" i="419"/>
  <c r="L22" i="419"/>
  <c r="P23" i="419"/>
  <c r="P22" i="419"/>
  <c r="T23" i="419"/>
  <c r="T22" i="419"/>
  <c r="X23" i="419"/>
  <c r="X22" i="419"/>
  <c r="AB23" i="419"/>
  <c r="AB22" i="419"/>
  <c r="AF23" i="419"/>
  <c r="AF22" i="419"/>
  <c r="AJ23" i="419"/>
  <c r="AJ22" i="419"/>
  <c r="A22" i="383"/>
  <c r="G3" i="429"/>
  <c r="F3" i="429"/>
  <c r="E3" i="429"/>
  <c r="D3" i="429"/>
  <c r="C3" i="429"/>
  <c r="B3" i="429"/>
  <c r="AI26" i="419" l="1"/>
  <c r="AI25" i="419"/>
  <c r="C11" i="340" l="1"/>
  <c r="A16" i="383" l="1"/>
  <c r="C14" i="414"/>
  <c r="D14" i="414"/>
  <c r="AJ20" i="419" l="1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J19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J17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J16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J14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J13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J12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J11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D18" i="419" l="1"/>
  <c r="H18" i="419"/>
  <c r="T18" i="419"/>
  <c r="X18" i="419"/>
  <c r="AB18" i="419"/>
  <c r="AJ18" i="419"/>
  <c r="F18" i="419"/>
  <c r="J18" i="419"/>
  <c r="N18" i="419"/>
  <c r="R18" i="419"/>
  <c r="V18" i="419"/>
  <c r="Z18" i="419"/>
  <c r="AD18" i="419"/>
  <c r="AH18" i="419"/>
  <c r="E18" i="419"/>
  <c r="I18" i="419"/>
  <c r="M18" i="419"/>
  <c r="Q18" i="419"/>
  <c r="U18" i="419"/>
  <c r="Y18" i="419"/>
  <c r="AC18" i="419"/>
  <c r="AG18" i="419"/>
  <c r="L18" i="419"/>
  <c r="P18" i="419"/>
  <c r="AF18" i="419"/>
  <c r="G18" i="419"/>
  <c r="K18" i="419"/>
  <c r="O18" i="419"/>
  <c r="S18" i="419"/>
  <c r="W18" i="419"/>
  <c r="AA18" i="419"/>
  <c r="AE18" i="419"/>
  <c r="AI18" i="419"/>
  <c r="C25" i="419"/>
  <c r="AI27" i="419" l="1"/>
  <c r="G26" i="419"/>
  <c r="C26" i="419"/>
  <c r="B26" i="419" l="1"/>
  <c r="B27" i="419" s="1"/>
  <c r="C28" i="419"/>
  <c r="G27" i="419"/>
  <c r="C27" i="419"/>
  <c r="AI28" i="419" l="1"/>
  <c r="G25" i="419"/>
  <c r="B25" i="419" l="1"/>
  <c r="G28" i="419"/>
  <c r="B28" i="419" s="1"/>
  <c r="A7" i="339"/>
  <c r="AG6" i="419" l="1"/>
  <c r="AC6" i="419"/>
  <c r="Y6" i="419"/>
  <c r="U6" i="419"/>
  <c r="Q6" i="419"/>
  <c r="M6" i="419"/>
  <c r="I6" i="419"/>
  <c r="E6" i="419"/>
  <c r="AJ6" i="419"/>
  <c r="AF6" i="419"/>
  <c r="AB6" i="419"/>
  <c r="X6" i="419"/>
  <c r="T6" i="419"/>
  <c r="P6" i="419"/>
  <c r="L6" i="419"/>
  <c r="H6" i="419"/>
  <c r="D6" i="419"/>
  <c r="AI6" i="419"/>
  <c r="AE6" i="419"/>
  <c r="AA6" i="419"/>
  <c r="W6" i="419"/>
  <c r="S6" i="419"/>
  <c r="O6" i="419"/>
  <c r="K6" i="419"/>
  <c r="G6" i="419"/>
  <c r="AH6" i="419"/>
  <c r="AD6" i="419"/>
  <c r="Z6" i="419"/>
  <c r="V6" i="419"/>
  <c r="R6" i="419"/>
  <c r="N6" i="419"/>
  <c r="J6" i="419"/>
  <c r="F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10" i="414"/>
  <c r="A9" i="414"/>
  <c r="A7" i="414"/>
  <c r="A14" i="414"/>
  <c r="A4" i="414"/>
  <c r="A6" i="339" l="1"/>
  <c r="A5" i="339"/>
  <c r="D4" i="414"/>
  <c r="C17" i="414"/>
  <c r="D17" i="414"/>
  <c r="D10" i="414" l="1"/>
  <c r="C13" i="414" l="1"/>
  <c r="C7" i="414"/>
  <c r="D9" i="414" l="1"/>
  <c r="E9" i="414" s="1"/>
  <c r="E19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C20" i="414"/>
  <c r="D20" i="414"/>
  <c r="Q3" i="377" l="1"/>
  <c r="F13" i="339"/>
  <c r="E13" i="339"/>
  <c r="E15" i="339" s="1"/>
  <c r="H12" i="339"/>
  <c r="G12" i="339"/>
  <c r="K3" i="390"/>
  <c r="A4" i="383"/>
  <c r="A25" i="383"/>
  <c r="A24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<sst xmlns="http://schemas.openxmlformats.org/spreadsheetml/2006/main" count="2877" uniqueCount="687">
  <si>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</si>
  <si>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</si>
  <si>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</si>
  <si>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</si>
  <si>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</si>
  <si>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</si>
  <si>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</si>
  <si>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</si>
  <si>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</si>
  <si>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</si>
  <si>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</si>
  <si>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</si>
  <si>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</si>
  <si>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</si>
  <si>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</si>
  <si>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</si>
  <si>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</si>
  <si>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</si>
  <si>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</si>
  <si>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</si>
  <si>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</si>
  <si>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</si>
  <si>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</si>
  <si>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</si>
  <si>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</si>
  <si>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</si>
  <si>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</si>
  <si>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</si>
  <si>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</si>
  <si>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</si>
  <si>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</si>
  <si>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</si>
  <si>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</si>
  <si>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</si>
  <si>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</si>
  <si>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</si>
  <si>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</si>
  <si>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</si>
  <si>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</si>
  <si>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</si>
  <si>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</si>
  <si>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</si>
  <si>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</si>
  <si>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</si>
  <si>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</si>
  <si>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</si>
  <si>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</si>
  <si>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</si>
  <si>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</si>
  <si>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</si>
  <si>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</si>
  <si>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</si>
  <si>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</si>
  <si>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</si>
  <si>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</si>
  <si>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</si>
  <si>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</si>
  <si>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</si>
  <si>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</si>
  <si>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</si>
  <si>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</si>
  <si>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</si>
  <si>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</si>
  <si>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</si>
  <si>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</si>
  <si>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</si>
  <si>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</si>
  <si>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</si>
  <si>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</si>
  <si>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</si>
  <si>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</si>
  <si>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</si>
  <si>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</si>
  <si>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</si>
  <si>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</si>
  <si>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</si>
  <si>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</si>
  <si>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</si>
  <si>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</si>
  <si>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</si>
  <si>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</si>
  <si>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</si>
  <si>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</si>
  <si>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</si>
  <si>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</si>
  <si>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</si>
  <si>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</si>
  <si>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</si>
  <si>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</si>
  <si>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</si>
  <si>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</si>
  <si>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</si>
  <si>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</si>
  <si>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</si>
  <si>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</si>
  <si>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</si>
  <si>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</si>
  <si>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</si>
  <si>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</si>
  <si>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</si>
  <si>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</si>
  <si>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</si>
  <si>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</si>
  <si>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</si>
  <si>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</si>
  <si>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</si>
  <si>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</si>
  <si>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</si>
  <si>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</si>
  <si>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</si>
  <si>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</si>
  <si>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</si>
  <si>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</si>
  <si>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</si>
  <si>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</si>
  <si>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</si>
  <si>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</si>
  <si>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</si>
  <si>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</si>
  <si>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</si>
  <si>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</si>
  <si>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</si>
  <si>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</si>
  <si>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</si>
  <si>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</si>
  <si>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</si>
  <si>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</si>
  <si>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</si>
  <si>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</si>
  <si>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</si>
  <si>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</si>
  <si>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</si>
  <si>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</si>
  <si>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</si>
  <si>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</si>
  <si>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</si>
  <si>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</si>
  <si>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</si>
  <si>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</si>
  <si>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</si>
  <si>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</si>
  <si>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</si>
  <si>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</si>
  <si>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</si>
  <si>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</si>
  <si>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</si>
  <si>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</si>
  <si>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</si>
  <si>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</si>
  <si>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</si>
  <si>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</si>
  <si>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</si>
  <si>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</si>
  <si>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</si>
  <si>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</si>
  <si>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</si>
  <si>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</si>
  <si>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</si>
  <si>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</si>
  <si>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</si>
  <si>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</si>
  <si>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</si>
  <si>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</si>
  <si>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</si>
  <si>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</si>
  <si>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</si>
  <si>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</si>
  <si>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</si>
  <si>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</si>
  <si>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</si>
  <si>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</si>
  <si>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</si>
  <si>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</si>
  <si>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</si>
  <si>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</si>
  <si>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</si>
  <si>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</si>
  <si>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</si>
  <si>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</si>
  <si>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</si>
  <si>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</si>
  <si>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</si>
  <si>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</si>
  <si>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</si>
  <si>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</si>
  <si>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</si>
  <si>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</si>
  <si>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</si>
  <si>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</si>
  <si>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</si>
  <si>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</si>
  <si>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</si>
  <si>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</si>
  <si>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</si>
  <si>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</si>
  <si>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</si>
  <si>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</si>
  <si>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</si>
  <si>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</si>
  <si>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</si>
  <si>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</si>
  <si>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</si>
  <si>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</si>
  <si>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</si>
  <si>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</si>
  <si>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</si>
  <si>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</si>
  <si>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</si>
  <si>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</si>
  <si>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</si>
  <si>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</si>
  <si>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</si>
  <si>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</si>
  <si>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</si>
  <si>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</si>
  <si>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</si>
  <si>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</si>
  <si>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</si>
  <si>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</si>
  <si>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</si>
  <si>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</si>
  <si>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</si>
  <si>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</si>
  <si>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</si>
  <si>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</si>
  <si>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</si>
  <si>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</si>
  <si>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</si>
  <si>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</si>
  <si>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</si>
  <si>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</si>
  <si>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</si>
  <si>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</si>
  <si>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</si>
  <si>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</si>
  <si>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</si>
  <si>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</si>
  <si>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abs. stud. oboru elektro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</si>
  <si>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</si>
  <si>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</si>
  <si>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</si>
  <si>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</si>
  <si>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</si>
  <si>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</si>
  <si>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</si>
  <si>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</si>
  <si>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</si>
  <si>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</si>
  <si>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</si>
  <si>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</si>
  <si>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</si>
  <si>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</si>
  <si>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</si>
  <si>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50115     Zdravotnické prostředky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</si>
  <si>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</si>
  <si>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</si>
  <si>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</si>
  <si>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</si>
  <si>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</si>
  <si>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</si>
  <si>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50119     DDHM a textil</t>
  </si>
  <si>
    <t>50119101     jednorázový operační materiál (sk.T18B)</t>
  </si>
  <si>
    <t>50210     Spotřeba energie</t>
  </si>
  <si>
    <t>50210073     pára</t>
  </si>
  <si>
    <t>51     Služby</t>
  </si>
  <si>
    <t>51801     Přepravné</t>
  </si>
  <si>
    <t>51801000     přepravné-lab. vzorky,...</t>
  </si>
  <si>
    <t>51808     Revize a smluvní servisy majetku</t>
  </si>
  <si>
    <t>51808008     revize, tech.kontroly, prev.prohl.- OHM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</si>
  <si>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</si>
  <si>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</si>
  <si>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</si>
  <si>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</si>
  <si>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</si>
  <si>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</si>
  <si>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</si>
  <si>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</si>
  <si>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</si>
  <si>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</si>
  <si>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</si>
  <si>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</si>
  <si>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</si>
  <si>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</si>
  <si>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</si>
  <si>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</si>
  <si>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</si>
  <si>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</si>
  <si>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79910     VPN - informační technologie</t>
  </si>
  <si>
    <t>79910001     výkony IT - fixní náklady (z 9086)</t>
  </si>
  <si>
    <t>Nutriční ambulance</t>
  </si>
  <si>
    <t>HVLP</t>
  </si>
  <si>
    <t>IPLP</t>
  </si>
  <si>
    <t/>
  </si>
  <si>
    <t>57</t>
  </si>
  <si>
    <t>SumaKL</t>
  </si>
  <si>
    <t>89301594</t>
  </si>
  <si>
    <t>Nutriční ambulance Celkem</t>
  </si>
  <si>
    <t>SumaNS</t>
  </si>
  <si>
    <t>mezeraNS</t>
  </si>
  <si>
    <t>Bohanes Tomáš</t>
  </si>
  <si>
    <t>Hrabalová Monika</t>
  </si>
  <si>
    <t>Karásková Eva</t>
  </si>
  <si>
    <t>Molitorová Ivana</t>
  </si>
  <si>
    <t>Vrzalová Drahomíra</t>
  </si>
  <si>
    <t>Jiná</t>
  </si>
  <si>
    <t>999999</t>
  </si>
  <si>
    <t>Jiný</t>
  </si>
  <si>
    <t>Potraviny pro zvláštní lékařské účely (PZLÚ)</t>
  </si>
  <si>
    <t>33340</t>
  </si>
  <si>
    <t>DIASIP S PŘÍCHUTÍ VANILKOVOU</t>
  </si>
  <si>
    <t>POR SOL 1X200ML</t>
  </si>
  <si>
    <t>33526</t>
  </si>
  <si>
    <t>NUTRISON</t>
  </si>
  <si>
    <t>POR SOL 1X1000ML</t>
  </si>
  <si>
    <t>33530</t>
  </si>
  <si>
    <t>NUTRISON MULTI FIBRE</t>
  </si>
  <si>
    <t>33739</t>
  </si>
  <si>
    <t>NUTRIDRINK COMPACT PROTEIN S PŘÍCHUTÍ VANILKOVOU</t>
  </si>
  <si>
    <t>POR SOL 4X125ML</t>
  </si>
  <si>
    <t>33677</t>
  </si>
  <si>
    <t>NUTRISON ENERGY MULTI FIBRE</t>
  </si>
  <si>
    <t>POR SOL 1X1500ML</t>
  </si>
  <si>
    <t>33322</t>
  </si>
  <si>
    <t>NUTRIDRINK S PŘÍCHUTÍ ČOKOLÁDOVOU</t>
  </si>
  <si>
    <t>33324</t>
  </si>
  <si>
    <t>NUTRIDRINK MULTI FIBRE S PŘÍCHUTÍ JAHODOVOU</t>
  </si>
  <si>
    <t>33325</t>
  </si>
  <si>
    <t>NUTRIDRINK MULTI FIBRE S PŘÍCHUTÍ POMERANČOVOU</t>
  </si>
  <si>
    <t>33326</t>
  </si>
  <si>
    <t>NUTRIDRINK MULTI FIBRE S PŘÍCHUTÍ VANILKOVOU</t>
  </si>
  <si>
    <t>33327</t>
  </si>
  <si>
    <t>NUTRIDRINK NEUTRAL</t>
  </si>
  <si>
    <t>33328</t>
  </si>
  <si>
    <t>NUTRIDRINK S PŘÍCHUTÍ TROPICKÉHO OVOCE</t>
  </si>
  <si>
    <t>33331</t>
  </si>
  <si>
    <t>NUTRIDRINK BALÍČEK 5+1</t>
  </si>
  <si>
    <t>POR SOL 6X200ML</t>
  </si>
  <si>
    <t>33335</t>
  </si>
  <si>
    <t>NUTRIDRINK MULTI FIBRE S PŘÍCHUTÍ BANÁNOVOU</t>
  </si>
  <si>
    <t>33339</t>
  </si>
  <si>
    <t>DIASIP S PŘÍCHUTÍ JAHODOVOU</t>
  </si>
  <si>
    <t>33341</t>
  </si>
  <si>
    <t>CUBITAN S PŘÍCHUTÍ VANILKOVOU</t>
  </si>
  <si>
    <t>33342</t>
  </si>
  <si>
    <t>CUBITAN S PŘÍCHUTÍ ČOKOLÁDOVOU</t>
  </si>
  <si>
    <t>33343</t>
  </si>
  <si>
    <t>CUBITAN S PŘÍCHUTÍ JAHODOVOU</t>
  </si>
  <si>
    <t>33473</t>
  </si>
  <si>
    <t>NUTRIDRINK JUICE STYLE S PŘÍCHUTÍ JAHODOVOU</t>
  </si>
  <si>
    <t>33474</t>
  </si>
  <si>
    <t>NUTRIDRINK JUICE STYLE S PŘÍCHUTÍ JABLEČNOU</t>
  </si>
  <si>
    <t>33490</t>
  </si>
  <si>
    <t>NUTRIDRINK PROTEIN S PŘÍCHUTÍ LESNÍHO OVOCE</t>
  </si>
  <si>
    <t>33527</t>
  </si>
  <si>
    <t>POR SOL 1X500ML</t>
  </si>
  <si>
    <t>33531</t>
  </si>
  <si>
    <t>33704</t>
  </si>
  <si>
    <t>DIASIP S PŘÍCHUTÍ CAPPUCCINO</t>
  </si>
  <si>
    <t>33705</t>
  </si>
  <si>
    <t>NUTRIDRINK S PŘÍCHUTÍ VANILKOVOU</t>
  </si>
  <si>
    <t>33741</t>
  </si>
  <si>
    <t>NUTRIDRINK COMPACT PROTEIN S PŘÍCHUTÍ BANÁNOVOU</t>
  </si>
  <si>
    <t>33751</t>
  </si>
  <si>
    <t>NUTRIDRINK CREME S PŘÍCHUTÍ ČOKOLÁDOVOU</t>
  </si>
  <si>
    <t>POR SOL 4X125GM</t>
  </si>
  <si>
    <t>33750</t>
  </si>
  <si>
    <t>NUTRIDRINK CREME S PŘÍCHUTÍ VANILKOVOU</t>
  </si>
  <si>
    <t>33742</t>
  </si>
  <si>
    <t>NUTRIDRINK COMPACT PROTEIN S PŘÍCHUTÍ JAHODOVOU</t>
  </si>
  <si>
    <t>33787</t>
  </si>
  <si>
    <t>FORTICARE S PŘÍCHUTÍ CAPPUCCINO</t>
  </si>
  <si>
    <t>33786</t>
  </si>
  <si>
    <t>FORTICARE S PŘÍCHUTÍ BROSKEV A ZÁZVOR</t>
  </si>
  <si>
    <t>33345</t>
  </si>
  <si>
    <t>POR SOL 1X125ML</t>
  </si>
  <si>
    <t>33855</t>
  </si>
  <si>
    <t>NUTRIDRINK BALÍČEK 5 + 1</t>
  </si>
  <si>
    <t>33347</t>
  </si>
  <si>
    <t>FORTICARE S PŘÍCHUTÍ POMERANČ A CITRON</t>
  </si>
  <si>
    <t>33519</t>
  </si>
  <si>
    <t>ENSURE PLUS PŘÍCHUŤ ČOKOLÁDA</t>
  </si>
  <si>
    <t>POR SOL 1X220ML</t>
  </si>
  <si>
    <t>33521</t>
  </si>
  <si>
    <t>ENSURE PLUS PŘÍCHUŤ VANILKA</t>
  </si>
  <si>
    <t>33789</t>
  </si>
  <si>
    <t>ENSURE PLUS ADVANCE PŘÍCHUŤ ČOKOLÁDA</t>
  </si>
  <si>
    <t>33790</t>
  </si>
  <si>
    <t>ENSURE PLUS ADVANCE PŘÍCHUŤ VANILKA</t>
  </si>
  <si>
    <t>33848</t>
  </si>
  <si>
    <t>POR SOL 4X200ML</t>
  </si>
  <si>
    <t>33488</t>
  </si>
  <si>
    <t>NUTRIDRINK PROTEIN S PŘÍCHUTÍ VANILKOVOU</t>
  </si>
  <si>
    <t>33489</t>
  </si>
  <si>
    <t>NUTRIDRINK PROTEIN S PŘÍCHUTÍ ČOKOLÁDOVOU</t>
  </si>
  <si>
    <t>1401013</t>
  </si>
  <si>
    <t>1401014</t>
  </si>
  <si>
    <t>1402001</t>
  </si>
  <si>
    <t>Alopurinol</t>
  </si>
  <si>
    <t>1711</t>
  </si>
  <si>
    <t>MILURIT 300</t>
  </si>
  <si>
    <t>POR TBL NOB 100X300MG</t>
  </si>
  <si>
    <t>Aminokyseliny včetně kombinací s polypeptidy</t>
  </si>
  <si>
    <t>88115</t>
  </si>
  <si>
    <t>KETOSTERIL</t>
  </si>
  <si>
    <t>POR TBL FLM 100</t>
  </si>
  <si>
    <t>Amoxicilin a enzymový inhibitor</t>
  </si>
  <si>
    <t>5951</t>
  </si>
  <si>
    <t>AMOKSIKLAV 1 G</t>
  </si>
  <si>
    <t>POR TBL FLM 14X1GM</t>
  </si>
  <si>
    <t>Fytomenadion</t>
  </si>
  <si>
    <t>720</t>
  </si>
  <si>
    <t>KANAVIT</t>
  </si>
  <si>
    <t>POR GTT EML 1X5ML/100MG</t>
  </si>
  <si>
    <t>Klindamycin</t>
  </si>
  <si>
    <t>83459</t>
  </si>
  <si>
    <t>DALACIN C 300 MG</t>
  </si>
  <si>
    <t>POR CPS DUR 100X300MG</t>
  </si>
  <si>
    <t>Kyselina ursodeoxycholová</t>
  </si>
  <si>
    <t>13808</t>
  </si>
  <si>
    <t>URSOSAN</t>
  </si>
  <si>
    <t>POR CPS DUR 100X250MG</t>
  </si>
  <si>
    <t>Léčiva k terapii onemocnění jater</t>
  </si>
  <si>
    <t>125753</t>
  </si>
  <si>
    <t>ESSENTIALE FORTE N</t>
  </si>
  <si>
    <t>POR CPS DUR 100</t>
  </si>
  <si>
    <t>Magnesium-laktát</t>
  </si>
  <si>
    <t>17992</t>
  </si>
  <si>
    <t>MAGNESII LACTICI 0,5 TBL. MEDICAMENTA</t>
  </si>
  <si>
    <t>POR TBL NOB 100X0.5GM</t>
  </si>
  <si>
    <t>Multienzymové přípravky (lipáza, proteáza apod.)</t>
  </si>
  <si>
    <t>14814</t>
  </si>
  <si>
    <t>KREON 10 000</t>
  </si>
  <si>
    <t>POR CPS ETD 50</t>
  </si>
  <si>
    <t>Mupirocin</t>
  </si>
  <si>
    <t>90778</t>
  </si>
  <si>
    <t>BACTROBAN</t>
  </si>
  <si>
    <t>DRM UNG 1X15GM</t>
  </si>
  <si>
    <t>Omeprazol</t>
  </si>
  <si>
    <t>132531</t>
  </si>
  <si>
    <t>HELICID 20</t>
  </si>
  <si>
    <t>POR CPS ETD 90X20MG</t>
  </si>
  <si>
    <t>25366</t>
  </si>
  <si>
    <t>HELICID 20 ZENTIVA</t>
  </si>
  <si>
    <t>POR CPS ETD 90X20MG SKLO</t>
  </si>
  <si>
    <t>Organismy produkující kyselinu mléčnou</t>
  </si>
  <si>
    <t>9159</t>
  </si>
  <si>
    <t>HYLAK FORTE</t>
  </si>
  <si>
    <t>POR SOL 1X100ML</t>
  </si>
  <si>
    <t>Pantoprazol</t>
  </si>
  <si>
    <t>49115</t>
  </si>
  <si>
    <t>CONTROLOC 20 MG</t>
  </si>
  <si>
    <t>POR TBL ENT 100X20MG</t>
  </si>
  <si>
    <t>Pitofenon a analgetika</t>
  </si>
  <si>
    <t>50335</t>
  </si>
  <si>
    <t>ALGIFEN NEO</t>
  </si>
  <si>
    <t>POR GTT SOL 1X25ML</t>
  </si>
  <si>
    <t>33323</t>
  </si>
  <si>
    <t>NUTRIDRINK S PŘÍCHUTÍ KARAMELOVOU</t>
  </si>
  <si>
    <t>33329</t>
  </si>
  <si>
    <t>NUTRIDRINK YOGHURT S PŘÍCHUTÍ MALINA</t>
  </si>
  <si>
    <t>33421</t>
  </si>
  <si>
    <t>NUTRIDRINK COMPACT S PŘÍCHUTÍ KÁVY</t>
  </si>
  <si>
    <t>33752</t>
  </si>
  <si>
    <t>NUTRIDRINK CREME S PŘÍCHUTÍ LESNÍHO OVOCE</t>
  </si>
  <si>
    <t>33740</t>
  </si>
  <si>
    <t>NUTRIDRINK COMPACT PROTEIN S PŘÍCHUTÍ KÁVY</t>
  </si>
  <si>
    <t>33749</t>
  </si>
  <si>
    <t>NUTRIDRINK CREME S PŘÍCHUTÍ BANÁNOVOU</t>
  </si>
  <si>
    <t>33578</t>
  </si>
  <si>
    <t>FRESUBIN 2 KCAL DRINK NEUTRAL</t>
  </si>
  <si>
    <t>33788</t>
  </si>
  <si>
    <t>ENSURE PLUS ADVANCE PŘÍCHUŤ BANÁN</t>
  </si>
  <si>
    <t>33678</t>
  </si>
  <si>
    <t>POR SOL 6X1500ML</t>
  </si>
  <si>
    <t>33854</t>
  </si>
  <si>
    <t>NUTRIDRINK S PŘÍCHUTÍ BANÁNOVOU</t>
  </si>
  <si>
    <t>33423</t>
  </si>
  <si>
    <t>NUTRISON ADVANCED PEPTISORB</t>
  </si>
  <si>
    <t>33676</t>
  </si>
  <si>
    <t>ENSURE PLUS FIBER PŘÍCHUŤ VANILKA</t>
  </si>
  <si>
    <t>Prokinetika</t>
  </si>
  <si>
    <t>166760</t>
  </si>
  <si>
    <t>KINITO 50 MG, POTAHOVANÉ TABLETY</t>
  </si>
  <si>
    <t>POR TBL FLM 100X50MG</t>
  </si>
  <si>
    <t>Silymarin</t>
  </si>
  <si>
    <t>19571</t>
  </si>
  <si>
    <t>LAGOSA</t>
  </si>
  <si>
    <t>POR TBL OBD 100X150MG</t>
  </si>
  <si>
    <t>Tramadol</t>
  </si>
  <si>
    <t>57793</t>
  </si>
  <si>
    <t>TRAMAL KAPKY 100 MG/1 ML</t>
  </si>
  <si>
    <t>POR GTT SOL 1X96ML</t>
  </si>
  <si>
    <t>*4033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</si>
  <si>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</si>
  <si>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</si>
  <si>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</si>
  <si>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</t>
  </si>
  <si>
    <t>N02AX02 - Tramadol</t>
  </si>
  <si>
    <t>J01FF01 - Klindamycin</t>
  </si>
  <si>
    <t>A03FA - Prokinetika</t>
  </si>
  <si>
    <t>A02BC02 - Pantoprazol</t>
  </si>
  <si>
    <t>J01CR02 - Amoxicilin a enzymový inhibitor</t>
  </si>
  <si>
    <t>V06XX</t>
  </si>
  <si>
    <t>A02BC02</t>
  </si>
  <si>
    <t>A03FA</t>
  </si>
  <si>
    <t>J01CR02</t>
  </si>
  <si>
    <t>J01FF01</t>
  </si>
  <si>
    <t>N02AX02</t>
  </si>
  <si>
    <t>Přehled plnění PL - Preskripce léčivých přípravků - orientační přehled</t>
  </si>
  <si>
    <t>5721</t>
  </si>
  <si>
    <t>nutriční ambulance</t>
  </si>
  <si>
    <t>nutriční ambulance Celkem</t>
  </si>
  <si>
    <t>ZA314</t>
  </si>
  <si>
    <t>Obinadlo idealast-haft 8 cm x   4 m 9311113</t>
  </si>
  <si>
    <t>ZA315</t>
  </si>
  <si>
    <t>Kompresa NT   5 x  5 cm / 2 ks sterilní 26501</t>
  </si>
  <si>
    <t>ZA324</t>
  </si>
  <si>
    <t>Náplast tegaderm 10,0 cm x 12,0 cm bal. á 50 ks 1626W</t>
  </si>
  <si>
    <t>ZA464</t>
  </si>
  <si>
    <t>Kompresa NT 10 x 10 cm / 2 ks sterilní 26520</t>
  </si>
  <si>
    <t>ZA593</t>
  </si>
  <si>
    <t>Tampon stáčený sterilní 20 x 20 cm / 5 ks 28003</t>
  </si>
  <si>
    <t>ZB084</t>
  </si>
  <si>
    <t>Náplast transpore 2,50 cm x 9,14 m 1527-1</t>
  </si>
  <si>
    <t>ZC550</t>
  </si>
  <si>
    <t>Krytí mepilex silikonový Ag 10 x 10 cm bal. á 5 ks 287110-00</t>
  </si>
  <si>
    <t>ZC702</t>
  </si>
  <si>
    <t>Náplast tegaderm 6,0 cm x 7,0 cm bal. á 100 ks 1624W</t>
  </si>
  <si>
    <t>ZC854</t>
  </si>
  <si>
    <t xml:space="preserve">Kompresa NT 7,5 x 7,5 cm / 2 ks sterilní 26510 </t>
  </si>
  <si>
    <t>ZH012</t>
  </si>
  <si>
    <t>Náplast micropore 2,50 cm x 5,00 m 840W</t>
  </si>
  <si>
    <t>ZI558</t>
  </si>
  <si>
    <t>Náplast curapor   7 x   5 cm 22 120 ( náhrada za cosmopor )</t>
  </si>
  <si>
    <t>Náplast curapor   7 x   5 cm 22120 ( náhrada za cosmopor )</t>
  </si>
  <si>
    <t>ZI599</t>
  </si>
  <si>
    <t>Náplast curapor 10 x   8 cm 22121 ( náhrada za cosmopor )</t>
  </si>
  <si>
    <t>ZK760</t>
  </si>
  <si>
    <t>Krytí tegaderm + PAD na i. v. vstupy 9 x 10 cm bal. á 25 ks 3586</t>
  </si>
  <si>
    <t>ZF749</t>
  </si>
  <si>
    <t>Nasofix niko S střední bal. á 100 ks 49-625-S</t>
  </si>
  <si>
    <t>ZD237</t>
  </si>
  <si>
    <t>Sprej argogen 125 ml SIGNO-1268500001</t>
  </si>
  <si>
    <t>ZE449</t>
  </si>
  <si>
    <t>Kompresa NT 5 x 5 cm / 5 ks sterilní bal. á 2400 ks 26502</t>
  </si>
  <si>
    <t>ZA705</t>
  </si>
  <si>
    <t>Hadička spojovací HS 1,8 x 450UNIV</t>
  </si>
  <si>
    <t>ZA727</t>
  </si>
  <si>
    <t>Kontejner 30 ml sterilní 331690251750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</si>
  <si>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</si>
  <si>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</si>
  <si>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</si>
  <si>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</si>
  <si>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</si>
  <si>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</si>
  <si>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</si>
  <si>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</si>
  <si>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ZB501</t>
  </si>
  <si>
    <t>Přerušovač sání fingertip sterilní bal. á 100 ks 07.031.00.000</t>
  </si>
  <si>
    <t>ZC769</t>
  </si>
  <si>
    <t>Hadička spojovací HS 1,8 x 450LL 606301</t>
  </si>
  <si>
    <t>ZC863</t>
  </si>
  <si>
    <t>Hadička spojovací HS 1,8 x 1800LL 606304</t>
  </si>
  <si>
    <t>ZF159</t>
  </si>
  <si>
    <t>Nádoba na kontaminovaný odpad 1 l 15-0002</t>
  </si>
  <si>
    <t>ZH168</t>
  </si>
  <si>
    <t>Stříkačka injekční 3-dílná 1 ml L tuberculin KD-JECT III 831786</t>
  </si>
  <si>
    <t>Stříkačka injekční 3-dílná 1 ml L tuberculin s jehlou KD-JECT III 831786</t>
  </si>
  <si>
    <t>ZH546</t>
  </si>
  <si>
    <t>Flocare infinity pack set mobile 2778307</t>
  </si>
  <si>
    <t>Flocare infinity pack set mobile 569572 ,2778307</t>
  </si>
  <si>
    <t>ZK798</t>
  </si>
  <si>
    <t xml:space="preserve">Zátka combi modrá 4495152 </t>
  </si>
  <si>
    <t>ZK735</t>
  </si>
  <si>
    <t>Konektor bezjehlový caresite bal. á 200 ks dohodnutá cena 9,60 Kč 415122</t>
  </si>
  <si>
    <t>Konektor bezjehlový caresite bal. á 200 ks dohodnutá cena 7,93 Kč bez DPH 415122</t>
  </si>
  <si>
    <t>ZL781</t>
  </si>
  <si>
    <t>Konektor bezjehlový K-NECT 7 denní M79400845</t>
  </si>
  <si>
    <t>ZF973</t>
  </si>
  <si>
    <t>Hadička tlaková spojovací unicath 1,5 x 25 cm LL na obou koncích male-male bal. á 40 ks PN 1202</t>
  </si>
  <si>
    <t>Hadička tlaková spojovací unicath 1,5 x 25 cm LL na obou koncích male-male bal. á 40 ks PN1202</t>
  </si>
  <si>
    <t>ZA240</t>
  </si>
  <si>
    <t>Katetr broviak 1 lumen 6,6Fr x 90 cm 0600540CE</t>
  </si>
  <si>
    <t>ZA715</t>
  </si>
  <si>
    <t>Set infuzní intrafix 4062957</t>
  </si>
  <si>
    <t>Set infuzní intrafix primeline classic 150 cm 4062957</t>
  </si>
  <si>
    <t>ZB715</t>
  </si>
  <si>
    <t>Set kangaro univerzální bal. á 30 ks 777304</t>
  </si>
  <si>
    <t>Set kangaro univ. pro enterální výživu bal. á 30 ks 777304</t>
  </si>
  <si>
    <t>Set kangaro univ. pro enterální výživu bal. á 30 ks  S777403</t>
  </si>
  <si>
    <t>ZE973</t>
  </si>
  <si>
    <t>Set pro parenterenterální výživu á 100 ks 8701148SP</t>
  </si>
  <si>
    <t>ZA999</t>
  </si>
  <si>
    <t>Jehla injekční 0,5 x   16 mm oranžová 4657853</t>
  </si>
  <si>
    <t>ZB556</t>
  </si>
  <si>
    <t>Jehla injekční 1,2 x   40 mm růžová 4665120</t>
  </si>
  <si>
    <t>ZB781</t>
  </si>
  <si>
    <t>Jehla cytocan žlutá bal. á 25 ks 4439767</t>
  </si>
  <si>
    <t>ZC634</t>
  </si>
  <si>
    <t>Jehla portacath dětská á 12 ks 22G 21-2737-24</t>
  </si>
  <si>
    <t>ZK475</t>
  </si>
  <si>
    <t>Rukavice operační latexové s pudrem ansell medigrip plus vel. 7,0 302924</t>
  </si>
  <si>
    <t>Rukavice operační latexové s pudrem ansell medigrip plus vel. 7,0 303364</t>
  </si>
  <si>
    <t>Rukavice operační latexové s pudrem ansell medigrip plus vel. 7,0 303504 (303364)</t>
  </si>
  <si>
    <t>ZK476</t>
  </si>
  <si>
    <t>Rukavice operační latexové s pudrem ansell medigrip plus vel. 7,5 302925</t>
  </si>
  <si>
    <t>ZK478</t>
  </si>
  <si>
    <t>Rukavice operační latexové s pudrem ansell medigrip plus vel. 8,5 302927</t>
  </si>
  <si>
    <t>Rukavice operační latexové s pudrem ansell medigrip plus vel. 8,5 302927 (302767)</t>
  </si>
  <si>
    <t>50115050</t>
  </si>
  <si>
    <t>502 SZM obvazový (112 02 040)</t>
  </si>
  <si>
    <t>50115060</t>
  </si>
  <si>
    <t>503 SZM ostatní zdravotnický (112 02 100)</t>
  </si>
  <si>
    <t>50115070</t>
  </si>
  <si>
    <t>513 SZM katetry, stenty, porty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</si>
  <si>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</si>
  <si>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</si>
  <si>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</si>
  <si>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</si>
  <si>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</si>
  <si>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</si>
  <si>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</si>
  <si>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</si>
  <si>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</si>
  <si>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</si>
  <si>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</si>
  <si>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</si>
  <si>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Beneš Petr</t>
  </si>
  <si>
    <t>beze jména</t>
  </si>
  <si>
    <t>Švébišová Hana</t>
  </si>
  <si>
    <t>Zdravotní výkony vykázané na pracovišti v rámci ambulantní péče dle lékařů *</t>
  </si>
  <si>
    <t>708</t>
  </si>
  <si>
    <t>V</t>
  </si>
  <si>
    <t>78022</t>
  </si>
  <si>
    <t>CÍLENÉ VYŠETŘENÍ ANESTEZIOLOGEM</t>
  </si>
  <si>
    <t>06415</t>
  </si>
  <si>
    <t>EDUKACE NUTRIČNÍM TERAPEUTEM</t>
  </si>
  <si>
    <t>09543</t>
  </si>
  <si>
    <t>REGULAČNÍ POPLATEK ZA NÁVŠTĚVU -- POPLATEK UHRAZEN</t>
  </si>
  <si>
    <t>06419</t>
  </si>
  <si>
    <t>PROPOČET NUTRIČNÍ BILANCE (SW NÁSTROJEM)</t>
  </si>
  <si>
    <t>11513</t>
  </si>
  <si>
    <t>PUMPOU APLIKOVANÁ ENTERÁLNÍ VÝŽIVA PROVÁDĚNÁ VE VL</t>
  </si>
  <si>
    <t>11511</t>
  </si>
  <si>
    <t>PARENTERÁLNÍ VÝŽIVA PROVÁDĚNÁ VE VLASTNÍM SOCIÁLNÍ</t>
  </si>
  <si>
    <t>09511</t>
  </si>
  <si>
    <t>MINIMÁLNÍ KONTAKT LÉKAŘE S PACIENTEM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</si>
  <si>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</si>
  <si>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</si>
  <si>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</si>
  <si>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</si>
  <si>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</si>
  <si>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</si>
  <si>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</si>
  <si>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</si>
  <si>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</si>
  <si>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</si>
  <si>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</si>
  <si>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</si>
  <si>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</si>
  <si>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</si>
  <si>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</si>
  <si>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</si>
  <si>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</si>
  <si>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</si>
  <si>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</si>
  <si>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</si>
  <si>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</si>
  <si>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</si>
  <si>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</si>
  <si>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</si>
  <si>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08</t>
  </si>
  <si>
    <t>10</t>
  </si>
  <si>
    <t>11</t>
  </si>
  <si>
    <t>12</t>
  </si>
  <si>
    <t>13</t>
  </si>
  <si>
    <t>16</t>
  </si>
  <si>
    <t>17</t>
  </si>
  <si>
    <t>18</t>
  </si>
  <si>
    <t>21</t>
  </si>
  <si>
    <t>25</t>
  </si>
  <si>
    <t>26</t>
  </si>
  <si>
    <t>30</t>
  </si>
  <si>
    <t>31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</si>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</sst>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74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2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2" fontId="29" fillId="3" borderId="26" xfId="81" applyNumberFormat="1" applyFont="1" applyFill="1" applyBorder="1"/>
    <xf numFmtId="172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1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5" fontId="3" fillId="0" borderId="66" xfId="53" applyNumberFormat="1" applyFont="1" applyFill="1" applyBorder="1"/>
    <xf numFmtId="9" fontId="3" fillId="0" borderId="66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59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8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4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5" xfId="53" applyNumberFormat="1" applyFont="1" applyFill="1" applyBorder="1"/>
    <xf numFmtId="3" fontId="3" fillId="0" borderId="66" xfId="53" applyNumberFormat="1" applyFont="1" applyFill="1" applyBorder="1"/>
    <xf numFmtId="3" fontId="3" fillId="0" borderId="67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5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57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8" xfId="0" applyNumberFormat="1" applyFont="1" applyFill="1" applyBorder="1"/>
    <xf numFmtId="0" fontId="50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0" fontId="46" fillId="2" borderId="33" xfId="1" applyFont="1" applyFill="1" applyBorder="1" applyAlignment="1">
      <alignment horizontal="left" indent="4"/>
    </xf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0" fillId="4" borderId="56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70" fontId="40" fillId="0" borderId="18" xfId="0" applyNumberFormat="1" applyFont="1" applyFill="1" applyBorder="1" applyAlignment="1"/>
    <xf numFmtId="170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0" fontId="53" fillId="0" borderId="0" xfId="1" applyFont="1" applyFill="1"/>
    <xf numFmtId="3" fontId="52" fillId="0" borderId="0" xfId="26" applyNumberFormat="1" applyFont="1" applyFill="1" applyBorder="1" applyAlignment="1"/>
    <xf numFmtId="3" fontId="40" fillId="2" borderId="72" xfId="0" applyNumberFormat="1" applyFont="1" applyFill="1" applyBorder="1" applyAlignment="1">
      <alignment horizontal="center" vertical="center"/>
    </xf>
    <xf numFmtId="0" fontId="40" fillId="2" borderId="73" xfId="0" applyFont="1" applyFill="1" applyBorder="1" applyAlignment="1">
      <alignment horizontal="center" vertical="center"/>
    </xf>
    <xf numFmtId="0" fontId="40" fillId="2" borderId="74" xfId="0" applyFont="1" applyFill="1" applyBorder="1" applyAlignment="1">
      <alignment horizontal="center" vertical="center"/>
    </xf>
    <xf numFmtId="3" fontId="54" fillId="2" borderId="75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40" fillId="2" borderId="78" xfId="0" applyFont="1" applyFill="1" applyBorder="1" applyAlignment="1"/>
    <xf numFmtId="0" fontId="40" fillId="2" borderId="80" xfId="0" applyFont="1" applyFill="1" applyBorder="1" applyAlignment="1">
      <alignment horizontal="left" indent="1"/>
    </xf>
    <xf numFmtId="0" fontId="40" fillId="2" borderId="86" xfId="0" applyFont="1" applyFill="1" applyBorder="1" applyAlignment="1">
      <alignment horizontal="left" indent="1"/>
    </xf>
    <xf numFmtId="0" fontId="40" fillId="4" borderId="78" xfId="0" applyFont="1" applyFill="1" applyBorder="1" applyAlignment="1"/>
    <xf numFmtId="0" fontId="40" fillId="4" borderId="80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2" borderId="80" xfId="0" quotePrefix="1" applyFont="1" applyFill="1" applyBorder="1" applyAlignment="1">
      <alignment horizontal="left" indent="2"/>
    </xf>
    <xf numFmtId="0" fontId="33" fillId="2" borderId="86" xfId="0" quotePrefix="1" applyFont="1" applyFill="1" applyBorder="1" applyAlignment="1">
      <alignment horizontal="left" indent="2"/>
    </xf>
    <xf numFmtId="0" fontId="40" fillId="2" borderId="78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6" xfId="0" applyFont="1" applyFill="1" applyBorder="1" applyAlignment="1">
      <alignment horizontal="left" indent="1"/>
    </xf>
    <xf numFmtId="0" fontId="33" fillId="0" borderId="96" xfId="0" applyFont="1" applyBorder="1"/>
    <xf numFmtId="3" fontId="33" fillId="0" borderId="96" xfId="0" applyNumberFormat="1" applyFont="1" applyBorder="1"/>
    <xf numFmtId="0" fontId="40" fillId="4" borderId="70" xfId="0" applyFont="1" applyFill="1" applyBorder="1" applyAlignment="1">
      <alignment horizontal="center" vertical="center"/>
    </xf>
    <xf numFmtId="0" fontId="40" fillId="4" borderId="59" xfId="0" applyFont="1" applyFill="1" applyBorder="1" applyAlignment="1">
      <alignment horizontal="center" vertical="center"/>
    </xf>
    <xf numFmtId="3" fontId="40" fillId="2" borderId="95" xfId="0" applyNumberFormat="1" applyFont="1" applyFill="1" applyBorder="1" applyAlignment="1">
      <alignment horizontal="center" vertical="center"/>
    </xf>
    <xf numFmtId="3" fontId="54" fillId="2" borderId="93" xfId="0" applyNumberFormat="1" applyFont="1" applyFill="1" applyBorder="1" applyAlignment="1">
      <alignment horizontal="center" vertical="center" wrapText="1"/>
    </xf>
    <xf numFmtId="174" fontId="40" fillId="4" borderId="79" xfId="0" applyNumberFormat="1" applyFont="1" applyFill="1" applyBorder="1" applyAlignment="1"/>
    <xf numFmtId="174" fontId="40" fillId="4" borderId="72" xfId="0" applyNumberFormat="1" applyFont="1" applyFill="1" applyBorder="1" applyAlignment="1"/>
    <xf numFmtId="174" fontId="40" fillId="4" borderId="73" xfId="0" applyNumberFormat="1" applyFont="1" applyFill="1" applyBorder="1" applyAlignment="1"/>
    <xf numFmtId="174" fontId="40" fillId="4" borderId="74" xfId="0" applyNumberFormat="1" applyFont="1" applyFill="1" applyBorder="1" applyAlignment="1"/>
    <xf numFmtId="174" fontId="40" fillId="0" borderId="81" xfId="0" applyNumberFormat="1" applyFont="1" applyBorder="1"/>
    <xf numFmtId="174" fontId="33" fillId="0" borderId="85" xfId="0" applyNumberFormat="1" applyFont="1" applyBorder="1"/>
    <xf numFmtId="174" fontId="33" fillId="0" borderId="83" xfId="0" applyNumberFormat="1" applyFont="1" applyBorder="1"/>
    <xf numFmtId="174" fontId="33" fillId="0" borderId="84" xfId="0" applyNumberFormat="1" applyFont="1" applyBorder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76" xfId="0" applyNumberFormat="1" applyFont="1" applyBorder="1"/>
    <xf numFmtId="174" fontId="33" fillId="0" borderId="77" xfId="0" applyNumberFormat="1" applyFont="1" applyBorder="1"/>
    <xf numFmtId="174" fontId="40" fillId="2" borderId="94" xfId="0" applyNumberFormat="1" applyFont="1" applyFill="1" applyBorder="1" applyAlignment="1"/>
    <xf numFmtId="174" fontId="40" fillId="2" borderId="72" xfId="0" applyNumberFormat="1" applyFont="1" applyFill="1" applyBorder="1" applyAlignment="1"/>
    <xf numFmtId="174" fontId="40" fillId="2" borderId="73" xfId="0" applyNumberFormat="1" applyFont="1" applyFill="1" applyBorder="1" applyAlignment="1"/>
    <xf numFmtId="174" fontId="40" fillId="2" borderId="74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0" xfId="0" applyNumberFormat="1" applyFont="1" applyBorder="1"/>
    <xf numFmtId="174" fontId="40" fillId="0" borderId="79" xfId="0" applyNumberFormat="1" applyFont="1" applyBorder="1"/>
    <xf numFmtId="174" fontId="33" fillId="0" borderId="95" xfId="0" applyNumberFormat="1" applyFont="1" applyBorder="1"/>
    <xf numFmtId="174" fontId="33" fillId="0" borderId="73" xfId="0" applyNumberFormat="1" applyFont="1" applyBorder="1"/>
    <xf numFmtId="174" fontId="33" fillId="0" borderId="74" xfId="0" applyNumberFormat="1" applyFont="1" applyBorder="1"/>
    <xf numFmtId="175" fontId="40" fillId="2" borderId="79" xfId="0" applyNumberFormat="1" applyFont="1" applyFill="1" applyBorder="1" applyAlignment="1"/>
    <xf numFmtId="175" fontId="33" fillId="2" borderId="72" xfId="0" applyNumberFormat="1" applyFont="1" applyFill="1" applyBorder="1" applyAlignment="1"/>
    <xf numFmtId="175" fontId="33" fillId="2" borderId="73" xfId="0" applyNumberFormat="1" applyFont="1" applyFill="1" applyBorder="1" applyAlignment="1"/>
    <xf numFmtId="175" fontId="33" fillId="2" borderId="74" xfId="0" applyNumberFormat="1" applyFont="1" applyFill="1" applyBorder="1" applyAlignment="1"/>
    <xf numFmtId="175" fontId="40" fillId="0" borderId="81" xfId="0" applyNumberFormat="1" applyFont="1" applyBorder="1"/>
    <xf numFmtId="175" fontId="33" fillId="0" borderId="82" xfId="0" applyNumberFormat="1" applyFont="1" applyBorder="1"/>
    <xf numFmtId="175" fontId="33" fillId="0" borderId="83" xfId="0" applyNumberFormat="1" applyFont="1" applyBorder="1"/>
    <xf numFmtId="175" fontId="33" fillId="0" borderId="84" xfId="0" applyNumberFormat="1" applyFont="1" applyBorder="1"/>
    <xf numFmtId="175" fontId="33" fillId="0" borderId="85" xfId="0" applyNumberFormat="1" applyFont="1" applyBorder="1"/>
    <xf numFmtId="175" fontId="40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33" fillId="0" borderId="9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40" fillId="4" borderId="79" xfId="0" applyNumberFormat="1" applyFont="1" applyFill="1" applyBorder="1" applyAlignment="1">
      <alignment horizontal="center"/>
    </xf>
    <xf numFmtId="176" fontId="40" fillId="0" borderId="87" xfId="0" applyNumberFormat="1" applyFont="1" applyBorder="1"/>
    <xf numFmtId="0" fontId="32" fillId="2" borderId="105" xfId="74" applyFont="1" applyFill="1" applyBorder="1" applyAlignment="1">
      <alignment horizontal="center"/>
    </xf>
    <xf numFmtId="0" fontId="32" fillId="2" borderId="74" xfId="81" applyFont="1" applyFill="1" applyBorder="1" applyAlignment="1">
      <alignment horizontal="center"/>
    </xf>
    <xf numFmtId="0" fontId="32" fillId="2" borderId="75" xfId="81" applyFont="1" applyFill="1" applyBorder="1" applyAlignment="1">
      <alignment horizontal="center"/>
    </xf>
    <xf numFmtId="0" fontId="32" fillId="2" borderId="76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26" xfId="0" applyNumberFormat="1" applyFont="1" applyFill="1" applyBorder="1"/>
    <xf numFmtId="9" fontId="33" fillId="0" borderId="19" xfId="0" applyNumberFormat="1" applyFont="1" applyFill="1" applyBorder="1"/>
    <xf numFmtId="0" fontId="33" fillId="0" borderId="96" xfId="0" applyFont="1" applyFill="1" applyBorder="1" applyAlignment="1"/>
    <xf numFmtId="3" fontId="40" fillId="0" borderId="18" xfId="0" applyNumberFormat="1" applyFont="1" applyFill="1" applyBorder="1" applyAlignment="1"/>
    <xf numFmtId="3" fontId="40" fillId="0" borderId="26" xfId="0" applyNumberFormat="1" applyFont="1" applyFill="1" applyBorder="1" applyAlignment="1"/>
    <xf numFmtId="170" fontId="40" fillId="0" borderId="19" xfId="0" applyNumberFormat="1" applyFont="1" applyFill="1" applyBorder="1" applyAlignment="1"/>
    <xf numFmtId="9" fontId="40" fillId="0" borderId="81" xfId="0" applyNumberFormat="1" applyFont="1" applyBorder="1"/>
    <xf numFmtId="9" fontId="33" fillId="0" borderId="85" xfId="0" applyNumberFormat="1" applyFont="1" applyBorder="1"/>
    <xf numFmtId="9" fontId="33" fillId="0" borderId="83" xfId="0" applyNumberFormat="1" applyFont="1" applyBorder="1"/>
    <xf numFmtId="9" fontId="33" fillId="0" borderId="84" xfId="0" applyNumberFormat="1" applyFont="1" applyBorder="1"/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6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0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104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0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0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3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1" xfId="53" applyFont="1" applyFill="1" applyBorder="1" applyAlignment="1">
      <alignment horizontal="right"/>
    </xf>
    <xf numFmtId="0" fontId="5" fillId="2" borderId="62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3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1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174" fontId="40" fillId="4" borderId="99" xfId="0" applyNumberFormat="1" applyFont="1" applyFill="1" applyBorder="1" applyAlignment="1">
      <alignment horizontal="center"/>
    </xf>
    <xf numFmtId="174" fontId="40" fillId="4" borderId="79" xfId="0" applyNumberFormat="1" applyFont="1" applyFill="1" applyBorder="1" applyAlignment="1">
      <alignment horizontal="center"/>
    </xf>
    <xf numFmtId="174" fontId="33" fillId="0" borderId="97" xfId="0" applyNumberFormat="1" applyFont="1" applyBorder="1" applyAlignment="1">
      <alignment horizontal="right"/>
    </xf>
    <xf numFmtId="0" fontId="0" fillId="0" borderId="81" xfId="0" applyBorder="1" applyAlignment="1">
      <alignment horizontal="right"/>
    </xf>
    <xf numFmtId="174" fontId="40" fillId="4" borderId="105" xfId="0" applyNumberFormat="1" applyFont="1" applyFill="1" applyBorder="1" applyAlignment="1">
      <alignment horizontal="center"/>
    </xf>
    <xf numFmtId="174" fontId="40" fillId="4" borderId="100" xfId="0" applyNumberFormat="1" applyFont="1" applyFill="1" applyBorder="1" applyAlignment="1">
      <alignment horizontal="center"/>
    </xf>
    <xf numFmtId="174" fontId="40" fillId="4" borderId="95" xfId="0" applyNumberFormat="1" applyFont="1" applyFill="1" applyBorder="1" applyAlignment="1">
      <alignment horizontal="center"/>
    </xf>
    <xf numFmtId="174" fontId="33" fillId="0" borderId="81" xfId="0" applyNumberFormat="1" applyFont="1" applyBorder="1" applyAlignment="1">
      <alignment horizontal="right"/>
    </xf>
    <xf numFmtId="174" fontId="33" fillId="0" borderId="103" xfId="0" applyNumberFormat="1" applyFont="1" applyBorder="1" applyAlignment="1">
      <alignment horizontal="right"/>
    </xf>
    <xf numFmtId="174" fontId="33" fillId="0" borderId="101" xfId="0" applyNumberFormat="1" applyFont="1" applyBorder="1" applyAlignment="1">
      <alignment horizontal="right"/>
    </xf>
    <xf numFmtId="174" fontId="33" fillId="0" borderId="85" xfId="0" applyNumberFormat="1" applyFont="1" applyBorder="1" applyAlignment="1">
      <alignment horizontal="right"/>
    </xf>
    <xf numFmtId="174" fontId="33" fillId="0" borderId="97" xfId="0" applyNumberFormat="1" applyFont="1" applyBorder="1" applyAlignment="1">
      <alignment horizontal="right" wrapText="1"/>
    </xf>
    <xf numFmtId="174" fontId="33" fillId="0" borderId="101" xfId="0" applyNumberFormat="1" applyFont="1" applyBorder="1" applyAlignment="1">
      <alignment horizontal="right" wrapText="1"/>
    </xf>
    <xf numFmtId="174" fontId="33" fillId="0" borderId="85" xfId="0" applyNumberFormat="1" applyFont="1" applyBorder="1" applyAlignment="1">
      <alignment horizontal="right" wrapText="1"/>
    </xf>
    <xf numFmtId="174" fontId="33" fillId="0" borderId="104" xfId="0" applyNumberFormat="1" applyFont="1" applyBorder="1" applyAlignment="1">
      <alignment horizontal="right"/>
    </xf>
    <xf numFmtId="174" fontId="33" fillId="0" borderId="102" xfId="0" applyNumberFormat="1" applyFont="1" applyBorder="1" applyAlignment="1">
      <alignment horizontal="right"/>
    </xf>
    <xf numFmtId="174" fontId="33" fillId="0" borderId="93" xfId="0" applyNumberFormat="1" applyFont="1" applyBorder="1" applyAlignment="1">
      <alignment horizontal="right"/>
    </xf>
    <xf numFmtId="176" fontId="33" fillId="0" borderId="97" xfId="0" applyNumberFormat="1" applyFont="1" applyBorder="1" applyAlignment="1">
      <alignment horizontal="right"/>
    </xf>
    <xf numFmtId="176" fontId="33" fillId="0" borderId="81" xfId="0" applyNumberFormat="1" applyFont="1" applyBorder="1" applyAlignment="1">
      <alignment horizontal="right"/>
    </xf>
    <xf numFmtId="174" fontId="33" fillId="0" borderId="98" xfId="0" applyNumberFormat="1" applyFont="1" applyBorder="1" applyAlignment="1">
      <alignment horizontal="right"/>
    </xf>
    <xf numFmtId="174" fontId="33" fillId="0" borderId="92" xfId="0" applyNumberFormat="1" applyFont="1" applyBorder="1" applyAlignment="1">
      <alignment horizontal="right"/>
    </xf>
    <xf numFmtId="176" fontId="33" fillId="0" borderId="103" xfId="0" applyNumberFormat="1" applyFont="1" applyBorder="1" applyAlignment="1">
      <alignment horizontal="right"/>
    </xf>
    <xf numFmtId="176" fontId="33" fillId="0" borderId="101" xfId="0" applyNumberFormat="1" applyFont="1" applyBorder="1" applyAlignment="1">
      <alignment horizontal="right"/>
    </xf>
    <xf numFmtId="176" fontId="33" fillId="0" borderId="85" xfId="0" applyNumberFormat="1" applyFont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40" fillId="2" borderId="58" xfId="0" applyFont="1" applyFill="1" applyBorder="1" applyAlignment="1">
      <alignment vertical="center"/>
    </xf>
    <xf numFmtId="3" fontId="32" fillId="2" borderId="60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106" xfId="26" applyNumberFormat="1" applyFont="1" applyFill="1" applyBorder="1" applyAlignment="1">
      <alignment horizontal="center"/>
    </xf>
    <xf numFmtId="3" fontId="32" fillId="2" borderId="96" xfId="26" applyNumberFormat="1" applyFont="1" applyFill="1" applyBorder="1" applyAlignment="1">
      <alignment horizontal="center"/>
    </xf>
    <xf numFmtId="3" fontId="32" fillId="2" borderId="71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49" fontId="32" fillId="2" borderId="2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0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4" fillId="2" borderId="49" xfId="0" applyNumberFormat="1" applyFont="1" applyFill="1" applyBorder="1" applyAlignment="1">
      <alignment horizontal="center" vertical="top"/>
    </xf>
    <xf numFmtId="0" fontId="32" fillId="2" borderId="70" xfId="0" applyNumberFormat="1" applyFont="1" applyFill="1" applyBorder="1" applyAlignment="1">
      <alignment horizontal="center" vertical="top"/>
    </xf>
    <xf numFmtId="0" fontId="32" fillId="2" borderId="60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0" fontId="44" fillId="2" borderId="49" xfId="0" applyNumberFormat="1" applyFont="1" applyFill="1" applyBorder="1" applyAlignment="1">
      <alignment horizontal="center" vertical="top"/>
    </xf>
    <xf numFmtId="3" fontId="34" fillId="7" borderId="108" xfId="0" applyNumberFormat="1" applyFont="1" applyFill="1" applyBorder="1" applyAlignment="1">
      <alignment horizontal="right" vertical="top"/>
    </xf>
    <xf numFmtId="3" fontId="34" fillId="7" borderId="109" xfId="0" applyNumberFormat="1" applyFont="1" applyFill="1" applyBorder="1" applyAlignment="1">
      <alignment horizontal="right" vertical="top"/>
    </xf>
    <xf numFmtId="177" fontId="34" fillId="7" borderId="110" xfId="0" applyNumberFormat="1" applyFont="1" applyFill="1" applyBorder="1" applyAlignment="1">
      <alignment horizontal="right" vertical="top"/>
    </xf>
    <xf numFmtId="3" fontId="34" fillId="0" borderId="108" xfId="0" applyNumberFormat="1" applyFont="1" applyBorder="1" applyAlignment="1">
      <alignment horizontal="right" vertical="top"/>
    </xf>
    <xf numFmtId="177" fontId="34" fillId="7" borderId="111" xfId="0" applyNumberFormat="1" applyFont="1" applyFill="1" applyBorder="1" applyAlignment="1">
      <alignment horizontal="right" vertical="top"/>
    </xf>
    <xf numFmtId="3" fontId="36" fillId="7" borderId="113" xfId="0" applyNumberFormat="1" applyFont="1" applyFill="1" applyBorder="1" applyAlignment="1">
      <alignment horizontal="right" vertical="top"/>
    </xf>
    <xf numFmtId="3" fontId="36" fillId="7" borderId="114" xfId="0" applyNumberFormat="1" applyFont="1" applyFill="1" applyBorder="1" applyAlignment="1">
      <alignment horizontal="right" vertical="top"/>
    </xf>
    <xf numFmtId="177" fontId="36" fillId="7" borderId="115" xfId="0" applyNumberFormat="1" applyFont="1" applyFill="1" applyBorder="1" applyAlignment="1">
      <alignment horizontal="right" vertical="top"/>
    </xf>
    <xf numFmtId="3" fontId="36" fillId="0" borderId="113" xfId="0" applyNumberFormat="1" applyFont="1" applyBorder="1" applyAlignment="1">
      <alignment horizontal="right" vertical="top"/>
    </xf>
    <xf numFmtId="0" fontId="36" fillId="7" borderId="116" xfId="0" applyFont="1" applyFill="1" applyBorder="1" applyAlignment="1">
      <alignment horizontal="right" vertical="top"/>
    </xf>
    <xf numFmtId="0" fontId="34" fillId="7" borderId="111" xfId="0" applyFont="1" applyFill="1" applyBorder="1" applyAlignment="1">
      <alignment horizontal="right" vertical="top"/>
    </xf>
    <xf numFmtId="177" fontId="36" fillId="7" borderId="116" xfId="0" applyNumberFormat="1" applyFont="1" applyFill="1" applyBorder="1" applyAlignment="1">
      <alignment horizontal="right" vertical="top"/>
    </xf>
    <xf numFmtId="3" fontId="36" fillId="0" borderId="117" xfId="0" applyNumberFormat="1" applyFont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177" fontId="36" fillId="7" borderId="120" xfId="0" applyNumberFormat="1" applyFont="1" applyFill="1" applyBorder="1" applyAlignment="1">
      <alignment horizontal="right" vertical="top"/>
    </xf>
    <xf numFmtId="0" fontId="38" fillId="8" borderId="107" xfId="0" applyFont="1" applyFill="1" applyBorder="1" applyAlignment="1">
      <alignment vertical="top"/>
    </xf>
    <xf numFmtId="0" fontId="38" fillId="8" borderId="107" xfId="0" applyFont="1" applyFill="1" applyBorder="1" applyAlignment="1">
      <alignment vertical="top" indent="2"/>
    </xf>
    <xf numFmtId="0" fontId="38" fillId="8" borderId="107" xfId="0" applyFont="1" applyFill="1" applyBorder="1" applyAlignment="1">
      <alignment vertical="top" indent="4"/>
    </xf>
    <xf numFmtId="0" fontId="39" fillId="8" borderId="112" xfId="0" applyFont="1" applyFill="1" applyBorder="1" applyAlignment="1">
      <alignment vertical="top" indent="6"/>
    </xf>
    <xf numFmtId="0" fontId="38" fillId="8" borderId="107" xfId="0" applyFont="1" applyFill="1" applyBorder="1" applyAlignment="1">
      <alignment vertical="top" indent="8"/>
    </xf>
    <xf numFmtId="0" fontId="39" fillId="8" borderId="112" xfId="0" applyFont="1" applyFill="1" applyBorder="1" applyAlignment="1">
      <alignment vertical="top" indent="2"/>
    </xf>
    <xf numFmtId="0" fontId="39" fillId="8" borderId="112" xfId="0" applyFont="1" applyFill="1" applyBorder="1" applyAlignment="1">
      <alignment vertical="top" indent="4"/>
    </xf>
    <xf numFmtId="0" fontId="33" fillId="8" borderId="107" xfId="0" applyFont="1" applyFill="1" applyBorder="1"/>
    <xf numFmtId="0" fontId="39" fillId="8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3" fillId="2" borderId="121" xfId="79" applyFont="1" applyFill="1" applyBorder="1" applyAlignment="1">
      <alignment horizontal="left"/>
    </xf>
    <xf numFmtId="0" fontId="40" fillId="8" borderId="105" xfId="0" applyFont="1" applyFill="1" applyBorder="1"/>
    <xf numFmtId="0" fontId="40" fillId="8" borderId="103" xfId="0" applyFont="1" applyFill="1" applyBorder="1"/>
    <xf numFmtId="0" fontId="40" fillId="8" borderId="104" xfId="0" applyFont="1" applyFill="1" applyBorder="1"/>
    <xf numFmtId="3" fontId="3" fillId="2" borderId="89" xfId="80" applyNumberFormat="1" applyFont="1" applyFill="1" applyBorder="1"/>
    <xf numFmtId="0" fontId="3" fillId="2" borderId="89" xfId="80" applyFont="1" applyFill="1" applyBorder="1"/>
    <xf numFmtId="3" fontId="33" fillId="0" borderId="72" xfId="0" applyNumberFormat="1" applyFont="1" applyFill="1" applyBorder="1"/>
    <xf numFmtId="0" fontId="33" fillId="0" borderId="73" xfId="0" applyFont="1" applyFill="1" applyBorder="1"/>
    <xf numFmtId="3" fontId="33" fillId="0" borderId="73" xfId="0" applyNumberFormat="1" applyFont="1" applyFill="1" applyBorder="1"/>
    <xf numFmtId="3" fontId="33" fillId="0" borderId="82" xfId="0" applyNumberFormat="1" applyFont="1" applyFill="1" applyBorder="1"/>
    <xf numFmtId="0" fontId="33" fillId="0" borderId="83" xfId="0" applyFont="1" applyFill="1" applyBorder="1"/>
    <xf numFmtId="3" fontId="33" fillId="0" borderId="83" xfId="0" applyNumberFormat="1" applyFont="1" applyFill="1" applyBorder="1"/>
    <xf numFmtId="3" fontId="33" fillId="0" borderId="75" xfId="0" applyNumberFormat="1" applyFont="1" applyFill="1" applyBorder="1"/>
    <xf numFmtId="0" fontId="33" fillId="0" borderId="76" xfId="0" applyFont="1" applyFill="1" applyBorder="1"/>
    <xf numFmtId="3" fontId="33" fillId="0" borderId="76" xfId="0" applyNumberFormat="1" applyFont="1" applyFill="1" applyBorder="1"/>
    <xf numFmtId="3" fontId="33" fillId="0" borderId="99" xfId="0" applyNumberFormat="1" applyFont="1" applyFill="1" applyBorder="1"/>
    <xf numFmtId="3" fontId="33" fillId="0" borderId="97" xfId="0" applyNumberFormat="1" applyFont="1" applyFill="1" applyBorder="1"/>
    <xf numFmtId="3" fontId="33" fillId="0" borderId="98" xfId="0" applyNumberFormat="1" applyFont="1" applyFill="1" applyBorder="1"/>
    <xf numFmtId="9" fontId="3" fillId="2" borderId="89" xfId="80" applyNumberFormat="1" applyFont="1" applyFill="1" applyBorder="1"/>
    <xf numFmtId="9" fontId="3" fillId="2" borderId="90" xfId="80" applyNumberFormat="1" applyFont="1" applyFill="1" applyBorder="1"/>
    <xf numFmtId="0" fontId="33" fillId="0" borderId="82" xfId="0" applyFont="1" applyFill="1" applyBorder="1"/>
    <xf numFmtId="0" fontId="33" fillId="0" borderId="75" xfId="0" applyFont="1" applyFill="1" applyBorder="1"/>
    <xf numFmtId="9" fontId="33" fillId="0" borderId="73" xfId="0" applyNumberFormat="1" applyFont="1" applyFill="1" applyBorder="1"/>
    <xf numFmtId="9" fontId="33" fillId="0" borderId="74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9" fontId="33" fillId="0" borderId="76" xfId="0" applyNumberFormat="1" applyFont="1" applyFill="1" applyBorder="1"/>
    <xf numFmtId="9" fontId="33" fillId="0" borderId="77" xfId="0" applyNumberFormat="1" applyFont="1" applyFill="1" applyBorder="1"/>
    <xf numFmtId="0" fontId="33" fillId="0" borderId="105" xfId="0" applyFont="1" applyFill="1" applyBorder="1"/>
    <xf numFmtId="0" fontId="33" fillId="0" borderId="103" xfId="0" applyFont="1" applyFill="1" applyBorder="1"/>
    <xf numFmtId="0" fontId="33" fillId="0" borderId="104" xfId="0" applyFont="1" applyFill="1" applyBorder="1"/>
    <xf numFmtId="3" fontId="33" fillId="0" borderId="95" xfId="0" applyNumberFormat="1" applyFont="1" applyFill="1" applyBorder="1"/>
    <xf numFmtId="3" fontId="33" fillId="0" borderId="85" xfId="0" applyNumberFormat="1" applyFont="1" applyFill="1" applyBorder="1"/>
    <xf numFmtId="3" fontId="33" fillId="0" borderId="93" xfId="0" applyNumberFormat="1" applyFont="1" applyFill="1" applyBorder="1"/>
    <xf numFmtId="0" fontId="3" fillId="2" borderId="124" xfId="79" applyFont="1" applyFill="1" applyBorder="1" applyAlignment="1">
      <alignment horizontal="left"/>
    </xf>
    <xf numFmtId="0" fontId="3" fillId="2" borderId="125" xfId="79" applyFont="1" applyFill="1" applyBorder="1" applyAlignment="1">
      <alignment horizontal="left"/>
    </xf>
    <xf numFmtId="0" fontId="3" fillId="2" borderId="126" xfId="80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3" fillId="0" borderId="23" xfId="0" applyFont="1" applyFill="1" applyBorder="1"/>
    <xf numFmtId="0" fontId="33" fillId="0" borderId="28" xfId="0" applyFont="1" applyFill="1" applyBorder="1"/>
    <xf numFmtId="0" fontId="33" fillId="0" borderId="28" xfId="0" applyFont="1" applyFill="1" applyBorder="1" applyAlignment="1">
      <alignment horizontal="right"/>
    </xf>
    <xf numFmtId="0" fontId="33" fillId="0" borderId="28" xfId="0" applyFont="1" applyFill="1" applyBorder="1" applyAlignment="1">
      <alignment horizontal="left"/>
    </xf>
    <xf numFmtId="165" fontId="33" fillId="0" borderId="28" xfId="0" applyNumberFormat="1" applyFont="1" applyFill="1" applyBorder="1"/>
    <xf numFmtId="166" fontId="33" fillId="0" borderId="28" xfId="0" applyNumberFormat="1" applyFont="1" applyFill="1" applyBorder="1"/>
    <xf numFmtId="9" fontId="33" fillId="0" borderId="28" xfId="0" applyNumberFormat="1" applyFont="1" applyFill="1" applyBorder="1"/>
    <xf numFmtId="0" fontId="33" fillId="0" borderId="83" xfId="0" applyFont="1" applyFill="1" applyBorder="1" applyAlignment="1">
      <alignment horizontal="right"/>
    </xf>
    <xf numFmtId="0" fontId="33" fillId="0" borderId="83" xfId="0" applyFont="1" applyFill="1" applyBorder="1" applyAlignment="1">
      <alignment horizontal="left"/>
    </xf>
    <xf numFmtId="165" fontId="33" fillId="0" borderId="83" xfId="0" applyNumberFormat="1" applyFont="1" applyFill="1" applyBorder="1"/>
    <xf numFmtId="166" fontId="33" fillId="0" borderId="83" xfId="0" applyNumberFormat="1" applyFont="1" applyFill="1" applyBorder="1"/>
    <xf numFmtId="0" fontId="33" fillId="0" borderId="76" xfId="0" applyFont="1" applyFill="1" applyBorder="1" applyAlignment="1">
      <alignment horizontal="right"/>
    </xf>
    <xf numFmtId="0" fontId="33" fillId="0" borderId="76" xfId="0" applyFont="1" applyFill="1" applyBorder="1" applyAlignment="1">
      <alignment horizontal="left"/>
    </xf>
    <xf numFmtId="165" fontId="33" fillId="0" borderId="76" xfId="0" applyNumberFormat="1" applyFont="1" applyFill="1" applyBorder="1"/>
    <xf numFmtId="166" fontId="33" fillId="0" borderId="76" xfId="0" applyNumberFormat="1" applyFont="1" applyFill="1" applyBorder="1"/>
    <xf numFmtId="0" fontId="40" fillId="2" borderId="51" xfId="0" applyFont="1" applyFill="1" applyBorder="1"/>
    <xf numFmtId="3" fontId="40" fillId="2" borderId="128" xfId="0" applyNumberFormat="1" applyFont="1" applyFill="1" applyBorder="1"/>
    <xf numFmtId="9" fontId="40" fillId="2" borderId="69" xfId="0" applyNumberFormat="1" applyFont="1" applyFill="1" applyBorder="1"/>
    <xf numFmtId="3" fontId="40" fillId="2" borderId="123" xfId="0" applyNumberFormat="1" applyFont="1" applyFill="1" applyBorder="1"/>
    <xf numFmtId="3" fontId="33" fillId="0" borderId="24" xfId="0" applyNumberFormat="1" applyFont="1" applyFill="1" applyBorder="1"/>
    <xf numFmtId="3" fontId="33" fillId="0" borderId="84" xfId="0" applyNumberFormat="1" applyFont="1" applyFill="1" applyBorder="1"/>
    <xf numFmtId="3" fontId="33" fillId="0" borderId="77" xfId="0" applyNumberFormat="1" applyFont="1" applyFill="1" applyBorder="1"/>
    <xf numFmtId="3" fontId="33" fillId="0" borderId="89" xfId="0" applyNumberFormat="1" applyFont="1" applyFill="1" applyBorder="1"/>
    <xf numFmtId="9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40" fillId="8" borderId="18" xfId="0" applyFont="1" applyFill="1" applyBorder="1"/>
    <xf numFmtId="3" fontId="40" fillId="8" borderId="26" xfId="0" applyNumberFormat="1" applyFont="1" applyFill="1" applyBorder="1"/>
    <xf numFmtId="9" fontId="40" fillId="8" borderId="26" xfId="0" applyNumberFormat="1" applyFont="1" applyFill="1" applyBorder="1"/>
    <xf numFmtId="3" fontId="40" fillId="8" borderId="19" xfId="0" applyNumberFormat="1" applyFont="1" applyFill="1" applyBorder="1"/>
    <xf numFmtId="0" fontId="40" fillId="0" borderId="23" xfId="0" applyFont="1" applyFill="1" applyBorder="1"/>
    <xf numFmtId="0" fontId="40" fillId="0" borderId="82" xfId="0" applyFont="1" applyFill="1" applyBorder="1"/>
    <xf numFmtId="0" fontId="40" fillId="0" borderId="129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165" fontId="32" fillId="2" borderId="51" xfId="53" applyNumberFormat="1" applyFont="1" applyFill="1" applyBorder="1" applyAlignment="1">
      <alignment horizontal="left"/>
    </xf>
    <xf numFmtId="165" fontId="32" fillId="2" borderId="53" xfId="53" applyNumberFormat="1" applyFont="1" applyFill="1" applyBorder="1" applyAlignment="1">
      <alignment horizontal="left"/>
    </xf>
    <xf numFmtId="165" fontId="32" fillId="2" borderId="122" xfId="53" applyNumberFormat="1" applyFont="1" applyFill="1" applyBorder="1" applyAlignment="1">
      <alignment horizontal="left"/>
    </xf>
    <xf numFmtId="3" fontId="32" fillId="2" borderId="122" xfId="53" applyNumberFormat="1" applyFont="1" applyFill="1" applyBorder="1" applyAlignment="1">
      <alignment horizontal="left"/>
    </xf>
    <xf numFmtId="3" fontId="32" fillId="2" borderId="123" xfId="53" applyNumberFormat="1" applyFont="1" applyFill="1" applyBorder="1" applyAlignment="1">
      <alignment horizontal="left"/>
    </xf>
    <xf numFmtId="165" fontId="33" fillId="0" borderId="28" xfId="0" applyNumberFormat="1" applyFont="1" applyFill="1" applyBorder="1" applyAlignment="1">
      <alignment horizontal="right"/>
    </xf>
    <xf numFmtId="165" fontId="33" fillId="0" borderId="83" xfId="0" applyNumberFormat="1" applyFont="1" applyFill="1" applyBorder="1" applyAlignment="1">
      <alignment horizontal="right"/>
    </xf>
    <xf numFmtId="165" fontId="33" fillId="0" borderId="76" xfId="0" applyNumberFormat="1" applyFont="1" applyFill="1" applyBorder="1" applyAlignment="1">
      <alignment horizontal="right"/>
    </xf>
    <xf numFmtId="0" fontId="33" fillId="2" borderId="123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70" fontId="33" fillId="0" borderId="26" xfId="0" applyNumberFormat="1" applyFont="1" applyFill="1" applyBorder="1"/>
    <xf numFmtId="0" fontId="33" fillId="0" borderId="26" xfId="0" applyFont="1" applyFill="1" applyBorder="1"/>
    <xf numFmtId="0" fontId="40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2" borderId="15" xfId="26" applyNumberFormat="1" applyFont="1" applyFill="1" applyBorder="1"/>
    <xf numFmtId="170" fontId="33" fillId="0" borderId="28" xfId="0" applyNumberFormat="1" applyFont="1" applyFill="1" applyBorder="1"/>
    <xf numFmtId="170" fontId="33" fillId="0" borderId="24" xfId="0" applyNumberFormat="1" applyFont="1" applyFill="1" applyBorder="1"/>
    <xf numFmtId="170" fontId="33" fillId="0" borderId="83" xfId="0" applyNumberFormat="1" applyFont="1" applyFill="1" applyBorder="1"/>
    <xf numFmtId="170" fontId="33" fillId="0" borderId="84" xfId="0" applyNumberFormat="1" applyFont="1" applyFill="1" applyBorder="1"/>
    <xf numFmtId="170" fontId="33" fillId="0" borderId="76" xfId="0" applyNumberFormat="1" applyFont="1" applyFill="1" applyBorder="1"/>
    <xf numFmtId="170" fontId="33" fillId="0" borderId="77" xfId="0" applyNumberFormat="1" applyFont="1" applyFill="1" applyBorder="1"/>
    <xf numFmtId="0" fontId="40" fillId="0" borderId="75" xfId="0" applyFont="1" applyFill="1" applyBorder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4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2.6957118229579042</c:v>
                </c:pt>
                <c:pt idx="1">
                  <c:v>3.1075004313637993</c:v>
                </c:pt>
                <c:pt idx="2">
                  <c:v>2.9992676245124694</c:v>
                </c:pt>
                <c:pt idx="3">
                  <c:v>3.1247901196023298</c:v>
                </c:pt>
                <c:pt idx="4">
                  <c:v>3.1992541470153908</c:v>
                </c:pt>
                <c:pt idx="5">
                  <c:v>2.7995271683091092</c:v>
                </c:pt>
                <c:pt idx="6">
                  <c:v>2.9788974010404603</c:v>
                </c:pt>
                <c:pt idx="7">
                  <c:v>3.0424951185962086</c:v>
                </c:pt>
                <c:pt idx="8">
                  <c:v>3.1240858750661258</c:v>
                </c:pt>
                <c:pt idx="9">
                  <c:v>2.9590976343546749</c:v>
                </c:pt>
                <c:pt idx="10">
                  <c:v>2.9564601868586102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277568"/>
        <c:axId val="13252802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1.6361067962402529</c:v>
                </c:pt>
                <c:pt idx="1">
                  <c:v>1.6361067962402529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413120"/>
        <c:axId val="1325414656"/>
      </c:scatterChart>
      <c:catAx>
        <c:axId val="132527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2528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5280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25277568"/>
        <c:crosses val="autoZero"/>
        <c:crossBetween val="between"/>
      </c:valAx>
      <c:valAx>
        <c:axId val="13254131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25414656"/>
        <c:crosses val="max"/>
        <c:crossBetween val="midCat"/>
      </c:valAx>
      <c:valAx>
        <c:axId val="13254146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2541312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1" t="s">
        <v>107</v>
      </c>
      <c r="B1" s="321"/>
    </row>
    <row r="2" spans="1:3" ht="14.4" customHeight="1" thickBot="1" x14ac:dyDescent="0.35">
      <c r="A2" s="231" t="s">
        <v>244</v>
      </c>
      <c r="B2" s="46"/>
    </row>
    <row r="3" spans="1:3" ht="14.4" customHeight="1" thickBot="1" x14ac:dyDescent="0.35">
      <c r="A3" s="317" t="s">
        <v>136</v>
      </c>
      <c r="B3" s="318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118</v>
      </c>
      <c r="C4" s="47" t="s">
        <v>119</v>
      </c>
    </row>
    <row r="5" spans="1:3" ht="14.4" customHeight="1" x14ac:dyDescent="0.3">
      <c r="A5" s="146" t="str">
        <f t="shared" si="0"/>
        <v>HI</v>
      </c>
      <c r="B5" s="89" t="s">
        <v>133</v>
      </c>
      <c r="C5" s="47" t="s">
        <v>110</v>
      </c>
    </row>
    <row r="6" spans="1:3" ht="14.4" customHeight="1" x14ac:dyDescent="0.3">
      <c r="A6" s="147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7" t="str">
        <f t="shared" si="0"/>
        <v>Man Tab</v>
      </c>
      <c r="B7" s="90" t="s">
        <v>246</v>
      </c>
      <c r="C7" s="47" t="s">
        <v>112</v>
      </c>
    </row>
    <row r="8" spans="1:3" ht="14.4" customHeight="1" thickBot="1" x14ac:dyDescent="0.35">
      <c r="A8" s="148" t="str">
        <f t="shared" si="0"/>
        <v>HV</v>
      </c>
      <c r="B8" s="91" t="s">
        <v>60</v>
      </c>
      <c r="C8" s="47" t="s">
        <v>65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9" t="s">
        <v>108</v>
      </c>
      <c r="B10" s="318"/>
    </row>
    <row r="11" spans="1:3" ht="14.4" customHeight="1" x14ac:dyDescent="0.3">
      <c r="A11" s="147" t="str">
        <f t="shared" ref="A11:A18" si="1">HYPERLINK("#'"&amp;C11&amp;"'!A1",C11)</f>
        <v>Léky Recepty</v>
      </c>
      <c r="B11" s="90" t="s">
        <v>134</v>
      </c>
      <c r="C11" s="47" t="s">
        <v>113</v>
      </c>
    </row>
    <row r="12" spans="1:3" ht="14.4" customHeight="1" x14ac:dyDescent="0.3">
      <c r="A12" s="147" t="str">
        <f t="shared" si="1"/>
        <v>LRp Lékaři</v>
      </c>
      <c r="B12" s="90" t="s">
        <v>142</v>
      </c>
      <c r="C12" s="47" t="s">
        <v>143</v>
      </c>
    </row>
    <row r="13" spans="1:3" ht="14.4" customHeight="1" x14ac:dyDescent="0.3">
      <c r="A13" s="147" t="str">
        <f t="shared" si="1"/>
        <v>LRp Detail</v>
      </c>
      <c r="B13" s="90" t="s">
        <v>494</v>
      </c>
      <c r="C13" s="47" t="s">
        <v>114</v>
      </c>
    </row>
    <row r="14" spans="1:3" ht="28.8" customHeight="1" x14ac:dyDescent="0.3">
      <c r="A14" s="147" t="str">
        <f t="shared" si="1"/>
        <v>LRp PL</v>
      </c>
      <c r="B14" s="529" t="s">
        <v>495</v>
      </c>
      <c r="C14" s="47" t="s">
        <v>139</v>
      </c>
    </row>
    <row r="15" spans="1:3" ht="14.4" customHeight="1" x14ac:dyDescent="0.3">
      <c r="A15" s="147" t="str">
        <f>HYPERLINK("#'"&amp;C15&amp;"'!A1",C15)</f>
        <v>LRp PL Detail</v>
      </c>
      <c r="B15" s="90" t="s">
        <v>508</v>
      </c>
      <c r="C15" s="47" t="s">
        <v>140</v>
      </c>
    </row>
    <row r="16" spans="1:3" ht="14.4" customHeight="1" x14ac:dyDescent="0.3">
      <c r="A16" s="149" t="str">
        <f t="shared" ref="A16" si="2">HYPERLINK("#'"&amp;C16&amp;"'!A1",C16)</f>
        <v>Materiál Žádanky</v>
      </c>
      <c r="B16" s="90" t="s">
        <v>135</v>
      </c>
      <c r="C16" s="47" t="s">
        <v>115</v>
      </c>
    </row>
    <row r="17" spans="1:3" ht="14.4" customHeight="1" x14ac:dyDescent="0.3">
      <c r="A17" s="147" t="str">
        <f t="shared" si="1"/>
        <v>MŽ Detail</v>
      </c>
      <c r="B17" s="90" t="s">
        <v>621</v>
      </c>
      <c r="C17" s="47" t="s">
        <v>116</v>
      </c>
    </row>
    <row r="18" spans="1:3" ht="14.4" customHeight="1" thickBot="1" x14ac:dyDescent="0.35">
      <c r="A18" s="149" t="str">
        <f t="shared" si="1"/>
        <v>Osobní náklady</v>
      </c>
      <c r="B18" s="90" t="s">
        <v>105</v>
      </c>
      <c r="C18" s="47" t="s">
        <v>117</v>
      </c>
    </row>
    <row r="19" spans="1:3" ht="14.4" customHeight="1" thickBot="1" x14ac:dyDescent="0.35">
      <c r="A19" s="93"/>
      <c r="B19" s="93"/>
    </row>
    <row r="20" spans="1:3" ht="14.4" customHeight="1" thickBot="1" x14ac:dyDescent="0.35">
      <c r="A20" s="320" t="s">
        <v>109</v>
      </c>
      <c r="B20" s="318"/>
    </row>
    <row r="21" spans="1:3" ht="14.4" customHeight="1" x14ac:dyDescent="0.3">
      <c r="A21" s="150" t="str">
        <f t="shared" ref="A21:A25" si="3">HYPERLINK("#'"&amp;C21&amp;"'!A1",C21)</f>
        <v>ZV Vykáz.-A</v>
      </c>
      <c r="B21" s="89" t="s">
        <v>626</v>
      </c>
      <c r="C21" s="47" t="s">
        <v>120</v>
      </c>
    </row>
    <row r="22" spans="1:3" ht="14.4" customHeight="1" x14ac:dyDescent="0.3">
      <c r="A22" s="147" t="str">
        <f t="shared" ref="A22" si="4">HYPERLINK("#'"&amp;C22&amp;"'!A1",C22)</f>
        <v>ZV Vykáz.-A Lékaři</v>
      </c>
      <c r="B22" s="90" t="s">
        <v>630</v>
      </c>
      <c r="C22" s="47" t="s">
        <v>243</v>
      </c>
    </row>
    <row r="23" spans="1:3" ht="14.4" customHeight="1" x14ac:dyDescent="0.3">
      <c r="A23" s="147" t="str">
        <f t="shared" si="3"/>
        <v>ZV Vykáz.-A Detail</v>
      </c>
      <c r="B23" s="90" t="s">
        <v>647</v>
      </c>
      <c r="C23" s="47" t="s">
        <v>121</v>
      </c>
    </row>
    <row r="24" spans="1:3" ht="14.4" customHeight="1" x14ac:dyDescent="0.3">
      <c r="A24" s="147" t="str">
        <f t="shared" si="3"/>
        <v>ZV Vykáz.-H</v>
      </c>
      <c r="B24" s="90" t="s">
        <v>124</v>
      </c>
      <c r="C24" s="47" t="s">
        <v>122</v>
      </c>
    </row>
    <row r="25" spans="1:3" ht="14.4" customHeight="1" x14ac:dyDescent="0.3">
      <c r="A25" s="147" t="str">
        <f t="shared" si="3"/>
        <v>ZV Vykáz.-H Detail</v>
      </c>
      <c r="B25" s="90" t="s">
        <v>686</v>
      </c>
      <c r="C25" s="47" t="s">
        <v>123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56" t="s">
        <v>495</v>
      </c>
      <c r="B1" s="357"/>
      <c r="C1" s="357"/>
      <c r="D1" s="357"/>
      <c r="E1" s="357"/>
      <c r="F1" s="357"/>
    </row>
    <row r="2" spans="1:6" ht="14.4" customHeight="1" thickBot="1" x14ac:dyDescent="0.35">
      <c r="A2" s="231" t="s">
        <v>244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8" t="s">
        <v>127</v>
      </c>
      <c r="C3" s="359"/>
      <c r="D3" s="360" t="s">
        <v>126</v>
      </c>
      <c r="E3" s="359"/>
      <c r="F3" s="80" t="s">
        <v>3</v>
      </c>
    </row>
    <row r="4" spans="1:6" ht="14.4" customHeight="1" thickBot="1" x14ac:dyDescent="0.35">
      <c r="A4" s="512" t="s">
        <v>178</v>
      </c>
      <c r="B4" s="513" t="s">
        <v>13</v>
      </c>
      <c r="C4" s="514" t="s">
        <v>2</v>
      </c>
      <c r="D4" s="513" t="s">
        <v>13</v>
      </c>
      <c r="E4" s="514" t="s">
        <v>2</v>
      </c>
      <c r="F4" s="515" t="s">
        <v>13</v>
      </c>
    </row>
    <row r="5" spans="1:6" ht="14.4" customHeight="1" x14ac:dyDescent="0.3">
      <c r="A5" s="526" t="s">
        <v>300</v>
      </c>
      <c r="B5" s="116">
        <v>69643.26999999999</v>
      </c>
      <c r="C5" s="503">
        <v>9.0971110191224919E-2</v>
      </c>
      <c r="D5" s="116">
        <v>695910.43000000052</v>
      </c>
      <c r="E5" s="503">
        <v>0.90902888980877505</v>
      </c>
      <c r="F5" s="516">
        <v>765553.70000000054</v>
      </c>
    </row>
    <row r="6" spans="1:6" ht="14.4" customHeight="1" x14ac:dyDescent="0.3">
      <c r="A6" s="527" t="s">
        <v>303</v>
      </c>
      <c r="B6" s="469">
        <v>43728.829999999994</v>
      </c>
      <c r="C6" s="482">
        <v>2.7885674247187943E-2</v>
      </c>
      <c r="D6" s="469">
        <v>1524417.9400000013</v>
      </c>
      <c r="E6" s="482">
        <v>0.97211432575281198</v>
      </c>
      <c r="F6" s="517">
        <v>1568146.7700000014</v>
      </c>
    </row>
    <row r="7" spans="1:6" ht="14.4" customHeight="1" x14ac:dyDescent="0.3">
      <c r="A7" s="527" t="s">
        <v>302</v>
      </c>
      <c r="B7" s="469">
        <v>1942.6</v>
      </c>
      <c r="C7" s="482">
        <v>0.13718384018711122</v>
      </c>
      <c r="D7" s="469">
        <v>12217.960000000001</v>
      </c>
      <c r="E7" s="482">
        <v>0.86281615981288873</v>
      </c>
      <c r="F7" s="517">
        <v>14160.560000000001</v>
      </c>
    </row>
    <row r="8" spans="1:6" ht="14.4" customHeight="1" x14ac:dyDescent="0.3">
      <c r="A8" s="527" t="s">
        <v>299</v>
      </c>
      <c r="B8" s="469"/>
      <c r="C8" s="482">
        <v>0</v>
      </c>
      <c r="D8" s="469">
        <v>44973.819999999992</v>
      </c>
      <c r="E8" s="482">
        <v>1</v>
      </c>
      <c r="F8" s="517">
        <v>44973.819999999992</v>
      </c>
    </row>
    <row r="9" spans="1:6" ht="14.4" customHeight="1" thickBot="1" x14ac:dyDescent="0.35">
      <c r="A9" s="528" t="s">
        <v>301</v>
      </c>
      <c r="B9" s="519"/>
      <c r="C9" s="520">
        <v>0</v>
      </c>
      <c r="D9" s="519">
        <v>2843.1000000000004</v>
      </c>
      <c r="E9" s="520">
        <v>1</v>
      </c>
      <c r="F9" s="521">
        <v>2843.1000000000004</v>
      </c>
    </row>
    <row r="10" spans="1:6" ht="14.4" customHeight="1" thickBot="1" x14ac:dyDescent="0.35">
      <c r="A10" s="522" t="s">
        <v>3</v>
      </c>
      <c r="B10" s="523">
        <v>115314.69999999998</v>
      </c>
      <c r="C10" s="524">
        <v>4.8134474836235765E-2</v>
      </c>
      <c r="D10" s="523">
        <v>2280363.2500000019</v>
      </c>
      <c r="E10" s="524">
        <v>0.9518655251637641</v>
      </c>
      <c r="F10" s="525">
        <v>2395677.950000002</v>
      </c>
    </row>
    <row r="11" spans="1:6" ht="14.4" customHeight="1" thickBot="1" x14ac:dyDescent="0.35"/>
    <row r="12" spans="1:6" ht="14.4" customHeight="1" x14ac:dyDescent="0.3">
      <c r="A12" s="526" t="s">
        <v>496</v>
      </c>
      <c r="B12" s="116">
        <v>115000.35999999999</v>
      </c>
      <c r="C12" s="503">
        <v>4.8034077055290086E-2</v>
      </c>
      <c r="D12" s="116">
        <v>2279140.7799999989</v>
      </c>
      <c r="E12" s="503">
        <v>0.95196592294470994</v>
      </c>
      <c r="F12" s="516">
        <v>2394141.1399999987</v>
      </c>
    </row>
    <row r="13" spans="1:6" ht="14.4" customHeight="1" x14ac:dyDescent="0.3">
      <c r="A13" s="527" t="s">
        <v>497</v>
      </c>
      <c r="B13" s="469">
        <v>314.33999999999997</v>
      </c>
      <c r="C13" s="482">
        <v>1</v>
      </c>
      <c r="D13" s="469"/>
      <c r="E13" s="482">
        <v>0</v>
      </c>
      <c r="F13" s="517">
        <v>314.33999999999997</v>
      </c>
    </row>
    <row r="14" spans="1:6" ht="14.4" customHeight="1" x14ac:dyDescent="0.3">
      <c r="A14" s="527" t="s">
        <v>498</v>
      </c>
      <c r="B14" s="469">
        <v>0</v>
      </c>
      <c r="C14" s="482"/>
      <c r="D14" s="469"/>
      <c r="E14" s="482"/>
      <c r="F14" s="517">
        <v>0</v>
      </c>
    </row>
    <row r="15" spans="1:6" ht="14.4" customHeight="1" x14ac:dyDescent="0.3">
      <c r="A15" s="527" t="s">
        <v>499</v>
      </c>
      <c r="B15" s="469"/>
      <c r="C15" s="482">
        <v>0</v>
      </c>
      <c r="D15" s="469">
        <v>420.09000000000003</v>
      </c>
      <c r="E15" s="482">
        <v>1</v>
      </c>
      <c r="F15" s="517">
        <v>420.09000000000003</v>
      </c>
    </row>
    <row r="16" spans="1:6" ht="14.4" customHeight="1" x14ac:dyDescent="0.3">
      <c r="A16" s="527" t="s">
        <v>500</v>
      </c>
      <c r="B16" s="469"/>
      <c r="C16" s="482">
        <v>0</v>
      </c>
      <c r="D16" s="469">
        <v>174.94</v>
      </c>
      <c r="E16" s="482">
        <v>1</v>
      </c>
      <c r="F16" s="517">
        <v>174.94</v>
      </c>
    </row>
    <row r="17" spans="1:6" ht="14.4" customHeight="1" thickBot="1" x14ac:dyDescent="0.35">
      <c r="A17" s="528" t="s">
        <v>501</v>
      </c>
      <c r="B17" s="519"/>
      <c r="C17" s="520">
        <v>0</v>
      </c>
      <c r="D17" s="519">
        <v>627.44000000000005</v>
      </c>
      <c r="E17" s="520">
        <v>1</v>
      </c>
      <c r="F17" s="521">
        <v>627.44000000000005</v>
      </c>
    </row>
    <row r="18" spans="1:6" ht="14.4" customHeight="1" thickBot="1" x14ac:dyDescent="0.35">
      <c r="A18" s="522" t="s">
        <v>3</v>
      </c>
      <c r="B18" s="523">
        <v>115314.69999999998</v>
      </c>
      <c r="C18" s="524">
        <v>4.8134474836235834E-2</v>
      </c>
      <c r="D18" s="523">
        <v>2280363.2499999991</v>
      </c>
      <c r="E18" s="524">
        <v>0.95186552516376433</v>
      </c>
      <c r="F18" s="525">
        <v>2395677.9499999988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{357C2486-0626-484B-A1D2-D50749098225}</x14:id>
        </ext>
      </extLst>
    </cfRule>
  </conditionalFormatting>
  <conditionalFormatting sqref="F12:F1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{D1C807CA-7FA8-41FC-8F22-D2EB021EE1C1}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7C2486-0626-484B-A1D2-D5074909822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D1C807CA-7FA8-41FC-8F22-D2EB021EE1C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9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57" t="s">
        <v>508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21"/>
      <c r="M1" s="321"/>
    </row>
    <row r="2" spans="1:13" ht="14.4" customHeight="1" thickBot="1" x14ac:dyDescent="0.35">
      <c r="A2" s="231" t="s">
        <v>244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125</v>
      </c>
      <c r="F3" s="43">
        <f>SUBTOTAL(9,F6:F1048576)</f>
        <v>939</v>
      </c>
      <c r="G3" s="43">
        <f>SUBTOTAL(9,G6:G1048576)</f>
        <v>115314.70000000001</v>
      </c>
      <c r="H3" s="44">
        <f>IF(M3=0,0,G3/M3)</f>
        <v>4.8134474836235834E-2</v>
      </c>
      <c r="I3" s="43">
        <f>SUBTOTAL(9,I6:I1048576)</f>
        <v>18574</v>
      </c>
      <c r="J3" s="43">
        <f>SUBTOTAL(9,J6:J1048576)</f>
        <v>2280363.2499999995</v>
      </c>
      <c r="K3" s="44">
        <f>IF(M3=0,0,J3/M3)</f>
        <v>0.95186552516376433</v>
      </c>
      <c r="L3" s="43">
        <f>SUBTOTAL(9,L6:L1048576)</f>
        <v>19513</v>
      </c>
      <c r="M3" s="45">
        <f>SUBTOTAL(9,M6:M1048576)</f>
        <v>2395677.9499999993</v>
      </c>
    </row>
    <row r="4" spans="1:13" ht="14.4" customHeight="1" thickBot="1" x14ac:dyDescent="0.35">
      <c r="A4" s="41"/>
      <c r="B4" s="41"/>
      <c r="C4" s="41"/>
      <c r="D4" s="41"/>
      <c r="E4" s="42"/>
      <c r="F4" s="361" t="s">
        <v>127</v>
      </c>
      <c r="G4" s="362"/>
      <c r="H4" s="363"/>
      <c r="I4" s="364" t="s">
        <v>126</v>
      </c>
      <c r="J4" s="362"/>
      <c r="K4" s="363"/>
      <c r="L4" s="365" t="s">
        <v>3</v>
      </c>
      <c r="M4" s="366"/>
    </row>
    <row r="5" spans="1:13" ht="14.4" customHeight="1" thickBot="1" x14ac:dyDescent="0.35">
      <c r="A5" s="512" t="s">
        <v>132</v>
      </c>
      <c r="B5" s="530" t="s">
        <v>128</v>
      </c>
      <c r="C5" s="530" t="s">
        <v>69</v>
      </c>
      <c r="D5" s="530" t="s">
        <v>129</v>
      </c>
      <c r="E5" s="530" t="s">
        <v>130</v>
      </c>
      <c r="F5" s="531" t="s">
        <v>27</v>
      </c>
      <c r="G5" s="531" t="s">
        <v>13</v>
      </c>
      <c r="H5" s="514" t="s">
        <v>131</v>
      </c>
      <c r="I5" s="513" t="s">
        <v>27</v>
      </c>
      <c r="J5" s="531" t="s">
        <v>13</v>
      </c>
      <c r="K5" s="514" t="s">
        <v>131</v>
      </c>
      <c r="L5" s="513" t="s">
        <v>27</v>
      </c>
      <c r="M5" s="532" t="s">
        <v>13</v>
      </c>
    </row>
    <row r="6" spans="1:13" ht="14.4" customHeight="1" x14ac:dyDescent="0.3">
      <c r="A6" s="497" t="s">
        <v>299</v>
      </c>
      <c r="B6" s="498" t="s">
        <v>502</v>
      </c>
      <c r="C6" s="498" t="s">
        <v>308</v>
      </c>
      <c r="D6" s="498" t="s">
        <v>309</v>
      </c>
      <c r="E6" s="498" t="s">
        <v>310</v>
      </c>
      <c r="F6" s="116"/>
      <c r="G6" s="116"/>
      <c r="H6" s="503">
        <v>0</v>
      </c>
      <c r="I6" s="116">
        <v>40</v>
      </c>
      <c r="J6" s="116">
        <v>842.4</v>
      </c>
      <c r="K6" s="503">
        <v>1</v>
      </c>
      <c r="L6" s="116">
        <v>40</v>
      </c>
      <c r="M6" s="516">
        <v>842.4</v>
      </c>
    </row>
    <row r="7" spans="1:13" ht="14.4" customHeight="1" x14ac:dyDescent="0.3">
      <c r="A7" s="478" t="s">
        <v>299</v>
      </c>
      <c r="B7" s="468" t="s">
        <v>502</v>
      </c>
      <c r="C7" s="468" t="s">
        <v>311</v>
      </c>
      <c r="D7" s="468" t="s">
        <v>312</v>
      </c>
      <c r="E7" s="468" t="s">
        <v>313</v>
      </c>
      <c r="F7" s="469"/>
      <c r="G7" s="469"/>
      <c r="H7" s="482">
        <v>0</v>
      </c>
      <c r="I7" s="469">
        <v>60</v>
      </c>
      <c r="J7" s="469">
        <v>6318.6</v>
      </c>
      <c r="K7" s="482">
        <v>1</v>
      </c>
      <c r="L7" s="469">
        <v>60</v>
      </c>
      <c r="M7" s="517">
        <v>6318.6</v>
      </c>
    </row>
    <row r="8" spans="1:13" ht="14.4" customHeight="1" x14ac:dyDescent="0.3">
      <c r="A8" s="478" t="s">
        <v>299</v>
      </c>
      <c r="B8" s="468" t="s">
        <v>502</v>
      </c>
      <c r="C8" s="468" t="s">
        <v>314</v>
      </c>
      <c r="D8" s="468" t="s">
        <v>315</v>
      </c>
      <c r="E8" s="468" t="s">
        <v>313</v>
      </c>
      <c r="F8" s="469"/>
      <c r="G8" s="469"/>
      <c r="H8" s="482">
        <v>0</v>
      </c>
      <c r="I8" s="469">
        <v>102</v>
      </c>
      <c r="J8" s="469">
        <v>11063.939999999999</v>
      </c>
      <c r="K8" s="482">
        <v>1</v>
      </c>
      <c r="L8" s="469">
        <v>102</v>
      </c>
      <c r="M8" s="517">
        <v>11063.939999999999</v>
      </c>
    </row>
    <row r="9" spans="1:13" ht="14.4" customHeight="1" x14ac:dyDescent="0.3">
      <c r="A9" s="478" t="s">
        <v>299</v>
      </c>
      <c r="B9" s="468" t="s">
        <v>502</v>
      </c>
      <c r="C9" s="468" t="s">
        <v>316</v>
      </c>
      <c r="D9" s="468" t="s">
        <v>317</v>
      </c>
      <c r="E9" s="468" t="s">
        <v>318</v>
      </c>
      <c r="F9" s="469"/>
      <c r="G9" s="469"/>
      <c r="H9" s="482">
        <v>0</v>
      </c>
      <c r="I9" s="469">
        <v>12</v>
      </c>
      <c r="J9" s="469">
        <v>1515.3600000000001</v>
      </c>
      <c r="K9" s="482">
        <v>1</v>
      </c>
      <c r="L9" s="469">
        <v>12</v>
      </c>
      <c r="M9" s="517">
        <v>1515.3600000000001</v>
      </c>
    </row>
    <row r="10" spans="1:13" ht="14.4" customHeight="1" x14ac:dyDescent="0.3">
      <c r="A10" s="478" t="s">
        <v>299</v>
      </c>
      <c r="B10" s="468" t="s">
        <v>502</v>
      </c>
      <c r="C10" s="468" t="s">
        <v>319</v>
      </c>
      <c r="D10" s="468" t="s">
        <v>320</v>
      </c>
      <c r="E10" s="468" t="s">
        <v>321</v>
      </c>
      <c r="F10" s="469"/>
      <c r="G10" s="469"/>
      <c r="H10" s="482">
        <v>0</v>
      </c>
      <c r="I10" s="469">
        <v>104</v>
      </c>
      <c r="J10" s="469">
        <v>25233.519999999997</v>
      </c>
      <c r="K10" s="482">
        <v>1</v>
      </c>
      <c r="L10" s="469">
        <v>104</v>
      </c>
      <c r="M10" s="517">
        <v>25233.519999999997</v>
      </c>
    </row>
    <row r="11" spans="1:13" ht="14.4" customHeight="1" x14ac:dyDescent="0.3">
      <c r="A11" s="478" t="s">
        <v>300</v>
      </c>
      <c r="B11" s="468" t="s">
        <v>502</v>
      </c>
      <c r="C11" s="468" t="s">
        <v>322</v>
      </c>
      <c r="D11" s="468" t="s">
        <v>323</v>
      </c>
      <c r="E11" s="468" t="s">
        <v>310</v>
      </c>
      <c r="F11" s="469"/>
      <c r="G11" s="469"/>
      <c r="H11" s="482">
        <v>0</v>
      </c>
      <c r="I11" s="469">
        <v>8</v>
      </c>
      <c r="J11" s="469">
        <v>260.8</v>
      </c>
      <c r="K11" s="482">
        <v>1</v>
      </c>
      <c r="L11" s="469">
        <v>8</v>
      </c>
      <c r="M11" s="517">
        <v>260.8</v>
      </c>
    </row>
    <row r="12" spans="1:13" ht="14.4" customHeight="1" x14ac:dyDescent="0.3">
      <c r="A12" s="478" t="s">
        <v>300</v>
      </c>
      <c r="B12" s="468" t="s">
        <v>502</v>
      </c>
      <c r="C12" s="468" t="s">
        <v>324</v>
      </c>
      <c r="D12" s="468" t="s">
        <v>325</v>
      </c>
      <c r="E12" s="468" t="s">
        <v>310</v>
      </c>
      <c r="F12" s="469"/>
      <c r="G12" s="469"/>
      <c r="H12" s="482">
        <v>0</v>
      </c>
      <c r="I12" s="469">
        <v>15</v>
      </c>
      <c r="J12" s="469">
        <v>496.35</v>
      </c>
      <c r="K12" s="482">
        <v>1</v>
      </c>
      <c r="L12" s="469">
        <v>15</v>
      </c>
      <c r="M12" s="517">
        <v>496.35</v>
      </c>
    </row>
    <row r="13" spans="1:13" ht="14.4" customHeight="1" x14ac:dyDescent="0.3">
      <c r="A13" s="478" t="s">
        <v>300</v>
      </c>
      <c r="B13" s="468" t="s">
        <v>502</v>
      </c>
      <c r="C13" s="468" t="s">
        <v>326</v>
      </c>
      <c r="D13" s="468" t="s">
        <v>327</v>
      </c>
      <c r="E13" s="468" t="s">
        <v>310</v>
      </c>
      <c r="F13" s="469"/>
      <c r="G13" s="469"/>
      <c r="H13" s="482">
        <v>0</v>
      </c>
      <c r="I13" s="469">
        <v>15</v>
      </c>
      <c r="J13" s="469">
        <v>496.35</v>
      </c>
      <c r="K13" s="482">
        <v>1</v>
      </c>
      <c r="L13" s="469">
        <v>15</v>
      </c>
      <c r="M13" s="517">
        <v>496.35</v>
      </c>
    </row>
    <row r="14" spans="1:13" ht="14.4" customHeight="1" x14ac:dyDescent="0.3">
      <c r="A14" s="478" t="s">
        <v>300</v>
      </c>
      <c r="B14" s="468" t="s">
        <v>502</v>
      </c>
      <c r="C14" s="468" t="s">
        <v>328</v>
      </c>
      <c r="D14" s="468" t="s">
        <v>329</v>
      </c>
      <c r="E14" s="468" t="s">
        <v>310</v>
      </c>
      <c r="F14" s="469"/>
      <c r="G14" s="469"/>
      <c r="H14" s="482">
        <v>0</v>
      </c>
      <c r="I14" s="469">
        <v>10</v>
      </c>
      <c r="J14" s="469">
        <v>330.90000000000003</v>
      </c>
      <c r="K14" s="482">
        <v>1</v>
      </c>
      <c r="L14" s="469">
        <v>10</v>
      </c>
      <c r="M14" s="517">
        <v>330.90000000000003</v>
      </c>
    </row>
    <row r="15" spans="1:13" ht="14.4" customHeight="1" x14ac:dyDescent="0.3">
      <c r="A15" s="478" t="s">
        <v>300</v>
      </c>
      <c r="B15" s="468" t="s">
        <v>502</v>
      </c>
      <c r="C15" s="468" t="s">
        <v>330</v>
      </c>
      <c r="D15" s="468" t="s">
        <v>331</v>
      </c>
      <c r="E15" s="468" t="s">
        <v>310</v>
      </c>
      <c r="F15" s="469"/>
      <c r="G15" s="469"/>
      <c r="H15" s="482">
        <v>0</v>
      </c>
      <c r="I15" s="469">
        <v>15</v>
      </c>
      <c r="J15" s="469">
        <v>485.70000000000005</v>
      </c>
      <c r="K15" s="482">
        <v>1</v>
      </c>
      <c r="L15" s="469">
        <v>15</v>
      </c>
      <c r="M15" s="517">
        <v>485.70000000000005</v>
      </c>
    </row>
    <row r="16" spans="1:13" ht="14.4" customHeight="1" x14ac:dyDescent="0.3">
      <c r="A16" s="478" t="s">
        <v>300</v>
      </c>
      <c r="B16" s="468" t="s">
        <v>502</v>
      </c>
      <c r="C16" s="468" t="s">
        <v>332</v>
      </c>
      <c r="D16" s="468" t="s">
        <v>333</v>
      </c>
      <c r="E16" s="468" t="s">
        <v>310</v>
      </c>
      <c r="F16" s="469"/>
      <c r="G16" s="469"/>
      <c r="H16" s="482">
        <v>0</v>
      </c>
      <c r="I16" s="469">
        <v>10</v>
      </c>
      <c r="J16" s="469">
        <v>323.8</v>
      </c>
      <c r="K16" s="482">
        <v>1</v>
      </c>
      <c r="L16" s="469">
        <v>10</v>
      </c>
      <c r="M16" s="517">
        <v>323.8</v>
      </c>
    </row>
    <row r="17" spans="1:13" ht="14.4" customHeight="1" x14ac:dyDescent="0.3">
      <c r="A17" s="478" t="s">
        <v>300</v>
      </c>
      <c r="B17" s="468" t="s">
        <v>502</v>
      </c>
      <c r="C17" s="468" t="s">
        <v>334</v>
      </c>
      <c r="D17" s="468" t="s">
        <v>335</v>
      </c>
      <c r="E17" s="468" t="s">
        <v>336</v>
      </c>
      <c r="F17" s="469"/>
      <c r="G17" s="469"/>
      <c r="H17" s="482">
        <v>0</v>
      </c>
      <c r="I17" s="469">
        <v>396</v>
      </c>
      <c r="J17" s="469">
        <v>76391.16</v>
      </c>
      <c r="K17" s="482">
        <v>1</v>
      </c>
      <c r="L17" s="469">
        <v>396</v>
      </c>
      <c r="M17" s="517">
        <v>76391.16</v>
      </c>
    </row>
    <row r="18" spans="1:13" ht="14.4" customHeight="1" x14ac:dyDescent="0.3">
      <c r="A18" s="478" t="s">
        <v>300</v>
      </c>
      <c r="B18" s="468" t="s">
        <v>502</v>
      </c>
      <c r="C18" s="468" t="s">
        <v>339</v>
      </c>
      <c r="D18" s="468" t="s">
        <v>340</v>
      </c>
      <c r="E18" s="468" t="s">
        <v>310</v>
      </c>
      <c r="F18" s="469"/>
      <c r="G18" s="469"/>
      <c r="H18" s="482">
        <v>0</v>
      </c>
      <c r="I18" s="469">
        <v>30</v>
      </c>
      <c r="J18" s="469">
        <v>631.79999999999995</v>
      </c>
      <c r="K18" s="482">
        <v>1</v>
      </c>
      <c r="L18" s="469">
        <v>30</v>
      </c>
      <c r="M18" s="517">
        <v>631.79999999999995</v>
      </c>
    </row>
    <row r="19" spans="1:13" ht="14.4" customHeight="1" x14ac:dyDescent="0.3">
      <c r="A19" s="478" t="s">
        <v>300</v>
      </c>
      <c r="B19" s="468" t="s">
        <v>502</v>
      </c>
      <c r="C19" s="468" t="s">
        <v>308</v>
      </c>
      <c r="D19" s="468" t="s">
        <v>309</v>
      </c>
      <c r="E19" s="468" t="s">
        <v>310</v>
      </c>
      <c r="F19" s="469"/>
      <c r="G19" s="469"/>
      <c r="H19" s="482">
        <v>0</v>
      </c>
      <c r="I19" s="469">
        <v>75</v>
      </c>
      <c r="J19" s="469">
        <v>1579.5</v>
      </c>
      <c r="K19" s="482">
        <v>1</v>
      </c>
      <c r="L19" s="469">
        <v>75</v>
      </c>
      <c r="M19" s="517">
        <v>1579.5</v>
      </c>
    </row>
    <row r="20" spans="1:13" ht="14.4" customHeight="1" x14ac:dyDescent="0.3">
      <c r="A20" s="478" t="s">
        <v>300</v>
      </c>
      <c r="B20" s="468" t="s">
        <v>502</v>
      </c>
      <c r="C20" s="468" t="s">
        <v>341</v>
      </c>
      <c r="D20" s="468" t="s">
        <v>342</v>
      </c>
      <c r="E20" s="468" t="s">
        <v>310</v>
      </c>
      <c r="F20" s="469"/>
      <c r="G20" s="469"/>
      <c r="H20" s="482">
        <v>0</v>
      </c>
      <c r="I20" s="469">
        <v>85</v>
      </c>
      <c r="J20" s="469">
        <v>2238.0499999999997</v>
      </c>
      <c r="K20" s="482">
        <v>1</v>
      </c>
      <c r="L20" s="469">
        <v>85</v>
      </c>
      <c r="M20" s="517">
        <v>2238.0499999999997</v>
      </c>
    </row>
    <row r="21" spans="1:13" ht="14.4" customHeight="1" x14ac:dyDescent="0.3">
      <c r="A21" s="478" t="s">
        <v>300</v>
      </c>
      <c r="B21" s="468" t="s">
        <v>502</v>
      </c>
      <c r="C21" s="468" t="s">
        <v>343</v>
      </c>
      <c r="D21" s="468" t="s">
        <v>344</v>
      </c>
      <c r="E21" s="468" t="s">
        <v>310</v>
      </c>
      <c r="F21" s="469"/>
      <c r="G21" s="469"/>
      <c r="H21" s="482">
        <v>0</v>
      </c>
      <c r="I21" s="469">
        <v>75</v>
      </c>
      <c r="J21" s="469">
        <v>1974.75</v>
      </c>
      <c r="K21" s="482">
        <v>1</v>
      </c>
      <c r="L21" s="469">
        <v>75</v>
      </c>
      <c r="M21" s="517">
        <v>1974.75</v>
      </c>
    </row>
    <row r="22" spans="1:13" ht="14.4" customHeight="1" x14ac:dyDescent="0.3">
      <c r="A22" s="478" t="s">
        <v>300</v>
      </c>
      <c r="B22" s="468" t="s">
        <v>502</v>
      </c>
      <c r="C22" s="468" t="s">
        <v>345</v>
      </c>
      <c r="D22" s="468" t="s">
        <v>346</v>
      </c>
      <c r="E22" s="468" t="s">
        <v>310</v>
      </c>
      <c r="F22" s="469"/>
      <c r="G22" s="469"/>
      <c r="H22" s="482">
        <v>0</v>
      </c>
      <c r="I22" s="469">
        <v>55</v>
      </c>
      <c r="J22" s="469">
        <v>1448.1499999999999</v>
      </c>
      <c r="K22" s="482">
        <v>1</v>
      </c>
      <c r="L22" s="469">
        <v>55</v>
      </c>
      <c r="M22" s="517">
        <v>1448.1499999999999</v>
      </c>
    </row>
    <row r="23" spans="1:13" ht="14.4" customHeight="1" x14ac:dyDescent="0.3">
      <c r="A23" s="478" t="s">
        <v>300</v>
      </c>
      <c r="B23" s="468" t="s">
        <v>502</v>
      </c>
      <c r="C23" s="468" t="s">
        <v>347</v>
      </c>
      <c r="D23" s="468" t="s">
        <v>348</v>
      </c>
      <c r="E23" s="468" t="s">
        <v>310</v>
      </c>
      <c r="F23" s="469"/>
      <c r="G23" s="469"/>
      <c r="H23" s="482">
        <v>0</v>
      </c>
      <c r="I23" s="469">
        <v>29</v>
      </c>
      <c r="J23" s="469">
        <v>916.1099999999999</v>
      </c>
      <c r="K23" s="482">
        <v>1</v>
      </c>
      <c r="L23" s="469">
        <v>29</v>
      </c>
      <c r="M23" s="517">
        <v>916.1099999999999</v>
      </c>
    </row>
    <row r="24" spans="1:13" ht="14.4" customHeight="1" x14ac:dyDescent="0.3">
      <c r="A24" s="478" t="s">
        <v>300</v>
      </c>
      <c r="B24" s="468" t="s">
        <v>502</v>
      </c>
      <c r="C24" s="468" t="s">
        <v>349</v>
      </c>
      <c r="D24" s="468" t="s">
        <v>350</v>
      </c>
      <c r="E24" s="468" t="s">
        <v>310</v>
      </c>
      <c r="F24" s="469"/>
      <c r="G24" s="469"/>
      <c r="H24" s="482">
        <v>0</v>
      </c>
      <c r="I24" s="469">
        <v>29</v>
      </c>
      <c r="J24" s="469">
        <v>916.1099999999999</v>
      </c>
      <c r="K24" s="482">
        <v>1</v>
      </c>
      <c r="L24" s="469">
        <v>29</v>
      </c>
      <c r="M24" s="517">
        <v>916.1099999999999</v>
      </c>
    </row>
    <row r="25" spans="1:13" ht="14.4" customHeight="1" x14ac:dyDescent="0.3">
      <c r="A25" s="478" t="s">
        <v>300</v>
      </c>
      <c r="B25" s="468" t="s">
        <v>502</v>
      </c>
      <c r="C25" s="468" t="s">
        <v>351</v>
      </c>
      <c r="D25" s="468" t="s">
        <v>352</v>
      </c>
      <c r="E25" s="468" t="s">
        <v>310</v>
      </c>
      <c r="F25" s="469"/>
      <c r="G25" s="469"/>
      <c r="H25" s="482">
        <v>0</v>
      </c>
      <c r="I25" s="469">
        <v>15</v>
      </c>
      <c r="J25" s="469">
        <v>473.85</v>
      </c>
      <c r="K25" s="482">
        <v>1</v>
      </c>
      <c r="L25" s="469">
        <v>15</v>
      </c>
      <c r="M25" s="517">
        <v>473.85</v>
      </c>
    </row>
    <row r="26" spans="1:13" ht="14.4" customHeight="1" x14ac:dyDescent="0.3">
      <c r="A26" s="478" t="s">
        <v>300</v>
      </c>
      <c r="B26" s="468" t="s">
        <v>502</v>
      </c>
      <c r="C26" s="468" t="s">
        <v>311</v>
      </c>
      <c r="D26" s="468" t="s">
        <v>312</v>
      </c>
      <c r="E26" s="468" t="s">
        <v>313</v>
      </c>
      <c r="F26" s="469"/>
      <c r="G26" s="469"/>
      <c r="H26" s="482">
        <v>0</v>
      </c>
      <c r="I26" s="469">
        <v>1243</v>
      </c>
      <c r="J26" s="469">
        <v>130900.33</v>
      </c>
      <c r="K26" s="482">
        <v>1</v>
      </c>
      <c r="L26" s="469">
        <v>1243</v>
      </c>
      <c r="M26" s="517">
        <v>130900.33</v>
      </c>
    </row>
    <row r="27" spans="1:13" ht="14.4" customHeight="1" x14ac:dyDescent="0.3">
      <c r="A27" s="478" t="s">
        <v>300</v>
      </c>
      <c r="B27" s="468" t="s">
        <v>502</v>
      </c>
      <c r="C27" s="468" t="s">
        <v>353</v>
      </c>
      <c r="D27" s="468" t="s">
        <v>312</v>
      </c>
      <c r="E27" s="468" t="s">
        <v>354</v>
      </c>
      <c r="F27" s="469"/>
      <c r="G27" s="469"/>
      <c r="H27" s="482">
        <v>0</v>
      </c>
      <c r="I27" s="469">
        <v>30</v>
      </c>
      <c r="J27" s="469">
        <v>1579.8</v>
      </c>
      <c r="K27" s="482">
        <v>1</v>
      </c>
      <c r="L27" s="469">
        <v>30</v>
      </c>
      <c r="M27" s="517">
        <v>1579.8</v>
      </c>
    </row>
    <row r="28" spans="1:13" ht="14.4" customHeight="1" x14ac:dyDescent="0.3">
      <c r="A28" s="478" t="s">
        <v>300</v>
      </c>
      <c r="B28" s="468" t="s">
        <v>502</v>
      </c>
      <c r="C28" s="468" t="s">
        <v>314</v>
      </c>
      <c r="D28" s="468" t="s">
        <v>315</v>
      </c>
      <c r="E28" s="468" t="s">
        <v>313</v>
      </c>
      <c r="F28" s="469"/>
      <c r="G28" s="469"/>
      <c r="H28" s="482">
        <v>0</v>
      </c>
      <c r="I28" s="469">
        <v>601</v>
      </c>
      <c r="J28" s="469">
        <v>65190.470000000008</v>
      </c>
      <c r="K28" s="482">
        <v>1</v>
      </c>
      <c r="L28" s="469">
        <v>601</v>
      </c>
      <c r="M28" s="517">
        <v>65190.470000000008</v>
      </c>
    </row>
    <row r="29" spans="1:13" ht="14.4" customHeight="1" x14ac:dyDescent="0.3">
      <c r="A29" s="478" t="s">
        <v>300</v>
      </c>
      <c r="B29" s="468" t="s">
        <v>502</v>
      </c>
      <c r="C29" s="468" t="s">
        <v>356</v>
      </c>
      <c r="D29" s="468" t="s">
        <v>357</v>
      </c>
      <c r="E29" s="468" t="s">
        <v>310</v>
      </c>
      <c r="F29" s="469"/>
      <c r="G29" s="469"/>
      <c r="H29" s="482">
        <v>0</v>
      </c>
      <c r="I29" s="469">
        <v>65</v>
      </c>
      <c r="J29" s="469">
        <v>1424.1499999999999</v>
      </c>
      <c r="K29" s="482">
        <v>1</v>
      </c>
      <c r="L29" s="469">
        <v>65</v>
      </c>
      <c r="M29" s="517">
        <v>1424.1499999999999</v>
      </c>
    </row>
    <row r="30" spans="1:13" ht="14.4" customHeight="1" x14ac:dyDescent="0.3">
      <c r="A30" s="478" t="s">
        <v>300</v>
      </c>
      <c r="B30" s="468" t="s">
        <v>502</v>
      </c>
      <c r="C30" s="468" t="s">
        <v>358</v>
      </c>
      <c r="D30" s="468" t="s">
        <v>359</v>
      </c>
      <c r="E30" s="468" t="s">
        <v>310</v>
      </c>
      <c r="F30" s="469"/>
      <c r="G30" s="469"/>
      <c r="H30" s="482">
        <v>0</v>
      </c>
      <c r="I30" s="469">
        <v>8</v>
      </c>
      <c r="J30" s="469">
        <v>259.04000000000002</v>
      </c>
      <c r="K30" s="482">
        <v>1</v>
      </c>
      <c r="L30" s="469">
        <v>8</v>
      </c>
      <c r="M30" s="517">
        <v>259.04000000000002</v>
      </c>
    </row>
    <row r="31" spans="1:13" ht="14.4" customHeight="1" x14ac:dyDescent="0.3">
      <c r="A31" s="478" t="s">
        <v>300</v>
      </c>
      <c r="B31" s="468" t="s">
        <v>502</v>
      </c>
      <c r="C31" s="468" t="s">
        <v>316</v>
      </c>
      <c r="D31" s="468" t="s">
        <v>317</v>
      </c>
      <c r="E31" s="468" t="s">
        <v>318</v>
      </c>
      <c r="F31" s="469"/>
      <c r="G31" s="469"/>
      <c r="H31" s="482">
        <v>0</v>
      </c>
      <c r="I31" s="469">
        <v>7</v>
      </c>
      <c r="J31" s="469">
        <v>891.38</v>
      </c>
      <c r="K31" s="482">
        <v>1</v>
      </c>
      <c r="L31" s="469">
        <v>7</v>
      </c>
      <c r="M31" s="517">
        <v>891.38</v>
      </c>
    </row>
    <row r="32" spans="1:13" ht="14.4" customHeight="1" x14ac:dyDescent="0.3">
      <c r="A32" s="478" t="s">
        <v>300</v>
      </c>
      <c r="B32" s="468" t="s">
        <v>502</v>
      </c>
      <c r="C32" s="468" t="s">
        <v>360</v>
      </c>
      <c r="D32" s="468" t="s">
        <v>361</v>
      </c>
      <c r="E32" s="468" t="s">
        <v>318</v>
      </c>
      <c r="F32" s="469"/>
      <c r="G32" s="469"/>
      <c r="H32" s="482">
        <v>0</v>
      </c>
      <c r="I32" s="469">
        <v>27</v>
      </c>
      <c r="J32" s="469">
        <v>3427.58</v>
      </c>
      <c r="K32" s="482">
        <v>1</v>
      </c>
      <c r="L32" s="469">
        <v>27</v>
      </c>
      <c r="M32" s="517">
        <v>3427.58</v>
      </c>
    </row>
    <row r="33" spans="1:13" ht="14.4" customHeight="1" x14ac:dyDescent="0.3">
      <c r="A33" s="478" t="s">
        <v>300</v>
      </c>
      <c r="B33" s="468" t="s">
        <v>502</v>
      </c>
      <c r="C33" s="468" t="s">
        <v>367</v>
      </c>
      <c r="D33" s="468" t="s">
        <v>368</v>
      </c>
      <c r="E33" s="468" t="s">
        <v>318</v>
      </c>
      <c r="F33" s="469"/>
      <c r="G33" s="469"/>
      <c r="H33" s="482">
        <v>0</v>
      </c>
      <c r="I33" s="469">
        <v>7</v>
      </c>
      <c r="J33" s="469">
        <v>891.38</v>
      </c>
      <c r="K33" s="482">
        <v>1</v>
      </c>
      <c r="L33" s="469">
        <v>7</v>
      </c>
      <c r="M33" s="517">
        <v>891.38</v>
      </c>
    </row>
    <row r="34" spans="1:13" ht="14.4" customHeight="1" x14ac:dyDescent="0.3">
      <c r="A34" s="478" t="s">
        <v>300</v>
      </c>
      <c r="B34" s="468" t="s">
        <v>502</v>
      </c>
      <c r="C34" s="468" t="s">
        <v>337</v>
      </c>
      <c r="D34" s="468" t="s">
        <v>338</v>
      </c>
      <c r="E34" s="468" t="s">
        <v>310</v>
      </c>
      <c r="F34" s="469"/>
      <c r="G34" s="469"/>
      <c r="H34" s="482">
        <v>0</v>
      </c>
      <c r="I34" s="469">
        <v>15</v>
      </c>
      <c r="J34" s="469">
        <v>496.35</v>
      </c>
      <c r="K34" s="482">
        <v>1</v>
      </c>
      <c r="L34" s="469">
        <v>15</v>
      </c>
      <c r="M34" s="517">
        <v>496.35</v>
      </c>
    </row>
    <row r="35" spans="1:13" ht="14.4" customHeight="1" x14ac:dyDescent="0.3">
      <c r="A35" s="478" t="s">
        <v>300</v>
      </c>
      <c r="B35" s="468" t="s">
        <v>502</v>
      </c>
      <c r="C35" s="468" t="s">
        <v>355</v>
      </c>
      <c r="D35" s="468" t="s">
        <v>320</v>
      </c>
      <c r="E35" s="468" t="s">
        <v>313</v>
      </c>
      <c r="F35" s="469"/>
      <c r="G35" s="469"/>
      <c r="H35" s="482">
        <v>0</v>
      </c>
      <c r="I35" s="469">
        <v>14</v>
      </c>
      <c r="J35" s="469">
        <v>2271.92</v>
      </c>
      <c r="K35" s="482">
        <v>1</v>
      </c>
      <c r="L35" s="469">
        <v>14</v>
      </c>
      <c r="M35" s="517">
        <v>2271.92</v>
      </c>
    </row>
    <row r="36" spans="1:13" ht="14.4" customHeight="1" x14ac:dyDescent="0.3">
      <c r="A36" s="478" t="s">
        <v>300</v>
      </c>
      <c r="B36" s="468" t="s">
        <v>502</v>
      </c>
      <c r="C36" s="468" t="s">
        <v>373</v>
      </c>
      <c r="D36" s="468" t="s">
        <v>370</v>
      </c>
      <c r="E36" s="468" t="s">
        <v>374</v>
      </c>
      <c r="F36" s="469">
        <v>23</v>
      </c>
      <c r="G36" s="469">
        <v>460</v>
      </c>
      <c r="H36" s="482">
        <v>1</v>
      </c>
      <c r="I36" s="469"/>
      <c r="J36" s="469"/>
      <c r="K36" s="482">
        <v>0</v>
      </c>
      <c r="L36" s="469">
        <v>23</v>
      </c>
      <c r="M36" s="517">
        <v>460</v>
      </c>
    </row>
    <row r="37" spans="1:13" ht="14.4" customHeight="1" x14ac:dyDescent="0.3">
      <c r="A37" s="478" t="s">
        <v>300</v>
      </c>
      <c r="B37" s="468" t="s">
        <v>502</v>
      </c>
      <c r="C37" s="468" t="s">
        <v>362</v>
      </c>
      <c r="D37" s="468" t="s">
        <v>363</v>
      </c>
      <c r="E37" s="468" t="s">
        <v>364</v>
      </c>
      <c r="F37" s="469"/>
      <c r="G37" s="469"/>
      <c r="H37" s="482">
        <v>0</v>
      </c>
      <c r="I37" s="469">
        <v>18</v>
      </c>
      <c r="J37" s="469">
        <v>1526.62</v>
      </c>
      <c r="K37" s="482">
        <v>1</v>
      </c>
      <c r="L37" s="469">
        <v>18</v>
      </c>
      <c r="M37" s="517">
        <v>1526.62</v>
      </c>
    </row>
    <row r="38" spans="1:13" ht="14.4" customHeight="1" x14ac:dyDescent="0.3">
      <c r="A38" s="478" t="s">
        <v>300</v>
      </c>
      <c r="B38" s="468" t="s">
        <v>502</v>
      </c>
      <c r="C38" s="468" t="s">
        <v>369</v>
      </c>
      <c r="D38" s="468" t="s">
        <v>370</v>
      </c>
      <c r="E38" s="468" t="s">
        <v>318</v>
      </c>
      <c r="F38" s="469"/>
      <c r="G38" s="469"/>
      <c r="H38" s="482">
        <v>0</v>
      </c>
      <c r="I38" s="469">
        <v>3</v>
      </c>
      <c r="J38" s="469">
        <v>246.12</v>
      </c>
      <c r="K38" s="482">
        <v>1</v>
      </c>
      <c r="L38" s="469">
        <v>3</v>
      </c>
      <c r="M38" s="517">
        <v>246.12</v>
      </c>
    </row>
    <row r="39" spans="1:13" ht="14.4" customHeight="1" x14ac:dyDescent="0.3">
      <c r="A39" s="478" t="s">
        <v>300</v>
      </c>
      <c r="B39" s="468" t="s">
        <v>502</v>
      </c>
      <c r="C39" s="468" t="s">
        <v>365</v>
      </c>
      <c r="D39" s="468" t="s">
        <v>366</v>
      </c>
      <c r="E39" s="468" t="s">
        <v>364</v>
      </c>
      <c r="F39" s="469"/>
      <c r="G39" s="469"/>
      <c r="H39" s="482">
        <v>0</v>
      </c>
      <c r="I39" s="469">
        <v>25</v>
      </c>
      <c r="J39" s="469">
        <v>2120.85</v>
      </c>
      <c r="K39" s="482">
        <v>1</v>
      </c>
      <c r="L39" s="469">
        <v>25</v>
      </c>
      <c r="M39" s="517">
        <v>2120.85</v>
      </c>
    </row>
    <row r="40" spans="1:13" ht="14.4" customHeight="1" x14ac:dyDescent="0.3">
      <c r="A40" s="478" t="s">
        <v>300</v>
      </c>
      <c r="B40" s="468" t="s">
        <v>502</v>
      </c>
      <c r="C40" s="468" t="s">
        <v>319</v>
      </c>
      <c r="D40" s="468" t="s">
        <v>320</v>
      </c>
      <c r="E40" s="468" t="s">
        <v>321</v>
      </c>
      <c r="F40" s="469"/>
      <c r="G40" s="469"/>
      <c r="H40" s="482">
        <v>0</v>
      </c>
      <c r="I40" s="469">
        <v>1630</v>
      </c>
      <c r="J40" s="469">
        <v>395392.9</v>
      </c>
      <c r="K40" s="482">
        <v>1</v>
      </c>
      <c r="L40" s="469">
        <v>1630</v>
      </c>
      <c r="M40" s="517">
        <v>395392.9</v>
      </c>
    </row>
    <row r="41" spans="1:13" ht="14.4" customHeight="1" x14ac:dyDescent="0.3">
      <c r="A41" s="478" t="s">
        <v>300</v>
      </c>
      <c r="B41" s="468" t="s">
        <v>502</v>
      </c>
      <c r="C41" s="468" t="s">
        <v>371</v>
      </c>
      <c r="D41" s="468" t="s">
        <v>372</v>
      </c>
      <c r="E41" s="468" t="s">
        <v>318</v>
      </c>
      <c r="F41" s="469"/>
      <c r="G41" s="469"/>
      <c r="H41" s="482">
        <v>0</v>
      </c>
      <c r="I41" s="469">
        <v>4</v>
      </c>
      <c r="J41" s="469">
        <v>328.16</v>
      </c>
      <c r="K41" s="482">
        <v>1</v>
      </c>
      <c r="L41" s="469">
        <v>4</v>
      </c>
      <c r="M41" s="517">
        <v>328.16</v>
      </c>
    </row>
    <row r="42" spans="1:13" ht="14.4" customHeight="1" x14ac:dyDescent="0.3">
      <c r="A42" s="478" t="s">
        <v>300</v>
      </c>
      <c r="B42" s="468" t="s">
        <v>502</v>
      </c>
      <c r="C42" s="468" t="s">
        <v>375</v>
      </c>
      <c r="D42" s="468" t="s">
        <v>376</v>
      </c>
      <c r="E42" s="468" t="s">
        <v>336</v>
      </c>
      <c r="F42" s="469">
        <v>302</v>
      </c>
      <c r="G42" s="469">
        <v>58666.52</v>
      </c>
      <c r="H42" s="482">
        <v>1</v>
      </c>
      <c r="I42" s="469"/>
      <c r="J42" s="469"/>
      <c r="K42" s="482">
        <v>0</v>
      </c>
      <c r="L42" s="469">
        <v>302</v>
      </c>
      <c r="M42" s="517">
        <v>58666.52</v>
      </c>
    </row>
    <row r="43" spans="1:13" ht="14.4" customHeight="1" x14ac:dyDescent="0.3">
      <c r="A43" s="478" t="s">
        <v>300</v>
      </c>
      <c r="B43" s="468" t="s">
        <v>502</v>
      </c>
      <c r="C43" s="468" t="s">
        <v>386</v>
      </c>
      <c r="D43" s="468" t="s">
        <v>387</v>
      </c>
      <c r="E43" s="468" t="s">
        <v>381</v>
      </c>
      <c r="F43" s="469">
        <v>15</v>
      </c>
      <c r="G43" s="469">
        <v>520.79999999999995</v>
      </c>
      <c r="H43" s="482">
        <v>1</v>
      </c>
      <c r="I43" s="469"/>
      <c r="J43" s="469"/>
      <c r="K43" s="482">
        <v>0</v>
      </c>
      <c r="L43" s="469">
        <v>15</v>
      </c>
      <c r="M43" s="517">
        <v>520.79999999999995</v>
      </c>
    </row>
    <row r="44" spans="1:13" ht="14.4" customHeight="1" x14ac:dyDescent="0.3">
      <c r="A44" s="478" t="s">
        <v>300</v>
      </c>
      <c r="B44" s="468" t="s">
        <v>502</v>
      </c>
      <c r="C44" s="468" t="s">
        <v>384</v>
      </c>
      <c r="D44" s="468" t="s">
        <v>385</v>
      </c>
      <c r="E44" s="468" t="s">
        <v>381</v>
      </c>
      <c r="F44" s="469">
        <v>15</v>
      </c>
      <c r="G44" s="469">
        <v>520.79999999999995</v>
      </c>
      <c r="H44" s="482">
        <v>1</v>
      </c>
      <c r="I44" s="469"/>
      <c r="J44" s="469"/>
      <c r="K44" s="482">
        <v>0</v>
      </c>
      <c r="L44" s="469">
        <v>15</v>
      </c>
      <c r="M44" s="517">
        <v>520.79999999999995</v>
      </c>
    </row>
    <row r="45" spans="1:13" ht="14.4" customHeight="1" x14ac:dyDescent="0.3">
      <c r="A45" s="478" t="s">
        <v>300</v>
      </c>
      <c r="B45" s="468" t="s">
        <v>502</v>
      </c>
      <c r="C45" s="468" t="s">
        <v>377</v>
      </c>
      <c r="D45" s="468" t="s">
        <v>378</v>
      </c>
      <c r="E45" s="468" t="s">
        <v>374</v>
      </c>
      <c r="F45" s="469">
        <v>8</v>
      </c>
      <c r="G45" s="469">
        <v>160</v>
      </c>
      <c r="H45" s="482">
        <v>1</v>
      </c>
      <c r="I45" s="469"/>
      <c r="J45" s="469"/>
      <c r="K45" s="482">
        <v>0</v>
      </c>
      <c r="L45" s="469">
        <v>8</v>
      </c>
      <c r="M45" s="517">
        <v>160</v>
      </c>
    </row>
    <row r="46" spans="1:13" ht="14.4" customHeight="1" x14ac:dyDescent="0.3">
      <c r="A46" s="478" t="s">
        <v>300</v>
      </c>
      <c r="B46" s="468" t="s">
        <v>502</v>
      </c>
      <c r="C46" s="468" t="s">
        <v>382</v>
      </c>
      <c r="D46" s="468" t="s">
        <v>383</v>
      </c>
      <c r="E46" s="468" t="s">
        <v>381</v>
      </c>
      <c r="F46" s="469">
        <v>85</v>
      </c>
      <c r="G46" s="469">
        <v>3027.7</v>
      </c>
      <c r="H46" s="482">
        <v>1</v>
      </c>
      <c r="I46" s="469"/>
      <c r="J46" s="469"/>
      <c r="K46" s="482">
        <v>0</v>
      </c>
      <c r="L46" s="469">
        <v>85</v>
      </c>
      <c r="M46" s="517">
        <v>3027.7</v>
      </c>
    </row>
    <row r="47" spans="1:13" ht="14.4" customHeight="1" x14ac:dyDescent="0.3">
      <c r="A47" s="478" t="s">
        <v>300</v>
      </c>
      <c r="B47" s="468" t="s">
        <v>502</v>
      </c>
      <c r="C47" s="468" t="s">
        <v>379</v>
      </c>
      <c r="D47" s="468" t="s">
        <v>380</v>
      </c>
      <c r="E47" s="468" t="s">
        <v>381</v>
      </c>
      <c r="F47" s="469">
        <v>85</v>
      </c>
      <c r="G47" s="469">
        <v>3027.7</v>
      </c>
      <c r="H47" s="482">
        <v>1</v>
      </c>
      <c r="I47" s="469"/>
      <c r="J47" s="469"/>
      <c r="K47" s="482">
        <v>0</v>
      </c>
      <c r="L47" s="469">
        <v>85</v>
      </c>
      <c r="M47" s="517">
        <v>3027.7</v>
      </c>
    </row>
    <row r="48" spans="1:13" ht="14.4" customHeight="1" x14ac:dyDescent="0.3">
      <c r="A48" s="478" t="s">
        <v>300</v>
      </c>
      <c r="B48" s="468" t="s">
        <v>502</v>
      </c>
      <c r="C48" s="468" t="s">
        <v>388</v>
      </c>
      <c r="D48" s="468" t="s">
        <v>323</v>
      </c>
      <c r="E48" s="468" t="s">
        <v>389</v>
      </c>
      <c r="F48" s="469">
        <v>25</v>
      </c>
      <c r="G48" s="469">
        <v>3259.75</v>
      </c>
      <c r="H48" s="482">
        <v>1</v>
      </c>
      <c r="I48" s="469"/>
      <c r="J48" s="469"/>
      <c r="K48" s="482">
        <v>0</v>
      </c>
      <c r="L48" s="469">
        <v>25</v>
      </c>
      <c r="M48" s="517">
        <v>3259.75</v>
      </c>
    </row>
    <row r="49" spans="1:13" ht="14.4" customHeight="1" x14ac:dyDescent="0.3">
      <c r="A49" s="478" t="s">
        <v>301</v>
      </c>
      <c r="B49" s="468" t="s">
        <v>502</v>
      </c>
      <c r="C49" s="468" t="s">
        <v>390</v>
      </c>
      <c r="D49" s="468" t="s">
        <v>391</v>
      </c>
      <c r="E49" s="468" t="s">
        <v>310</v>
      </c>
      <c r="F49" s="469"/>
      <c r="G49" s="469"/>
      <c r="H49" s="482">
        <v>0</v>
      </c>
      <c r="I49" s="469">
        <v>30</v>
      </c>
      <c r="J49" s="469">
        <v>947.7</v>
      </c>
      <c r="K49" s="482">
        <v>1</v>
      </c>
      <c r="L49" s="469">
        <v>30</v>
      </c>
      <c r="M49" s="517">
        <v>947.7</v>
      </c>
    </row>
    <row r="50" spans="1:13" ht="14.4" customHeight="1" x14ac:dyDescent="0.3">
      <c r="A50" s="478" t="s">
        <v>301</v>
      </c>
      <c r="B50" s="468" t="s">
        <v>502</v>
      </c>
      <c r="C50" s="468" t="s">
        <v>392</v>
      </c>
      <c r="D50" s="468" t="s">
        <v>393</v>
      </c>
      <c r="E50" s="468" t="s">
        <v>310</v>
      </c>
      <c r="F50" s="469"/>
      <c r="G50" s="469"/>
      <c r="H50" s="482">
        <v>0</v>
      </c>
      <c r="I50" s="469">
        <v>30</v>
      </c>
      <c r="J50" s="469">
        <v>947.7</v>
      </c>
      <c r="K50" s="482">
        <v>1</v>
      </c>
      <c r="L50" s="469">
        <v>30</v>
      </c>
      <c r="M50" s="517">
        <v>947.7</v>
      </c>
    </row>
    <row r="51" spans="1:13" ht="14.4" customHeight="1" x14ac:dyDescent="0.3">
      <c r="A51" s="478" t="s">
        <v>301</v>
      </c>
      <c r="B51" s="468" t="s">
        <v>502</v>
      </c>
      <c r="C51" s="468" t="s">
        <v>351</v>
      </c>
      <c r="D51" s="468" t="s">
        <v>352</v>
      </c>
      <c r="E51" s="468" t="s">
        <v>310</v>
      </c>
      <c r="F51" s="469"/>
      <c r="G51" s="469"/>
      <c r="H51" s="482">
        <v>0</v>
      </c>
      <c r="I51" s="469">
        <v>30</v>
      </c>
      <c r="J51" s="469">
        <v>947.7</v>
      </c>
      <c r="K51" s="482">
        <v>1</v>
      </c>
      <c r="L51" s="469">
        <v>30</v>
      </c>
      <c r="M51" s="517">
        <v>947.7</v>
      </c>
    </row>
    <row r="52" spans="1:13" ht="14.4" customHeight="1" x14ac:dyDescent="0.3">
      <c r="A52" s="478" t="s">
        <v>302</v>
      </c>
      <c r="B52" s="468" t="s">
        <v>502</v>
      </c>
      <c r="C52" s="468" t="s">
        <v>311</v>
      </c>
      <c r="D52" s="468" t="s">
        <v>312</v>
      </c>
      <c r="E52" s="468" t="s">
        <v>313</v>
      </c>
      <c r="F52" s="469"/>
      <c r="G52" s="469"/>
      <c r="H52" s="482">
        <v>0</v>
      </c>
      <c r="I52" s="469">
        <v>16</v>
      </c>
      <c r="J52" s="469">
        <v>1684.96</v>
      </c>
      <c r="K52" s="482">
        <v>1</v>
      </c>
      <c r="L52" s="469">
        <v>16</v>
      </c>
      <c r="M52" s="517">
        <v>1684.96</v>
      </c>
    </row>
    <row r="53" spans="1:13" ht="14.4" customHeight="1" x14ac:dyDescent="0.3">
      <c r="A53" s="478" t="s">
        <v>302</v>
      </c>
      <c r="B53" s="468" t="s">
        <v>502</v>
      </c>
      <c r="C53" s="468" t="s">
        <v>314</v>
      </c>
      <c r="D53" s="468" t="s">
        <v>315</v>
      </c>
      <c r="E53" s="468" t="s">
        <v>313</v>
      </c>
      <c r="F53" s="469"/>
      <c r="G53" s="469"/>
      <c r="H53" s="482">
        <v>0</v>
      </c>
      <c r="I53" s="469">
        <v>30</v>
      </c>
      <c r="J53" s="469">
        <v>3254.1</v>
      </c>
      <c r="K53" s="482">
        <v>1</v>
      </c>
      <c r="L53" s="469">
        <v>30</v>
      </c>
      <c r="M53" s="517">
        <v>3254.1</v>
      </c>
    </row>
    <row r="54" spans="1:13" ht="14.4" customHeight="1" x14ac:dyDescent="0.3">
      <c r="A54" s="478" t="s">
        <v>302</v>
      </c>
      <c r="B54" s="468" t="s">
        <v>502</v>
      </c>
      <c r="C54" s="468" t="s">
        <v>319</v>
      </c>
      <c r="D54" s="468" t="s">
        <v>320</v>
      </c>
      <c r="E54" s="468" t="s">
        <v>321</v>
      </c>
      <c r="F54" s="469"/>
      <c r="G54" s="469"/>
      <c r="H54" s="482">
        <v>0</v>
      </c>
      <c r="I54" s="469">
        <v>30</v>
      </c>
      <c r="J54" s="469">
        <v>7278.9</v>
      </c>
      <c r="K54" s="482">
        <v>1</v>
      </c>
      <c r="L54" s="469">
        <v>30</v>
      </c>
      <c r="M54" s="517">
        <v>7278.9</v>
      </c>
    </row>
    <row r="55" spans="1:13" ht="14.4" customHeight="1" x14ac:dyDescent="0.3">
      <c r="A55" s="478" t="s">
        <v>302</v>
      </c>
      <c r="B55" s="468" t="s">
        <v>502</v>
      </c>
      <c r="C55" s="468" t="s">
        <v>375</v>
      </c>
      <c r="D55" s="468" t="s">
        <v>376</v>
      </c>
      <c r="E55" s="468" t="s">
        <v>336</v>
      </c>
      <c r="F55" s="469">
        <v>10</v>
      </c>
      <c r="G55" s="469">
        <v>1942.6</v>
      </c>
      <c r="H55" s="482">
        <v>1</v>
      </c>
      <c r="I55" s="469"/>
      <c r="J55" s="469"/>
      <c r="K55" s="482">
        <v>0</v>
      </c>
      <c r="L55" s="469">
        <v>10</v>
      </c>
      <c r="M55" s="517">
        <v>1942.6</v>
      </c>
    </row>
    <row r="56" spans="1:13" ht="14.4" customHeight="1" x14ac:dyDescent="0.3">
      <c r="A56" s="478" t="s">
        <v>303</v>
      </c>
      <c r="B56" s="468" t="s">
        <v>503</v>
      </c>
      <c r="C56" s="468" t="s">
        <v>449</v>
      </c>
      <c r="D56" s="468" t="s">
        <v>450</v>
      </c>
      <c r="E56" s="468" t="s">
        <v>451</v>
      </c>
      <c r="F56" s="469"/>
      <c r="G56" s="469"/>
      <c r="H56" s="482">
        <v>0</v>
      </c>
      <c r="I56" s="469">
        <v>1</v>
      </c>
      <c r="J56" s="469">
        <v>174.94</v>
      </c>
      <c r="K56" s="482">
        <v>1</v>
      </c>
      <c r="L56" s="469">
        <v>1</v>
      </c>
      <c r="M56" s="517">
        <v>174.94</v>
      </c>
    </row>
    <row r="57" spans="1:13" ht="14.4" customHeight="1" x14ac:dyDescent="0.3">
      <c r="A57" s="478" t="s">
        <v>303</v>
      </c>
      <c r="B57" s="468" t="s">
        <v>504</v>
      </c>
      <c r="C57" s="468" t="s">
        <v>481</v>
      </c>
      <c r="D57" s="468" t="s">
        <v>482</v>
      </c>
      <c r="E57" s="468" t="s">
        <v>483</v>
      </c>
      <c r="F57" s="469"/>
      <c r="G57" s="469"/>
      <c r="H57" s="482">
        <v>0</v>
      </c>
      <c r="I57" s="469">
        <v>3</v>
      </c>
      <c r="J57" s="469">
        <v>420.09000000000003</v>
      </c>
      <c r="K57" s="482">
        <v>1</v>
      </c>
      <c r="L57" s="469">
        <v>3</v>
      </c>
      <c r="M57" s="517">
        <v>420.09000000000003</v>
      </c>
    </row>
    <row r="58" spans="1:13" ht="14.4" customHeight="1" x14ac:dyDescent="0.3">
      <c r="A58" s="478" t="s">
        <v>303</v>
      </c>
      <c r="B58" s="468" t="s">
        <v>505</v>
      </c>
      <c r="C58" s="468" t="s">
        <v>406</v>
      </c>
      <c r="D58" s="468" t="s">
        <v>407</v>
      </c>
      <c r="E58" s="468" t="s">
        <v>408</v>
      </c>
      <c r="F58" s="469"/>
      <c r="G58" s="469"/>
      <c r="H58" s="482">
        <v>0</v>
      </c>
      <c r="I58" s="469">
        <v>4</v>
      </c>
      <c r="J58" s="469">
        <v>627.44000000000005</v>
      </c>
      <c r="K58" s="482">
        <v>1</v>
      </c>
      <c r="L58" s="469">
        <v>4</v>
      </c>
      <c r="M58" s="517">
        <v>627.44000000000005</v>
      </c>
    </row>
    <row r="59" spans="1:13" ht="14.4" customHeight="1" x14ac:dyDescent="0.3">
      <c r="A59" s="478" t="s">
        <v>303</v>
      </c>
      <c r="B59" s="468" t="s">
        <v>506</v>
      </c>
      <c r="C59" s="468" t="s">
        <v>414</v>
      </c>
      <c r="D59" s="468" t="s">
        <v>415</v>
      </c>
      <c r="E59" s="468" t="s">
        <v>416</v>
      </c>
      <c r="F59" s="469">
        <v>1</v>
      </c>
      <c r="G59" s="469">
        <v>0</v>
      </c>
      <c r="H59" s="482"/>
      <c r="I59" s="469"/>
      <c r="J59" s="469"/>
      <c r="K59" s="482"/>
      <c r="L59" s="469">
        <v>1</v>
      </c>
      <c r="M59" s="517">
        <v>0</v>
      </c>
    </row>
    <row r="60" spans="1:13" ht="14.4" customHeight="1" x14ac:dyDescent="0.3">
      <c r="A60" s="478" t="s">
        <v>303</v>
      </c>
      <c r="B60" s="468" t="s">
        <v>507</v>
      </c>
      <c r="C60" s="468" t="s">
        <v>489</v>
      </c>
      <c r="D60" s="468" t="s">
        <v>490</v>
      </c>
      <c r="E60" s="468" t="s">
        <v>491</v>
      </c>
      <c r="F60" s="469">
        <v>1</v>
      </c>
      <c r="G60" s="469">
        <v>314.33999999999997</v>
      </c>
      <c r="H60" s="482">
        <v>1</v>
      </c>
      <c r="I60" s="469"/>
      <c r="J60" s="469"/>
      <c r="K60" s="482">
        <v>0</v>
      </c>
      <c r="L60" s="469">
        <v>1</v>
      </c>
      <c r="M60" s="517">
        <v>314.33999999999997</v>
      </c>
    </row>
    <row r="61" spans="1:13" ht="14.4" customHeight="1" x14ac:dyDescent="0.3">
      <c r="A61" s="478" t="s">
        <v>303</v>
      </c>
      <c r="B61" s="468" t="s">
        <v>502</v>
      </c>
      <c r="C61" s="468" t="s">
        <v>322</v>
      </c>
      <c r="D61" s="468" t="s">
        <v>323</v>
      </c>
      <c r="E61" s="468" t="s">
        <v>310</v>
      </c>
      <c r="F61" s="469"/>
      <c r="G61" s="469"/>
      <c r="H61" s="482">
        <v>0</v>
      </c>
      <c r="I61" s="469">
        <v>740</v>
      </c>
      <c r="J61" s="469">
        <v>24075.52</v>
      </c>
      <c r="K61" s="482">
        <v>1</v>
      </c>
      <c r="L61" s="469">
        <v>740</v>
      </c>
      <c r="M61" s="517">
        <v>24075.52</v>
      </c>
    </row>
    <row r="62" spans="1:13" ht="14.4" customHeight="1" x14ac:dyDescent="0.3">
      <c r="A62" s="478" t="s">
        <v>303</v>
      </c>
      <c r="B62" s="468" t="s">
        <v>502</v>
      </c>
      <c r="C62" s="468" t="s">
        <v>456</v>
      </c>
      <c r="D62" s="468" t="s">
        <v>457</v>
      </c>
      <c r="E62" s="468" t="s">
        <v>310</v>
      </c>
      <c r="F62" s="469"/>
      <c r="G62" s="469"/>
      <c r="H62" s="482">
        <v>0</v>
      </c>
      <c r="I62" s="469">
        <v>120</v>
      </c>
      <c r="J62" s="469">
        <v>3885.6000000000004</v>
      </c>
      <c r="K62" s="482">
        <v>1</v>
      </c>
      <c r="L62" s="469">
        <v>120</v>
      </c>
      <c r="M62" s="517">
        <v>3885.6000000000004</v>
      </c>
    </row>
    <row r="63" spans="1:13" ht="14.4" customHeight="1" x14ac:dyDescent="0.3">
      <c r="A63" s="478" t="s">
        <v>303</v>
      </c>
      <c r="B63" s="468" t="s">
        <v>502</v>
      </c>
      <c r="C63" s="468" t="s">
        <v>330</v>
      </c>
      <c r="D63" s="468" t="s">
        <v>331</v>
      </c>
      <c r="E63" s="468" t="s">
        <v>310</v>
      </c>
      <c r="F63" s="469"/>
      <c r="G63" s="469"/>
      <c r="H63" s="482">
        <v>0</v>
      </c>
      <c r="I63" s="469">
        <v>750</v>
      </c>
      <c r="J63" s="469">
        <v>24206.000000000004</v>
      </c>
      <c r="K63" s="482">
        <v>1</v>
      </c>
      <c r="L63" s="469">
        <v>750</v>
      </c>
      <c r="M63" s="517">
        <v>24206.000000000004</v>
      </c>
    </row>
    <row r="64" spans="1:13" ht="14.4" customHeight="1" x14ac:dyDescent="0.3">
      <c r="A64" s="478" t="s">
        <v>303</v>
      </c>
      <c r="B64" s="468" t="s">
        <v>502</v>
      </c>
      <c r="C64" s="468" t="s">
        <v>332</v>
      </c>
      <c r="D64" s="468" t="s">
        <v>333</v>
      </c>
      <c r="E64" s="468" t="s">
        <v>310</v>
      </c>
      <c r="F64" s="469"/>
      <c r="G64" s="469"/>
      <c r="H64" s="482">
        <v>0</v>
      </c>
      <c r="I64" s="469">
        <v>102</v>
      </c>
      <c r="J64" s="469">
        <v>3302.7600000000007</v>
      </c>
      <c r="K64" s="482">
        <v>1</v>
      </c>
      <c r="L64" s="469">
        <v>102</v>
      </c>
      <c r="M64" s="517">
        <v>3302.7600000000007</v>
      </c>
    </row>
    <row r="65" spans="1:13" ht="14.4" customHeight="1" x14ac:dyDescent="0.3">
      <c r="A65" s="478" t="s">
        <v>303</v>
      </c>
      <c r="B65" s="468" t="s">
        <v>502</v>
      </c>
      <c r="C65" s="468" t="s">
        <v>458</v>
      </c>
      <c r="D65" s="468" t="s">
        <v>459</v>
      </c>
      <c r="E65" s="468" t="s">
        <v>310</v>
      </c>
      <c r="F65" s="469"/>
      <c r="G65" s="469"/>
      <c r="H65" s="482">
        <v>0</v>
      </c>
      <c r="I65" s="469">
        <v>540</v>
      </c>
      <c r="J65" s="469">
        <v>17058.599999999999</v>
      </c>
      <c r="K65" s="482">
        <v>1</v>
      </c>
      <c r="L65" s="469">
        <v>540</v>
      </c>
      <c r="M65" s="517">
        <v>17058.599999999999</v>
      </c>
    </row>
    <row r="66" spans="1:13" ht="14.4" customHeight="1" x14ac:dyDescent="0.3">
      <c r="A66" s="478" t="s">
        <v>303</v>
      </c>
      <c r="B66" s="468" t="s">
        <v>502</v>
      </c>
      <c r="C66" s="468" t="s">
        <v>334</v>
      </c>
      <c r="D66" s="468" t="s">
        <v>335</v>
      </c>
      <c r="E66" s="468" t="s">
        <v>336</v>
      </c>
      <c r="F66" s="469"/>
      <c r="G66" s="469"/>
      <c r="H66" s="482">
        <v>0</v>
      </c>
      <c r="I66" s="469">
        <v>1609</v>
      </c>
      <c r="J66" s="469">
        <v>311516.24</v>
      </c>
      <c r="K66" s="482">
        <v>1</v>
      </c>
      <c r="L66" s="469">
        <v>1609</v>
      </c>
      <c r="M66" s="517">
        <v>311516.24</v>
      </c>
    </row>
    <row r="67" spans="1:13" ht="14.4" customHeight="1" x14ac:dyDescent="0.3">
      <c r="A67" s="478" t="s">
        <v>303</v>
      </c>
      <c r="B67" s="468" t="s">
        <v>502</v>
      </c>
      <c r="C67" s="468" t="s">
        <v>339</v>
      </c>
      <c r="D67" s="468" t="s">
        <v>340</v>
      </c>
      <c r="E67" s="468" t="s">
        <v>310</v>
      </c>
      <c r="F67" s="469"/>
      <c r="G67" s="469"/>
      <c r="H67" s="482">
        <v>0</v>
      </c>
      <c r="I67" s="469">
        <v>80</v>
      </c>
      <c r="J67" s="469">
        <v>1684.8</v>
      </c>
      <c r="K67" s="482">
        <v>1</v>
      </c>
      <c r="L67" s="469">
        <v>80</v>
      </c>
      <c r="M67" s="517">
        <v>1684.8</v>
      </c>
    </row>
    <row r="68" spans="1:13" ht="14.4" customHeight="1" x14ac:dyDescent="0.3">
      <c r="A68" s="478" t="s">
        <v>303</v>
      </c>
      <c r="B68" s="468" t="s">
        <v>502</v>
      </c>
      <c r="C68" s="468" t="s">
        <v>308</v>
      </c>
      <c r="D68" s="468" t="s">
        <v>309</v>
      </c>
      <c r="E68" s="468" t="s">
        <v>310</v>
      </c>
      <c r="F68" s="469"/>
      <c r="G68" s="469"/>
      <c r="H68" s="482">
        <v>0</v>
      </c>
      <c r="I68" s="469">
        <v>160</v>
      </c>
      <c r="J68" s="469">
        <v>3369.6000000000004</v>
      </c>
      <c r="K68" s="482">
        <v>1</v>
      </c>
      <c r="L68" s="469">
        <v>160</v>
      </c>
      <c r="M68" s="517">
        <v>3369.6000000000004</v>
      </c>
    </row>
    <row r="69" spans="1:13" ht="14.4" customHeight="1" x14ac:dyDescent="0.3">
      <c r="A69" s="478" t="s">
        <v>303</v>
      </c>
      <c r="B69" s="468" t="s">
        <v>502</v>
      </c>
      <c r="C69" s="468" t="s">
        <v>341</v>
      </c>
      <c r="D69" s="468" t="s">
        <v>342</v>
      </c>
      <c r="E69" s="468" t="s">
        <v>310</v>
      </c>
      <c r="F69" s="469"/>
      <c r="G69" s="469"/>
      <c r="H69" s="482">
        <v>0</v>
      </c>
      <c r="I69" s="469">
        <v>785</v>
      </c>
      <c r="J69" s="469">
        <v>20669.05</v>
      </c>
      <c r="K69" s="482">
        <v>1</v>
      </c>
      <c r="L69" s="469">
        <v>785</v>
      </c>
      <c r="M69" s="517">
        <v>20669.05</v>
      </c>
    </row>
    <row r="70" spans="1:13" ht="14.4" customHeight="1" x14ac:dyDescent="0.3">
      <c r="A70" s="478" t="s">
        <v>303</v>
      </c>
      <c r="B70" s="468" t="s">
        <v>502</v>
      </c>
      <c r="C70" s="468" t="s">
        <v>343</v>
      </c>
      <c r="D70" s="468" t="s">
        <v>344</v>
      </c>
      <c r="E70" s="468" t="s">
        <v>310</v>
      </c>
      <c r="F70" s="469"/>
      <c r="G70" s="469"/>
      <c r="H70" s="482">
        <v>0</v>
      </c>
      <c r="I70" s="469">
        <v>410</v>
      </c>
      <c r="J70" s="469">
        <v>10795.3</v>
      </c>
      <c r="K70" s="482">
        <v>1</v>
      </c>
      <c r="L70" s="469">
        <v>410</v>
      </c>
      <c r="M70" s="517">
        <v>10795.3</v>
      </c>
    </row>
    <row r="71" spans="1:13" ht="14.4" customHeight="1" x14ac:dyDescent="0.3">
      <c r="A71" s="478" t="s">
        <v>303</v>
      </c>
      <c r="B71" s="468" t="s">
        <v>502</v>
      </c>
      <c r="C71" s="468" t="s">
        <v>345</v>
      </c>
      <c r="D71" s="468" t="s">
        <v>346</v>
      </c>
      <c r="E71" s="468" t="s">
        <v>310</v>
      </c>
      <c r="F71" s="469"/>
      <c r="G71" s="469"/>
      <c r="H71" s="482">
        <v>0</v>
      </c>
      <c r="I71" s="469">
        <v>515</v>
      </c>
      <c r="J71" s="469">
        <v>13559.949999999999</v>
      </c>
      <c r="K71" s="482">
        <v>1</v>
      </c>
      <c r="L71" s="469">
        <v>515</v>
      </c>
      <c r="M71" s="517">
        <v>13559.949999999999</v>
      </c>
    </row>
    <row r="72" spans="1:13" ht="14.4" customHeight="1" x14ac:dyDescent="0.3">
      <c r="A72" s="478" t="s">
        <v>303</v>
      </c>
      <c r="B72" s="468" t="s">
        <v>502</v>
      </c>
      <c r="C72" s="468" t="s">
        <v>347</v>
      </c>
      <c r="D72" s="468" t="s">
        <v>348</v>
      </c>
      <c r="E72" s="468" t="s">
        <v>310</v>
      </c>
      <c r="F72" s="469"/>
      <c r="G72" s="469"/>
      <c r="H72" s="482">
        <v>0</v>
      </c>
      <c r="I72" s="469">
        <v>36</v>
      </c>
      <c r="J72" s="469">
        <v>1137.24</v>
      </c>
      <c r="K72" s="482">
        <v>1</v>
      </c>
      <c r="L72" s="469">
        <v>36</v>
      </c>
      <c r="M72" s="517">
        <v>1137.24</v>
      </c>
    </row>
    <row r="73" spans="1:13" ht="14.4" customHeight="1" x14ac:dyDescent="0.3">
      <c r="A73" s="478" t="s">
        <v>303</v>
      </c>
      <c r="B73" s="468" t="s">
        <v>502</v>
      </c>
      <c r="C73" s="468" t="s">
        <v>349</v>
      </c>
      <c r="D73" s="468" t="s">
        <v>350</v>
      </c>
      <c r="E73" s="468" t="s">
        <v>310</v>
      </c>
      <c r="F73" s="469"/>
      <c r="G73" s="469"/>
      <c r="H73" s="482">
        <v>0</v>
      </c>
      <c r="I73" s="469">
        <v>81</v>
      </c>
      <c r="J73" s="469">
        <v>2558.79</v>
      </c>
      <c r="K73" s="482">
        <v>1</v>
      </c>
      <c r="L73" s="469">
        <v>81</v>
      </c>
      <c r="M73" s="517">
        <v>2558.79</v>
      </c>
    </row>
    <row r="74" spans="1:13" ht="14.4" customHeight="1" x14ac:dyDescent="0.3">
      <c r="A74" s="478" t="s">
        <v>303</v>
      </c>
      <c r="B74" s="468" t="s">
        <v>502</v>
      </c>
      <c r="C74" s="468" t="s">
        <v>392</v>
      </c>
      <c r="D74" s="468" t="s">
        <v>393</v>
      </c>
      <c r="E74" s="468" t="s">
        <v>310</v>
      </c>
      <c r="F74" s="469"/>
      <c r="G74" s="469"/>
      <c r="H74" s="482">
        <v>0</v>
      </c>
      <c r="I74" s="469">
        <v>130</v>
      </c>
      <c r="J74" s="469">
        <v>4120.7</v>
      </c>
      <c r="K74" s="482">
        <v>1</v>
      </c>
      <c r="L74" s="469">
        <v>130</v>
      </c>
      <c r="M74" s="517">
        <v>4120.7</v>
      </c>
    </row>
    <row r="75" spans="1:13" ht="14.4" customHeight="1" x14ac:dyDescent="0.3">
      <c r="A75" s="478" t="s">
        <v>303</v>
      </c>
      <c r="B75" s="468" t="s">
        <v>502</v>
      </c>
      <c r="C75" s="468" t="s">
        <v>311</v>
      </c>
      <c r="D75" s="468" t="s">
        <v>312</v>
      </c>
      <c r="E75" s="468" t="s">
        <v>313</v>
      </c>
      <c r="F75" s="469"/>
      <c r="G75" s="469"/>
      <c r="H75" s="482">
        <v>0</v>
      </c>
      <c r="I75" s="469">
        <v>942</v>
      </c>
      <c r="J75" s="469">
        <v>99202.02</v>
      </c>
      <c r="K75" s="482">
        <v>1</v>
      </c>
      <c r="L75" s="469">
        <v>942</v>
      </c>
      <c r="M75" s="517">
        <v>99202.02</v>
      </c>
    </row>
    <row r="76" spans="1:13" ht="14.4" customHeight="1" x14ac:dyDescent="0.3">
      <c r="A76" s="478" t="s">
        <v>303</v>
      </c>
      <c r="B76" s="468" t="s">
        <v>502</v>
      </c>
      <c r="C76" s="468" t="s">
        <v>353</v>
      </c>
      <c r="D76" s="468" t="s">
        <v>312</v>
      </c>
      <c r="E76" s="468" t="s">
        <v>354</v>
      </c>
      <c r="F76" s="469"/>
      <c r="G76" s="469"/>
      <c r="H76" s="482">
        <v>0</v>
      </c>
      <c r="I76" s="469">
        <v>240</v>
      </c>
      <c r="J76" s="469">
        <v>12638.4</v>
      </c>
      <c r="K76" s="482">
        <v>1</v>
      </c>
      <c r="L76" s="469">
        <v>240</v>
      </c>
      <c r="M76" s="517">
        <v>12638.4</v>
      </c>
    </row>
    <row r="77" spans="1:13" ht="14.4" customHeight="1" x14ac:dyDescent="0.3">
      <c r="A77" s="478" t="s">
        <v>303</v>
      </c>
      <c r="B77" s="468" t="s">
        <v>502</v>
      </c>
      <c r="C77" s="468" t="s">
        <v>314</v>
      </c>
      <c r="D77" s="468" t="s">
        <v>315</v>
      </c>
      <c r="E77" s="468" t="s">
        <v>313</v>
      </c>
      <c r="F77" s="469"/>
      <c r="G77" s="469"/>
      <c r="H77" s="482">
        <v>0</v>
      </c>
      <c r="I77" s="469">
        <v>3598</v>
      </c>
      <c r="J77" s="469">
        <v>390275.06</v>
      </c>
      <c r="K77" s="482">
        <v>1</v>
      </c>
      <c r="L77" s="469">
        <v>3598</v>
      </c>
      <c r="M77" s="517">
        <v>390275.06</v>
      </c>
    </row>
    <row r="78" spans="1:13" ht="14.4" customHeight="1" x14ac:dyDescent="0.3">
      <c r="A78" s="478" t="s">
        <v>303</v>
      </c>
      <c r="B78" s="468" t="s">
        <v>502</v>
      </c>
      <c r="C78" s="468" t="s">
        <v>356</v>
      </c>
      <c r="D78" s="468" t="s">
        <v>357</v>
      </c>
      <c r="E78" s="468" t="s">
        <v>310</v>
      </c>
      <c r="F78" s="469"/>
      <c r="G78" s="469"/>
      <c r="H78" s="482">
        <v>0</v>
      </c>
      <c r="I78" s="469">
        <v>20</v>
      </c>
      <c r="J78" s="469">
        <v>438.2</v>
      </c>
      <c r="K78" s="482">
        <v>1</v>
      </c>
      <c r="L78" s="469">
        <v>20</v>
      </c>
      <c r="M78" s="517">
        <v>438.2</v>
      </c>
    </row>
    <row r="79" spans="1:13" ht="14.4" customHeight="1" x14ac:dyDescent="0.3">
      <c r="A79" s="478" t="s">
        <v>303</v>
      </c>
      <c r="B79" s="468" t="s">
        <v>502</v>
      </c>
      <c r="C79" s="468" t="s">
        <v>358</v>
      </c>
      <c r="D79" s="468" t="s">
        <v>359</v>
      </c>
      <c r="E79" s="468" t="s">
        <v>310</v>
      </c>
      <c r="F79" s="469"/>
      <c r="G79" s="469"/>
      <c r="H79" s="482">
        <v>0</v>
      </c>
      <c r="I79" s="469">
        <v>70</v>
      </c>
      <c r="J79" s="469">
        <v>2266.6000000000004</v>
      </c>
      <c r="K79" s="482">
        <v>1</v>
      </c>
      <c r="L79" s="469">
        <v>70</v>
      </c>
      <c r="M79" s="517">
        <v>2266.6000000000004</v>
      </c>
    </row>
    <row r="80" spans="1:13" ht="14.4" customHeight="1" x14ac:dyDescent="0.3">
      <c r="A80" s="478" t="s">
        <v>303</v>
      </c>
      <c r="B80" s="468" t="s">
        <v>502</v>
      </c>
      <c r="C80" s="468" t="s">
        <v>316</v>
      </c>
      <c r="D80" s="468" t="s">
        <v>317</v>
      </c>
      <c r="E80" s="468" t="s">
        <v>318</v>
      </c>
      <c r="F80" s="469"/>
      <c r="G80" s="469"/>
      <c r="H80" s="482">
        <v>0</v>
      </c>
      <c r="I80" s="469">
        <v>7</v>
      </c>
      <c r="J80" s="469">
        <v>891.38000000000011</v>
      </c>
      <c r="K80" s="482">
        <v>1</v>
      </c>
      <c r="L80" s="469">
        <v>7</v>
      </c>
      <c r="M80" s="517">
        <v>891.38000000000011</v>
      </c>
    </row>
    <row r="81" spans="1:13" ht="14.4" customHeight="1" x14ac:dyDescent="0.3">
      <c r="A81" s="478" t="s">
        <v>303</v>
      </c>
      <c r="B81" s="468" t="s">
        <v>502</v>
      </c>
      <c r="C81" s="468" t="s">
        <v>367</v>
      </c>
      <c r="D81" s="468" t="s">
        <v>368</v>
      </c>
      <c r="E81" s="468" t="s">
        <v>318</v>
      </c>
      <c r="F81" s="469"/>
      <c r="G81" s="469"/>
      <c r="H81" s="482">
        <v>0</v>
      </c>
      <c r="I81" s="469">
        <v>20</v>
      </c>
      <c r="J81" s="469">
        <v>2546.8000000000002</v>
      </c>
      <c r="K81" s="482">
        <v>1</v>
      </c>
      <c r="L81" s="469">
        <v>20</v>
      </c>
      <c r="M81" s="517">
        <v>2546.8000000000002</v>
      </c>
    </row>
    <row r="82" spans="1:13" ht="14.4" customHeight="1" x14ac:dyDescent="0.3">
      <c r="A82" s="478" t="s">
        <v>303</v>
      </c>
      <c r="B82" s="468" t="s">
        <v>502</v>
      </c>
      <c r="C82" s="468" t="s">
        <v>355</v>
      </c>
      <c r="D82" s="468" t="s">
        <v>320</v>
      </c>
      <c r="E82" s="468" t="s">
        <v>313</v>
      </c>
      <c r="F82" s="469"/>
      <c r="G82" s="469"/>
      <c r="H82" s="482">
        <v>0</v>
      </c>
      <c r="I82" s="469">
        <v>565</v>
      </c>
      <c r="J82" s="469">
        <v>91688.2</v>
      </c>
      <c r="K82" s="482">
        <v>1</v>
      </c>
      <c r="L82" s="469">
        <v>565</v>
      </c>
      <c r="M82" s="517">
        <v>91688.2</v>
      </c>
    </row>
    <row r="83" spans="1:13" ht="14.4" customHeight="1" x14ac:dyDescent="0.3">
      <c r="A83" s="478" t="s">
        <v>303</v>
      </c>
      <c r="B83" s="468" t="s">
        <v>502</v>
      </c>
      <c r="C83" s="468" t="s">
        <v>460</v>
      </c>
      <c r="D83" s="468" t="s">
        <v>461</v>
      </c>
      <c r="E83" s="468" t="s">
        <v>318</v>
      </c>
      <c r="F83" s="469"/>
      <c r="G83" s="469"/>
      <c r="H83" s="482">
        <v>0</v>
      </c>
      <c r="I83" s="469">
        <v>2</v>
      </c>
      <c r="J83" s="469">
        <v>259.02</v>
      </c>
      <c r="K83" s="482">
        <v>1</v>
      </c>
      <c r="L83" s="469">
        <v>2</v>
      </c>
      <c r="M83" s="517">
        <v>259.02</v>
      </c>
    </row>
    <row r="84" spans="1:13" ht="14.4" customHeight="1" x14ac:dyDescent="0.3">
      <c r="A84" s="478" t="s">
        <v>303</v>
      </c>
      <c r="B84" s="468" t="s">
        <v>502</v>
      </c>
      <c r="C84" s="468" t="s">
        <v>462</v>
      </c>
      <c r="D84" s="468" t="s">
        <v>463</v>
      </c>
      <c r="E84" s="468" t="s">
        <v>364</v>
      </c>
      <c r="F84" s="469"/>
      <c r="G84" s="469"/>
      <c r="H84" s="482">
        <v>0</v>
      </c>
      <c r="I84" s="469">
        <v>1</v>
      </c>
      <c r="J84" s="469">
        <v>84.89</v>
      </c>
      <c r="K84" s="482">
        <v>1</v>
      </c>
      <c r="L84" s="469">
        <v>1</v>
      </c>
      <c r="M84" s="517">
        <v>84.89</v>
      </c>
    </row>
    <row r="85" spans="1:13" ht="14.4" customHeight="1" x14ac:dyDescent="0.3">
      <c r="A85" s="478" t="s">
        <v>303</v>
      </c>
      <c r="B85" s="468" t="s">
        <v>502</v>
      </c>
      <c r="C85" s="468" t="s">
        <v>464</v>
      </c>
      <c r="D85" s="468" t="s">
        <v>465</v>
      </c>
      <c r="E85" s="468" t="s">
        <v>318</v>
      </c>
      <c r="F85" s="469"/>
      <c r="G85" s="469"/>
      <c r="H85" s="482">
        <v>0</v>
      </c>
      <c r="I85" s="469">
        <v>140</v>
      </c>
      <c r="J85" s="469">
        <v>17764</v>
      </c>
      <c r="K85" s="482">
        <v>1</v>
      </c>
      <c r="L85" s="469">
        <v>140</v>
      </c>
      <c r="M85" s="517">
        <v>17764</v>
      </c>
    </row>
    <row r="86" spans="1:13" ht="14.4" customHeight="1" x14ac:dyDescent="0.3">
      <c r="A86" s="478" t="s">
        <v>303</v>
      </c>
      <c r="B86" s="468" t="s">
        <v>502</v>
      </c>
      <c r="C86" s="468" t="s">
        <v>466</v>
      </c>
      <c r="D86" s="468" t="s">
        <v>467</v>
      </c>
      <c r="E86" s="468" t="s">
        <v>364</v>
      </c>
      <c r="F86" s="469"/>
      <c r="G86" s="469"/>
      <c r="H86" s="482">
        <v>0</v>
      </c>
      <c r="I86" s="469">
        <v>2</v>
      </c>
      <c r="J86" s="469">
        <v>169.78</v>
      </c>
      <c r="K86" s="482">
        <v>1</v>
      </c>
      <c r="L86" s="469">
        <v>2</v>
      </c>
      <c r="M86" s="517">
        <v>169.78</v>
      </c>
    </row>
    <row r="87" spans="1:13" ht="14.4" customHeight="1" x14ac:dyDescent="0.3">
      <c r="A87" s="478" t="s">
        <v>303</v>
      </c>
      <c r="B87" s="468" t="s">
        <v>502</v>
      </c>
      <c r="C87" s="468" t="s">
        <v>365</v>
      </c>
      <c r="D87" s="468" t="s">
        <v>366</v>
      </c>
      <c r="E87" s="468" t="s">
        <v>364</v>
      </c>
      <c r="F87" s="469"/>
      <c r="G87" s="469"/>
      <c r="H87" s="482">
        <v>0</v>
      </c>
      <c r="I87" s="469">
        <v>2</v>
      </c>
      <c r="J87" s="469">
        <v>169.78</v>
      </c>
      <c r="K87" s="482">
        <v>1</v>
      </c>
      <c r="L87" s="469">
        <v>2</v>
      </c>
      <c r="M87" s="517">
        <v>169.78</v>
      </c>
    </row>
    <row r="88" spans="1:13" ht="14.4" customHeight="1" x14ac:dyDescent="0.3">
      <c r="A88" s="478" t="s">
        <v>303</v>
      </c>
      <c r="B88" s="468" t="s">
        <v>502</v>
      </c>
      <c r="C88" s="468" t="s">
        <v>470</v>
      </c>
      <c r="D88" s="468" t="s">
        <v>471</v>
      </c>
      <c r="E88" s="468" t="s">
        <v>381</v>
      </c>
      <c r="F88" s="469">
        <v>120</v>
      </c>
      <c r="G88" s="469">
        <v>4166.3999999999996</v>
      </c>
      <c r="H88" s="482">
        <v>1</v>
      </c>
      <c r="I88" s="469"/>
      <c r="J88" s="469"/>
      <c r="K88" s="482">
        <v>0</v>
      </c>
      <c r="L88" s="469">
        <v>120</v>
      </c>
      <c r="M88" s="517">
        <v>4166.3999999999996</v>
      </c>
    </row>
    <row r="89" spans="1:13" ht="14.4" customHeight="1" x14ac:dyDescent="0.3">
      <c r="A89" s="478" t="s">
        <v>303</v>
      </c>
      <c r="B89" s="468" t="s">
        <v>502</v>
      </c>
      <c r="C89" s="468" t="s">
        <v>468</v>
      </c>
      <c r="D89" s="468" t="s">
        <v>469</v>
      </c>
      <c r="E89" s="468" t="s">
        <v>389</v>
      </c>
      <c r="F89" s="469">
        <v>20</v>
      </c>
      <c r="G89" s="469">
        <v>3432.5499999999997</v>
      </c>
      <c r="H89" s="482">
        <v>1</v>
      </c>
      <c r="I89" s="469"/>
      <c r="J89" s="469"/>
      <c r="K89" s="482">
        <v>0</v>
      </c>
      <c r="L89" s="469">
        <v>20</v>
      </c>
      <c r="M89" s="517">
        <v>3432.5499999999997</v>
      </c>
    </row>
    <row r="90" spans="1:13" ht="14.4" customHeight="1" x14ac:dyDescent="0.3">
      <c r="A90" s="478" t="s">
        <v>303</v>
      </c>
      <c r="B90" s="468" t="s">
        <v>502</v>
      </c>
      <c r="C90" s="468" t="s">
        <v>319</v>
      </c>
      <c r="D90" s="468" t="s">
        <v>320</v>
      </c>
      <c r="E90" s="468" t="s">
        <v>321</v>
      </c>
      <c r="F90" s="469"/>
      <c r="G90" s="469"/>
      <c r="H90" s="482">
        <v>0</v>
      </c>
      <c r="I90" s="469">
        <v>1745</v>
      </c>
      <c r="J90" s="469">
        <v>423389.34999999992</v>
      </c>
      <c r="K90" s="482">
        <v>1</v>
      </c>
      <c r="L90" s="469">
        <v>1745</v>
      </c>
      <c r="M90" s="517">
        <v>423389.34999999992</v>
      </c>
    </row>
    <row r="91" spans="1:13" ht="14.4" customHeight="1" x14ac:dyDescent="0.3">
      <c r="A91" s="478" t="s">
        <v>303</v>
      </c>
      <c r="B91" s="468" t="s">
        <v>502</v>
      </c>
      <c r="C91" s="468" t="s">
        <v>472</v>
      </c>
      <c r="D91" s="468" t="s">
        <v>320</v>
      </c>
      <c r="E91" s="468" t="s">
        <v>473</v>
      </c>
      <c r="F91" s="469"/>
      <c r="G91" s="469"/>
      <c r="H91" s="482">
        <v>0</v>
      </c>
      <c r="I91" s="469">
        <v>21</v>
      </c>
      <c r="J91" s="469">
        <v>30471.839999999997</v>
      </c>
      <c r="K91" s="482">
        <v>1</v>
      </c>
      <c r="L91" s="469">
        <v>21</v>
      </c>
      <c r="M91" s="517">
        <v>30471.839999999997</v>
      </c>
    </row>
    <row r="92" spans="1:13" ht="14.4" customHeight="1" x14ac:dyDescent="0.3">
      <c r="A92" s="478" t="s">
        <v>303</v>
      </c>
      <c r="B92" s="468" t="s">
        <v>502</v>
      </c>
      <c r="C92" s="468" t="s">
        <v>375</v>
      </c>
      <c r="D92" s="468" t="s">
        <v>376</v>
      </c>
      <c r="E92" s="468" t="s">
        <v>336</v>
      </c>
      <c r="F92" s="469">
        <v>139</v>
      </c>
      <c r="G92" s="469">
        <v>27002.14</v>
      </c>
      <c r="H92" s="482">
        <v>1</v>
      </c>
      <c r="I92" s="469"/>
      <c r="J92" s="469"/>
      <c r="K92" s="482">
        <v>0</v>
      </c>
      <c r="L92" s="469">
        <v>139</v>
      </c>
      <c r="M92" s="517">
        <v>27002.14</v>
      </c>
    </row>
    <row r="93" spans="1:13" ht="14.4" customHeight="1" x14ac:dyDescent="0.3">
      <c r="A93" s="478" t="s">
        <v>303</v>
      </c>
      <c r="B93" s="468" t="s">
        <v>502</v>
      </c>
      <c r="C93" s="468" t="s">
        <v>474</v>
      </c>
      <c r="D93" s="468" t="s">
        <v>475</v>
      </c>
      <c r="E93" s="468" t="s">
        <v>389</v>
      </c>
      <c r="F93" s="469">
        <v>60</v>
      </c>
      <c r="G93" s="469">
        <v>7770.5999999999995</v>
      </c>
      <c r="H93" s="482">
        <v>1</v>
      </c>
      <c r="I93" s="469"/>
      <c r="J93" s="469"/>
      <c r="K93" s="482">
        <v>0</v>
      </c>
      <c r="L93" s="469">
        <v>60</v>
      </c>
      <c r="M93" s="517">
        <v>7770.5999999999995</v>
      </c>
    </row>
    <row r="94" spans="1:13" ht="14.4" customHeight="1" x14ac:dyDescent="0.3">
      <c r="A94" s="478" t="s">
        <v>303</v>
      </c>
      <c r="B94" s="468" t="s">
        <v>502</v>
      </c>
      <c r="C94" s="468" t="s">
        <v>476</v>
      </c>
      <c r="D94" s="468" t="s">
        <v>477</v>
      </c>
      <c r="E94" s="468" t="s">
        <v>313</v>
      </c>
      <c r="F94" s="469"/>
      <c r="G94" s="469"/>
      <c r="H94" s="482">
        <v>0</v>
      </c>
      <c r="I94" s="469">
        <v>90</v>
      </c>
      <c r="J94" s="469">
        <v>9000</v>
      </c>
      <c r="K94" s="482">
        <v>1</v>
      </c>
      <c r="L94" s="469">
        <v>90</v>
      </c>
      <c r="M94" s="517">
        <v>9000</v>
      </c>
    </row>
    <row r="95" spans="1:13" ht="14.4" customHeight="1" thickBot="1" x14ac:dyDescent="0.35">
      <c r="A95" s="479" t="s">
        <v>303</v>
      </c>
      <c r="B95" s="471" t="s">
        <v>502</v>
      </c>
      <c r="C95" s="471" t="s">
        <v>478</v>
      </c>
      <c r="D95" s="471" t="s">
        <v>479</v>
      </c>
      <c r="E95" s="471" t="s">
        <v>381</v>
      </c>
      <c r="F95" s="472">
        <v>30</v>
      </c>
      <c r="G95" s="472">
        <v>1042.8</v>
      </c>
      <c r="H95" s="484">
        <v>1</v>
      </c>
      <c r="I95" s="472"/>
      <c r="J95" s="472"/>
      <c r="K95" s="484">
        <v>0</v>
      </c>
      <c r="L95" s="472">
        <v>30</v>
      </c>
      <c r="M95" s="518">
        <v>1042.8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0" t="s">
        <v>135</v>
      </c>
      <c r="B1" s="351"/>
      <c r="C1" s="351"/>
      <c r="D1" s="351"/>
      <c r="E1" s="351"/>
      <c r="F1" s="351"/>
      <c r="G1" s="322"/>
      <c r="H1" s="352"/>
      <c r="I1" s="352"/>
    </row>
    <row r="2" spans="1:10" ht="14.4" customHeight="1" thickBot="1" x14ac:dyDescent="0.35">
      <c r="A2" s="231" t="s">
        <v>244</v>
      </c>
      <c r="B2" s="207"/>
      <c r="C2" s="207"/>
      <c r="D2" s="207"/>
      <c r="E2" s="207"/>
      <c r="F2" s="207"/>
    </row>
    <row r="3" spans="1:10" ht="14.4" customHeight="1" thickBot="1" x14ac:dyDescent="0.35">
      <c r="A3" s="231"/>
      <c r="B3" s="207"/>
      <c r="C3" s="299">
        <v>2012</v>
      </c>
      <c r="D3" s="300">
        <v>2013</v>
      </c>
      <c r="E3" s="7"/>
      <c r="F3" s="345">
        <v>2014</v>
      </c>
      <c r="G3" s="346"/>
      <c r="H3" s="346"/>
      <c r="I3" s="347"/>
    </row>
    <row r="4" spans="1:10" ht="14.4" customHeight="1" thickBot="1" x14ac:dyDescent="0.35">
      <c r="A4" s="304" t="s">
        <v>0</v>
      </c>
      <c r="B4" s="305" t="s">
        <v>240</v>
      </c>
      <c r="C4" s="348" t="s">
        <v>71</v>
      </c>
      <c r="D4" s="349"/>
      <c r="E4" s="306"/>
      <c r="F4" s="301" t="s">
        <v>71</v>
      </c>
      <c r="G4" s="302" t="s">
        <v>72</v>
      </c>
      <c r="H4" s="302" t="s">
        <v>66</v>
      </c>
      <c r="I4" s="303" t="s">
        <v>73</v>
      </c>
    </row>
    <row r="5" spans="1:10" ht="14.4" customHeight="1" x14ac:dyDescent="0.3">
      <c r="A5" s="454" t="s">
        <v>293</v>
      </c>
      <c r="B5" s="455" t="s">
        <v>289</v>
      </c>
      <c r="C5" s="533" t="s">
        <v>292</v>
      </c>
      <c r="D5" s="533" t="s">
        <v>292</v>
      </c>
      <c r="E5" s="533"/>
      <c r="F5" s="533" t="s">
        <v>292</v>
      </c>
      <c r="G5" s="533" t="s">
        <v>292</v>
      </c>
      <c r="H5" s="533" t="s">
        <v>292</v>
      </c>
      <c r="I5" s="534" t="s">
        <v>292</v>
      </c>
      <c r="J5" s="456" t="s">
        <v>67</v>
      </c>
    </row>
    <row r="6" spans="1:10" ht="14.4" customHeight="1" x14ac:dyDescent="0.3">
      <c r="A6" s="454" t="s">
        <v>293</v>
      </c>
      <c r="B6" s="455" t="s">
        <v>254</v>
      </c>
      <c r="C6" s="533">
        <v>11.594580000000001</v>
      </c>
      <c r="D6" s="533">
        <v>13.07469</v>
      </c>
      <c r="E6" s="533"/>
      <c r="F6" s="533">
        <v>16.543959999999998</v>
      </c>
      <c r="G6" s="533">
        <v>21.488710377449333</v>
      </c>
      <c r="H6" s="533">
        <v>-4.9447503774493349</v>
      </c>
      <c r="I6" s="534">
        <v>0.76989078029370939</v>
      </c>
      <c r="J6" s="456" t="s">
        <v>1</v>
      </c>
    </row>
    <row r="7" spans="1:10" ht="14.4" customHeight="1" x14ac:dyDescent="0.3">
      <c r="A7" s="454" t="s">
        <v>293</v>
      </c>
      <c r="B7" s="455" t="s">
        <v>255</v>
      </c>
      <c r="C7" s="533">
        <v>38.01442999999999</v>
      </c>
      <c r="D7" s="533">
        <v>180.53028</v>
      </c>
      <c r="E7" s="533"/>
      <c r="F7" s="533">
        <v>280.08735999999999</v>
      </c>
      <c r="G7" s="533">
        <v>290.36856361888192</v>
      </c>
      <c r="H7" s="533">
        <v>-10.281203618881932</v>
      </c>
      <c r="I7" s="534">
        <v>0.96459257334627879</v>
      </c>
      <c r="J7" s="456" t="s">
        <v>1</v>
      </c>
    </row>
    <row r="8" spans="1:10" ht="14.4" customHeight="1" x14ac:dyDescent="0.3">
      <c r="A8" s="454" t="s">
        <v>293</v>
      </c>
      <c r="B8" s="455" t="s">
        <v>256</v>
      </c>
      <c r="C8" s="533">
        <v>5.4630999999999998</v>
      </c>
      <c r="D8" s="533">
        <v>33.820499999999996</v>
      </c>
      <c r="E8" s="533"/>
      <c r="F8" s="533">
        <v>45.231820000000006</v>
      </c>
      <c r="G8" s="533">
        <v>49.143966315841837</v>
      </c>
      <c r="H8" s="533">
        <v>-3.9121463158418308</v>
      </c>
      <c r="I8" s="534">
        <v>0.92039416821387643</v>
      </c>
      <c r="J8" s="456" t="s">
        <v>1</v>
      </c>
    </row>
    <row r="9" spans="1:10" ht="14.4" customHeight="1" x14ac:dyDescent="0.3">
      <c r="A9" s="454" t="s">
        <v>293</v>
      </c>
      <c r="B9" s="455" t="s">
        <v>257</v>
      </c>
      <c r="C9" s="533">
        <v>3.5524</v>
      </c>
      <c r="D9" s="533">
        <v>5.2878000000000007</v>
      </c>
      <c r="E9" s="533"/>
      <c r="F9" s="533">
        <v>11.99492</v>
      </c>
      <c r="G9" s="533">
        <v>15.699899210239749</v>
      </c>
      <c r="H9" s="533">
        <v>-3.704979210239749</v>
      </c>
      <c r="I9" s="534">
        <v>0.76401254806634067</v>
      </c>
      <c r="J9" s="456" t="s">
        <v>1</v>
      </c>
    </row>
    <row r="10" spans="1:10" ht="14.4" customHeight="1" x14ac:dyDescent="0.3">
      <c r="A10" s="454" t="s">
        <v>293</v>
      </c>
      <c r="B10" s="455" t="s">
        <v>258</v>
      </c>
      <c r="C10" s="533">
        <v>8.5906400000000005</v>
      </c>
      <c r="D10" s="533">
        <v>14.329969999999999</v>
      </c>
      <c r="E10" s="533"/>
      <c r="F10" s="533">
        <v>11.973599999999999</v>
      </c>
      <c r="G10" s="533">
        <v>13.949189419681083</v>
      </c>
      <c r="H10" s="533">
        <v>-1.9755894196810839</v>
      </c>
      <c r="I10" s="534">
        <v>0.8583724573347824</v>
      </c>
      <c r="J10" s="456" t="s">
        <v>1</v>
      </c>
    </row>
    <row r="11" spans="1:10" ht="14.4" customHeight="1" x14ac:dyDescent="0.3">
      <c r="A11" s="454" t="s">
        <v>293</v>
      </c>
      <c r="B11" s="455" t="s">
        <v>259</v>
      </c>
      <c r="C11" s="533" t="s">
        <v>292</v>
      </c>
      <c r="D11" s="533">
        <v>13.64917</v>
      </c>
      <c r="E11" s="533"/>
      <c r="F11" s="533">
        <v>13.887780000000001</v>
      </c>
      <c r="G11" s="533">
        <v>17.095014201717834</v>
      </c>
      <c r="H11" s="533">
        <v>-3.2072342017178332</v>
      </c>
      <c r="I11" s="534">
        <v>0.81238774277265313</v>
      </c>
      <c r="J11" s="456" t="s">
        <v>1</v>
      </c>
    </row>
    <row r="12" spans="1:10" ht="14.4" customHeight="1" x14ac:dyDescent="0.3">
      <c r="A12" s="454" t="s">
        <v>293</v>
      </c>
      <c r="B12" s="455" t="s">
        <v>296</v>
      </c>
      <c r="C12" s="533">
        <v>67.215149999999994</v>
      </c>
      <c r="D12" s="533">
        <v>260.69241000000005</v>
      </c>
      <c r="E12" s="533"/>
      <c r="F12" s="533">
        <v>379.71943999999996</v>
      </c>
      <c r="G12" s="533">
        <v>407.74534314381179</v>
      </c>
      <c r="H12" s="533">
        <v>-28.025903143811831</v>
      </c>
      <c r="I12" s="534">
        <v>0.93126616007990293</v>
      </c>
      <c r="J12" s="456" t="s">
        <v>294</v>
      </c>
    </row>
    <row r="14" spans="1:10" ht="14.4" customHeight="1" x14ac:dyDescent="0.3">
      <c r="A14" s="454" t="s">
        <v>293</v>
      </c>
      <c r="B14" s="455" t="s">
        <v>289</v>
      </c>
      <c r="C14" s="533" t="s">
        <v>292</v>
      </c>
      <c r="D14" s="533" t="s">
        <v>292</v>
      </c>
      <c r="E14" s="533"/>
      <c r="F14" s="533" t="s">
        <v>292</v>
      </c>
      <c r="G14" s="533" t="s">
        <v>292</v>
      </c>
      <c r="H14" s="533" t="s">
        <v>292</v>
      </c>
      <c r="I14" s="534" t="s">
        <v>292</v>
      </c>
      <c r="J14" s="456" t="s">
        <v>67</v>
      </c>
    </row>
    <row r="15" spans="1:10" ht="14.4" customHeight="1" x14ac:dyDescent="0.3">
      <c r="A15" s="454" t="s">
        <v>509</v>
      </c>
      <c r="B15" s="455" t="s">
        <v>510</v>
      </c>
      <c r="C15" s="533" t="s">
        <v>292</v>
      </c>
      <c r="D15" s="533" t="s">
        <v>292</v>
      </c>
      <c r="E15" s="533"/>
      <c r="F15" s="533" t="s">
        <v>292</v>
      </c>
      <c r="G15" s="533" t="s">
        <v>292</v>
      </c>
      <c r="H15" s="533" t="s">
        <v>292</v>
      </c>
      <c r="I15" s="534" t="s">
        <v>292</v>
      </c>
      <c r="J15" s="456" t="s">
        <v>0</v>
      </c>
    </row>
    <row r="16" spans="1:10" ht="14.4" customHeight="1" x14ac:dyDescent="0.3">
      <c r="A16" s="454" t="s">
        <v>509</v>
      </c>
      <c r="B16" s="455" t="s">
        <v>254</v>
      </c>
      <c r="C16" s="533">
        <v>11.594580000000001</v>
      </c>
      <c r="D16" s="533">
        <v>13.07469</v>
      </c>
      <c r="E16" s="533"/>
      <c r="F16" s="533">
        <v>16.543959999999998</v>
      </c>
      <c r="G16" s="533">
        <v>21.488710377449333</v>
      </c>
      <c r="H16" s="533">
        <v>-4.9447503774493349</v>
      </c>
      <c r="I16" s="534">
        <v>0.76989078029370939</v>
      </c>
      <c r="J16" s="456" t="s">
        <v>1</v>
      </c>
    </row>
    <row r="17" spans="1:10" ht="14.4" customHeight="1" x14ac:dyDescent="0.3">
      <c r="A17" s="454" t="s">
        <v>509</v>
      </c>
      <c r="B17" s="455" t="s">
        <v>255</v>
      </c>
      <c r="C17" s="533">
        <v>38.01442999999999</v>
      </c>
      <c r="D17" s="533">
        <v>180.53028</v>
      </c>
      <c r="E17" s="533"/>
      <c r="F17" s="533">
        <v>280.08735999999999</v>
      </c>
      <c r="G17" s="533">
        <v>290.36856361888192</v>
      </c>
      <c r="H17" s="533">
        <v>-10.281203618881932</v>
      </c>
      <c r="I17" s="534">
        <v>0.96459257334627879</v>
      </c>
      <c r="J17" s="456" t="s">
        <v>1</v>
      </c>
    </row>
    <row r="18" spans="1:10" ht="14.4" customHeight="1" x14ac:dyDescent="0.3">
      <c r="A18" s="454" t="s">
        <v>509</v>
      </c>
      <c r="B18" s="455" t="s">
        <v>256</v>
      </c>
      <c r="C18" s="533">
        <v>5.4630999999999998</v>
      </c>
      <c r="D18" s="533">
        <v>33.820499999999996</v>
      </c>
      <c r="E18" s="533"/>
      <c r="F18" s="533">
        <v>45.231820000000006</v>
      </c>
      <c r="G18" s="533">
        <v>49.143966315841837</v>
      </c>
      <c r="H18" s="533">
        <v>-3.9121463158418308</v>
      </c>
      <c r="I18" s="534">
        <v>0.92039416821387643</v>
      </c>
      <c r="J18" s="456" t="s">
        <v>1</v>
      </c>
    </row>
    <row r="19" spans="1:10" ht="14.4" customHeight="1" x14ac:dyDescent="0.3">
      <c r="A19" s="454" t="s">
        <v>509</v>
      </c>
      <c r="B19" s="455" t="s">
        <v>257</v>
      </c>
      <c r="C19" s="533">
        <v>3.5524</v>
      </c>
      <c r="D19" s="533">
        <v>5.2878000000000007</v>
      </c>
      <c r="E19" s="533"/>
      <c r="F19" s="533">
        <v>11.99492</v>
      </c>
      <c r="G19" s="533">
        <v>15.699899210239749</v>
      </c>
      <c r="H19" s="533">
        <v>-3.704979210239749</v>
      </c>
      <c r="I19" s="534">
        <v>0.76401254806634067</v>
      </c>
      <c r="J19" s="456" t="s">
        <v>1</v>
      </c>
    </row>
    <row r="20" spans="1:10" ht="14.4" customHeight="1" x14ac:dyDescent="0.3">
      <c r="A20" s="454" t="s">
        <v>509</v>
      </c>
      <c r="B20" s="455" t="s">
        <v>258</v>
      </c>
      <c r="C20" s="533">
        <v>8.5906400000000005</v>
      </c>
      <c r="D20" s="533">
        <v>14.329969999999999</v>
      </c>
      <c r="E20" s="533"/>
      <c r="F20" s="533">
        <v>11.973599999999999</v>
      </c>
      <c r="G20" s="533">
        <v>13.949189419681083</v>
      </c>
      <c r="H20" s="533">
        <v>-1.9755894196810839</v>
      </c>
      <c r="I20" s="534">
        <v>0.8583724573347824</v>
      </c>
      <c r="J20" s="456" t="s">
        <v>1</v>
      </c>
    </row>
    <row r="21" spans="1:10" ht="14.4" customHeight="1" x14ac:dyDescent="0.3">
      <c r="A21" s="454" t="s">
        <v>509</v>
      </c>
      <c r="B21" s="455" t="s">
        <v>259</v>
      </c>
      <c r="C21" s="533" t="s">
        <v>292</v>
      </c>
      <c r="D21" s="533">
        <v>13.64917</v>
      </c>
      <c r="E21" s="533"/>
      <c r="F21" s="533">
        <v>13.887780000000001</v>
      </c>
      <c r="G21" s="533">
        <v>17.095014201717834</v>
      </c>
      <c r="H21" s="533">
        <v>-3.2072342017178332</v>
      </c>
      <c r="I21" s="534">
        <v>0.81238774277265313</v>
      </c>
      <c r="J21" s="456" t="s">
        <v>1</v>
      </c>
    </row>
    <row r="22" spans="1:10" ht="14.4" customHeight="1" x14ac:dyDescent="0.3">
      <c r="A22" s="454" t="s">
        <v>509</v>
      </c>
      <c r="B22" s="455" t="s">
        <v>511</v>
      </c>
      <c r="C22" s="533">
        <v>67.215149999999994</v>
      </c>
      <c r="D22" s="533">
        <v>260.69241000000005</v>
      </c>
      <c r="E22" s="533"/>
      <c r="F22" s="533">
        <v>379.71943999999996</v>
      </c>
      <c r="G22" s="533">
        <v>407.74534314381179</v>
      </c>
      <c r="H22" s="533">
        <v>-28.025903143811831</v>
      </c>
      <c r="I22" s="534">
        <v>0.93126616007990293</v>
      </c>
      <c r="J22" s="456" t="s">
        <v>297</v>
      </c>
    </row>
    <row r="23" spans="1:10" ht="14.4" customHeight="1" x14ac:dyDescent="0.3">
      <c r="A23" s="454" t="s">
        <v>292</v>
      </c>
      <c r="B23" s="455" t="s">
        <v>292</v>
      </c>
      <c r="C23" s="533" t="s">
        <v>292</v>
      </c>
      <c r="D23" s="533" t="s">
        <v>292</v>
      </c>
      <c r="E23" s="533"/>
      <c r="F23" s="533" t="s">
        <v>292</v>
      </c>
      <c r="G23" s="533" t="s">
        <v>292</v>
      </c>
      <c r="H23" s="533" t="s">
        <v>292</v>
      </c>
      <c r="I23" s="534" t="s">
        <v>292</v>
      </c>
      <c r="J23" s="456" t="s">
        <v>298</v>
      </c>
    </row>
    <row r="24" spans="1:10" ht="14.4" customHeight="1" x14ac:dyDescent="0.3">
      <c r="A24" s="454" t="s">
        <v>293</v>
      </c>
      <c r="B24" s="455" t="s">
        <v>296</v>
      </c>
      <c r="C24" s="533">
        <v>67.215149999999994</v>
      </c>
      <c r="D24" s="533">
        <v>260.69241000000005</v>
      </c>
      <c r="E24" s="533"/>
      <c r="F24" s="533">
        <v>379.71943999999996</v>
      </c>
      <c r="G24" s="533">
        <v>407.74534314381179</v>
      </c>
      <c r="H24" s="533">
        <v>-28.025903143811831</v>
      </c>
      <c r="I24" s="534">
        <v>0.93126616007990293</v>
      </c>
      <c r="J24" s="456" t="s">
        <v>294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55" t="s">
        <v>621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4.4" customHeight="1" thickBot="1" x14ac:dyDescent="0.35">
      <c r="A2" s="231" t="s">
        <v>244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3"/>
      <c r="D3" s="354"/>
      <c r="E3" s="354"/>
      <c r="F3" s="354"/>
      <c r="G3" s="354"/>
      <c r="H3" s="142" t="s">
        <v>125</v>
      </c>
      <c r="I3" s="98">
        <f>IF(J3&lt;&gt;0,K3/J3,0)</f>
        <v>14.088930963312416</v>
      </c>
      <c r="J3" s="98">
        <f>SUBTOTAL(9,J5:J1048576)</f>
        <v>23741</v>
      </c>
      <c r="K3" s="99">
        <f>SUBTOTAL(9,K5:K1048576)</f>
        <v>334485.31000000006</v>
      </c>
    </row>
    <row r="4" spans="1:11" s="209" customFormat="1" ht="14.4" customHeight="1" thickBot="1" x14ac:dyDescent="0.35">
      <c r="A4" s="535" t="s">
        <v>4</v>
      </c>
      <c r="B4" s="536" t="s">
        <v>5</v>
      </c>
      <c r="C4" s="536" t="s">
        <v>0</v>
      </c>
      <c r="D4" s="536" t="s">
        <v>6</v>
      </c>
      <c r="E4" s="536" t="s">
        <v>7</v>
      </c>
      <c r="F4" s="536" t="s">
        <v>1</v>
      </c>
      <c r="G4" s="536" t="s">
        <v>69</v>
      </c>
      <c r="H4" s="537" t="s">
        <v>10</v>
      </c>
      <c r="I4" s="538" t="s">
        <v>138</v>
      </c>
      <c r="J4" s="538" t="s">
        <v>12</v>
      </c>
      <c r="K4" s="539" t="s">
        <v>152</v>
      </c>
    </row>
    <row r="5" spans="1:11" ht="14.4" customHeight="1" x14ac:dyDescent="0.3">
      <c r="A5" s="497" t="s">
        <v>293</v>
      </c>
      <c r="B5" s="498" t="s">
        <v>289</v>
      </c>
      <c r="C5" s="501" t="s">
        <v>509</v>
      </c>
      <c r="D5" s="540" t="s">
        <v>289</v>
      </c>
      <c r="E5" s="501" t="s">
        <v>609</v>
      </c>
      <c r="F5" s="540" t="s">
        <v>610</v>
      </c>
      <c r="G5" s="501" t="s">
        <v>512</v>
      </c>
      <c r="H5" s="501" t="s">
        <v>513</v>
      </c>
      <c r="I5" s="116">
        <v>42.443749999999994</v>
      </c>
      <c r="J5" s="116">
        <v>23</v>
      </c>
      <c r="K5" s="516">
        <v>976.17000000000007</v>
      </c>
    </row>
    <row r="6" spans="1:11" ht="14.4" customHeight="1" x14ac:dyDescent="0.3">
      <c r="A6" s="478" t="s">
        <v>293</v>
      </c>
      <c r="B6" s="468" t="s">
        <v>289</v>
      </c>
      <c r="C6" s="506" t="s">
        <v>509</v>
      </c>
      <c r="D6" s="541" t="s">
        <v>289</v>
      </c>
      <c r="E6" s="506" t="s">
        <v>609</v>
      </c>
      <c r="F6" s="541" t="s">
        <v>610</v>
      </c>
      <c r="G6" s="506" t="s">
        <v>514</v>
      </c>
      <c r="H6" s="506" t="s">
        <v>515</v>
      </c>
      <c r="I6" s="469">
        <v>0.39666666666666667</v>
      </c>
      <c r="J6" s="469">
        <v>100</v>
      </c>
      <c r="K6" s="517">
        <v>39</v>
      </c>
    </row>
    <row r="7" spans="1:11" ht="14.4" customHeight="1" x14ac:dyDescent="0.3">
      <c r="A7" s="478" t="s">
        <v>293</v>
      </c>
      <c r="B7" s="468" t="s">
        <v>289</v>
      </c>
      <c r="C7" s="506" t="s">
        <v>509</v>
      </c>
      <c r="D7" s="541" t="s">
        <v>289</v>
      </c>
      <c r="E7" s="506" t="s">
        <v>609</v>
      </c>
      <c r="F7" s="541" t="s">
        <v>610</v>
      </c>
      <c r="G7" s="506" t="s">
        <v>516</v>
      </c>
      <c r="H7" s="506" t="s">
        <v>517</v>
      </c>
      <c r="I7" s="469">
        <v>4.6100000000000003</v>
      </c>
      <c r="J7" s="469">
        <v>50</v>
      </c>
      <c r="K7" s="517">
        <v>230.5</v>
      </c>
    </row>
    <row r="8" spans="1:11" ht="14.4" customHeight="1" x14ac:dyDescent="0.3">
      <c r="A8" s="478" t="s">
        <v>293</v>
      </c>
      <c r="B8" s="468" t="s">
        <v>289</v>
      </c>
      <c r="C8" s="506" t="s">
        <v>509</v>
      </c>
      <c r="D8" s="541" t="s">
        <v>289</v>
      </c>
      <c r="E8" s="506" t="s">
        <v>609</v>
      </c>
      <c r="F8" s="541" t="s">
        <v>610</v>
      </c>
      <c r="G8" s="506" t="s">
        <v>518</v>
      </c>
      <c r="H8" s="506" t="s">
        <v>519</v>
      </c>
      <c r="I8" s="469">
        <v>0.87749999999999995</v>
      </c>
      <c r="J8" s="469">
        <v>1240</v>
      </c>
      <c r="K8" s="517">
        <v>1087.2</v>
      </c>
    </row>
    <row r="9" spans="1:11" ht="14.4" customHeight="1" x14ac:dyDescent="0.3">
      <c r="A9" s="478" t="s">
        <v>293</v>
      </c>
      <c r="B9" s="468" t="s">
        <v>289</v>
      </c>
      <c r="C9" s="506" t="s">
        <v>509</v>
      </c>
      <c r="D9" s="541" t="s">
        <v>289</v>
      </c>
      <c r="E9" s="506" t="s">
        <v>609</v>
      </c>
      <c r="F9" s="541" t="s">
        <v>610</v>
      </c>
      <c r="G9" s="506" t="s">
        <v>520</v>
      </c>
      <c r="H9" s="506" t="s">
        <v>521</v>
      </c>
      <c r="I9" s="469">
        <v>0.59777777777777763</v>
      </c>
      <c r="J9" s="469">
        <v>2000</v>
      </c>
      <c r="K9" s="517">
        <v>1193</v>
      </c>
    </row>
    <row r="10" spans="1:11" ht="14.4" customHeight="1" x14ac:dyDescent="0.3">
      <c r="A10" s="478" t="s">
        <v>293</v>
      </c>
      <c r="B10" s="468" t="s">
        <v>289</v>
      </c>
      <c r="C10" s="506" t="s">
        <v>509</v>
      </c>
      <c r="D10" s="541" t="s">
        <v>289</v>
      </c>
      <c r="E10" s="506" t="s">
        <v>609</v>
      </c>
      <c r="F10" s="541" t="s">
        <v>610</v>
      </c>
      <c r="G10" s="506" t="s">
        <v>522</v>
      </c>
      <c r="H10" s="506" t="s">
        <v>523</v>
      </c>
      <c r="I10" s="469">
        <v>8.58</v>
      </c>
      <c r="J10" s="469">
        <v>6</v>
      </c>
      <c r="K10" s="517">
        <v>51.48</v>
      </c>
    </row>
    <row r="11" spans="1:11" ht="14.4" customHeight="1" x14ac:dyDescent="0.3">
      <c r="A11" s="478" t="s">
        <v>293</v>
      </c>
      <c r="B11" s="468" t="s">
        <v>289</v>
      </c>
      <c r="C11" s="506" t="s">
        <v>509</v>
      </c>
      <c r="D11" s="541" t="s">
        <v>289</v>
      </c>
      <c r="E11" s="506" t="s">
        <v>609</v>
      </c>
      <c r="F11" s="541" t="s">
        <v>610</v>
      </c>
      <c r="G11" s="506" t="s">
        <v>524</v>
      </c>
      <c r="H11" s="506" t="s">
        <v>525</v>
      </c>
      <c r="I11" s="469">
        <v>159.55000000000001</v>
      </c>
      <c r="J11" s="469">
        <v>5</v>
      </c>
      <c r="K11" s="517">
        <v>797.76</v>
      </c>
    </row>
    <row r="12" spans="1:11" ht="14.4" customHeight="1" x14ac:dyDescent="0.3">
      <c r="A12" s="478" t="s">
        <v>293</v>
      </c>
      <c r="B12" s="468" t="s">
        <v>289</v>
      </c>
      <c r="C12" s="506" t="s">
        <v>509</v>
      </c>
      <c r="D12" s="541" t="s">
        <v>289</v>
      </c>
      <c r="E12" s="506" t="s">
        <v>609</v>
      </c>
      <c r="F12" s="541" t="s">
        <v>610</v>
      </c>
      <c r="G12" s="506" t="s">
        <v>526</v>
      </c>
      <c r="H12" s="506" t="s">
        <v>527</v>
      </c>
      <c r="I12" s="469">
        <v>3.01</v>
      </c>
      <c r="J12" s="469">
        <v>120</v>
      </c>
      <c r="K12" s="517">
        <v>361.5</v>
      </c>
    </row>
    <row r="13" spans="1:11" ht="14.4" customHeight="1" x14ac:dyDescent="0.3">
      <c r="A13" s="478" t="s">
        <v>293</v>
      </c>
      <c r="B13" s="468" t="s">
        <v>289</v>
      </c>
      <c r="C13" s="506" t="s">
        <v>509</v>
      </c>
      <c r="D13" s="541" t="s">
        <v>289</v>
      </c>
      <c r="E13" s="506" t="s">
        <v>609</v>
      </c>
      <c r="F13" s="541" t="s">
        <v>610</v>
      </c>
      <c r="G13" s="506" t="s">
        <v>528</v>
      </c>
      <c r="H13" s="506" t="s">
        <v>529</v>
      </c>
      <c r="I13" s="469">
        <v>1.1753333333333331</v>
      </c>
      <c r="J13" s="469">
        <v>3830</v>
      </c>
      <c r="K13" s="517">
        <v>4502.9799999999996</v>
      </c>
    </row>
    <row r="14" spans="1:11" ht="14.4" customHeight="1" x14ac:dyDescent="0.3">
      <c r="A14" s="478" t="s">
        <v>293</v>
      </c>
      <c r="B14" s="468" t="s">
        <v>289</v>
      </c>
      <c r="C14" s="506" t="s">
        <v>509</v>
      </c>
      <c r="D14" s="541" t="s">
        <v>289</v>
      </c>
      <c r="E14" s="506" t="s">
        <v>609</v>
      </c>
      <c r="F14" s="541" t="s">
        <v>610</v>
      </c>
      <c r="G14" s="506" t="s">
        <v>530</v>
      </c>
      <c r="H14" s="506" t="s">
        <v>531</v>
      </c>
      <c r="I14" s="469">
        <v>7.5</v>
      </c>
      <c r="J14" s="469">
        <v>2</v>
      </c>
      <c r="K14" s="517">
        <v>15</v>
      </c>
    </row>
    <row r="15" spans="1:11" ht="14.4" customHeight="1" x14ac:dyDescent="0.3">
      <c r="A15" s="478" t="s">
        <v>293</v>
      </c>
      <c r="B15" s="468" t="s">
        <v>289</v>
      </c>
      <c r="C15" s="506" t="s">
        <v>509</v>
      </c>
      <c r="D15" s="541" t="s">
        <v>289</v>
      </c>
      <c r="E15" s="506" t="s">
        <v>609</v>
      </c>
      <c r="F15" s="541" t="s">
        <v>610</v>
      </c>
      <c r="G15" s="506" t="s">
        <v>532</v>
      </c>
      <c r="H15" s="506" t="s">
        <v>533</v>
      </c>
      <c r="I15" s="469">
        <v>0.85600000000000009</v>
      </c>
      <c r="J15" s="469">
        <v>381</v>
      </c>
      <c r="K15" s="517">
        <v>326.36</v>
      </c>
    </row>
    <row r="16" spans="1:11" ht="14.4" customHeight="1" x14ac:dyDescent="0.3">
      <c r="A16" s="478" t="s">
        <v>293</v>
      </c>
      <c r="B16" s="468" t="s">
        <v>289</v>
      </c>
      <c r="C16" s="506" t="s">
        <v>509</v>
      </c>
      <c r="D16" s="541" t="s">
        <v>289</v>
      </c>
      <c r="E16" s="506" t="s">
        <v>609</v>
      </c>
      <c r="F16" s="541" t="s">
        <v>610</v>
      </c>
      <c r="G16" s="506" t="s">
        <v>532</v>
      </c>
      <c r="H16" s="506" t="s">
        <v>534</v>
      </c>
      <c r="I16" s="469">
        <v>0.85</v>
      </c>
      <c r="J16" s="469">
        <v>100</v>
      </c>
      <c r="K16" s="517">
        <v>85</v>
      </c>
    </row>
    <row r="17" spans="1:11" ht="14.4" customHeight="1" x14ac:dyDescent="0.3">
      <c r="A17" s="478" t="s">
        <v>293</v>
      </c>
      <c r="B17" s="468" t="s">
        <v>289</v>
      </c>
      <c r="C17" s="506" t="s">
        <v>509</v>
      </c>
      <c r="D17" s="541" t="s">
        <v>289</v>
      </c>
      <c r="E17" s="506" t="s">
        <v>609</v>
      </c>
      <c r="F17" s="541" t="s">
        <v>610</v>
      </c>
      <c r="G17" s="506" t="s">
        <v>535</v>
      </c>
      <c r="H17" s="506" t="s">
        <v>536</v>
      </c>
      <c r="I17" s="469">
        <v>1.5166666666666668</v>
      </c>
      <c r="J17" s="469">
        <v>300</v>
      </c>
      <c r="K17" s="517">
        <v>455</v>
      </c>
    </row>
    <row r="18" spans="1:11" ht="14.4" customHeight="1" x14ac:dyDescent="0.3">
      <c r="A18" s="478" t="s">
        <v>293</v>
      </c>
      <c r="B18" s="468" t="s">
        <v>289</v>
      </c>
      <c r="C18" s="506" t="s">
        <v>509</v>
      </c>
      <c r="D18" s="541" t="s">
        <v>289</v>
      </c>
      <c r="E18" s="506" t="s">
        <v>609</v>
      </c>
      <c r="F18" s="541" t="s">
        <v>610</v>
      </c>
      <c r="G18" s="506" t="s">
        <v>537</v>
      </c>
      <c r="H18" s="506" t="s">
        <v>538</v>
      </c>
      <c r="I18" s="469">
        <v>42.58</v>
      </c>
      <c r="J18" s="469">
        <v>50</v>
      </c>
      <c r="K18" s="517">
        <v>2129.21</v>
      </c>
    </row>
    <row r="19" spans="1:11" ht="14.4" customHeight="1" x14ac:dyDescent="0.3">
      <c r="A19" s="478" t="s">
        <v>293</v>
      </c>
      <c r="B19" s="468" t="s">
        <v>289</v>
      </c>
      <c r="C19" s="506" t="s">
        <v>509</v>
      </c>
      <c r="D19" s="541" t="s">
        <v>289</v>
      </c>
      <c r="E19" s="506" t="s">
        <v>609</v>
      </c>
      <c r="F19" s="541" t="s">
        <v>610</v>
      </c>
      <c r="G19" s="506" t="s">
        <v>539</v>
      </c>
      <c r="H19" s="506" t="s">
        <v>540</v>
      </c>
      <c r="I19" s="469">
        <v>8.6300000000000008</v>
      </c>
      <c r="J19" s="469">
        <v>100</v>
      </c>
      <c r="K19" s="517">
        <v>862.5</v>
      </c>
    </row>
    <row r="20" spans="1:11" ht="14.4" customHeight="1" x14ac:dyDescent="0.3">
      <c r="A20" s="478" t="s">
        <v>293</v>
      </c>
      <c r="B20" s="468" t="s">
        <v>289</v>
      </c>
      <c r="C20" s="506" t="s">
        <v>509</v>
      </c>
      <c r="D20" s="541" t="s">
        <v>289</v>
      </c>
      <c r="E20" s="506" t="s">
        <v>609</v>
      </c>
      <c r="F20" s="541" t="s">
        <v>610</v>
      </c>
      <c r="G20" s="506" t="s">
        <v>541</v>
      </c>
      <c r="H20" s="506" t="s">
        <v>542</v>
      </c>
      <c r="I20" s="469">
        <v>510.12</v>
      </c>
      <c r="J20" s="469">
        <v>1</v>
      </c>
      <c r="K20" s="517">
        <v>510.12</v>
      </c>
    </row>
    <row r="21" spans="1:11" ht="14.4" customHeight="1" x14ac:dyDescent="0.3">
      <c r="A21" s="478" t="s">
        <v>293</v>
      </c>
      <c r="B21" s="468" t="s">
        <v>289</v>
      </c>
      <c r="C21" s="506" t="s">
        <v>509</v>
      </c>
      <c r="D21" s="541" t="s">
        <v>289</v>
      </c>
      <c r="E21" s="506" t="s">
        <v>609</v>
      </c>
      <c r="F21" s="541" t="s">
        <v>610</v>
      </c>
      <c r="G21" s="506" t="s">
        <v>543</v>
      </c>
      <c r="H21" s="506" t="s">
        <v>544</v>
      </c>
      <c r="I21" s="469">
        <v>0.39</v>
      </c>
      <c r="J21" s="469">
        <v>600</v>
      </c>
      <c r="K21" s="517">
        <v>234</v>
      </c>
    </row>
    <row r="22" spans="1:11" ht="14.4" customHeight="1" x14ac:dyDescent="0.3">
      <c r="A22" s="478" t="s">
        <v>293</v>
      </c>
      <c r="B22" s="468" t="s">
        <v>289</v>
      </c>
      <c r="C22" s="506" t="s">
        <v>509</v>
      </c>
      <c r="D22" s="541" t="s">
        <v>289</v>
      </c>
      <c r="E22" s="506" t="s">
        <v>611</v>
      </c>
      <c r="F22" s="541" t="s">
        <v>612</v>
      </c>
      <c r="G22" s="506" t="s">
        <v>545</v>
      </c>
      <c r="H22" s="506" t="s">
        <v>546</v>
      </c>
      <c r="I22" s="469">
        <v>5.21</v>
      </c>
      <c r="J22" s="469">
        <v>30</v>
      </c>
      <c r="K22" s="517">
        <v>156.30000000000001</v>
      </c>
    </row>
    <row r="23" spans="1:11" ht="14.4" customHeight="1" x14ac:dyDescent="0.3">
      <c r="A23" s="478" t="s">
        <v>293</v>
      </c>
      <c r="B23" s="468" t="s">
        <v>289</v>
      </c>
      <c r="C23" s="506" t="s">
        <v>509</v>
      </c>
      <c r="D23" s="541" t="s">
        <v>289</v>
      </c>
      <c r="E23" s="506" t="s">
        <v>611</v>
      </c>
      <c r="F23" s="541" t="s">
        <v>612</v>
      </c>
      <c r="G23" s="506" t="s">
        <v>547</v>
      </c>
      <c r="H23" s="506" t="s">
        <v>548</v>
      </c>
      <c r="I23" s="469">
        <v>3.13</v>
      </c>
      <c r="J23" s="469">
        <v>40</v>
      </c>
      <c r="K23" s="517">
        <v>125.2</v>
      </c>
    </row>
    <row r="24" spans="1:11" ht="14.4" customHeight="1" x14ac:dyDescent="0.3">
      <c r="A24" s="478" t="s">
        <v>293</v>
      </c>
      <c r="B24" s="468" t="s">
        <v>289</v>
      </c>
      <c r="C24" s="506" t="s">
        <v>509</v>
      </c>
      <c r="D24" s="541" t="s">
        <v>289</v>
      </c>
      <c r="E24" s="506" t="s">
        <v>611</v>
      </c>
      <c r="F24" s="541" t="s">
        <v>612</v>
      </c>
      <c r="G24" s="506" t="s">
        <v>549</v>
      </c>
      <c r="H24" s="506" t="s">
        <v>550</v>
      </c>
      <c r="I24" s="469">
        <v>11.146666666666667</v>
      </c>
      <c r="J24" s="469">
        <v>250</v>
      </c>
      <c r="K24" s="517">
        <v>2787</v>
      </c>
    </row>
    <row r="25" spans="1:11" ht="14.4" customHeight="1" x14ac:dyDescent="0.3">
      <c r="A25" s="478" t="s">
        <v>293</v>
      </c>
      <c r="B25" s="468" t="s">
        <v>289</v>
      </c>
      <c r="C25" s="506" t="s">
        <v>509</v>
      </c>
      <c r="D25" s="541" t="s">
        <v>289</v>
      </c>
      <c r="E25" s="506" t="s">
        <v>611</v>
      </c>
      <c r="F25" s="541" t="s">
        <v>612</v>
      </c>
      <c r="G25" s="506" t="s">
        <v>551</v>
      </c>
      <c r="H25" s="506" t="s">
        <v>552</v>
      </c>
      <c r="I25" s="469">
        <v>1.0178571428571428</v>
      </c>
      <c r="J25" s="469">
        <v>3280</v>
      </c>
      <c r="K25" s="517">
        <v>3359.5</v>
      </c>
    </row>
    <row r="26" spans="1:11" ht="14.4" customHeight="1" x14ac:dyDescent="0.3">
      <c r="A26" s="478" t="s">
        <v>293</v>
      </c>
      <c r="B26" s="468" t="s">
        <v>289</v>
      </c>
      <c r="C26" s="506" t="s">
        <v>509</v>
      </c>
      <c r="D26" s="541" t="s">
        <v>289</v>
      </c>
      <c r="E26" s="506" t="s">
        <v>611</v>
      </c>
      <c r="F26" s="541" t="s">
        <v>612</v>
      </c>
      <c r="G26" s="506" t="s">
        <v>553</v>
      </c>
      <c r="H26" s="506" t="s">
        <v>554</v>
      </c>
      <c r="I26" s="469">
        <v>1.5347368421052634</v>
      </c>
      <c r="J26" s="469">
        <v>1950</v>
      </c>
      <c r="K26" s="517">
        <v>3063.7</v>
      </c>
    </row>
    <row r="27" spans="1:11" ht="14.4" customHeight="1" x14ac:dyDescent="0.3">
      <c r="A27" s="478" t="s">
        <v>293</v>
      </c>
      <c r="B27" s="468" t="s">
        <v>289</v>
      </c>
      <c r="C27" s="506" t="s">
        <v>509</v>
      </c>
      <c r="D27" s="541" t="s">
        <v>289</v>
      </c>
      <c r="E27" s="506" t="s">
        <v>611</v>
      </c>
      <c r="F27" s="541" t="s">
        <v>612</v>
      </c>
      <c r="G27" s="506" t="s">
        <v>555</v>
      </c>
      <c r="H27" s="506" t="s">
        <v>556</v>
      </c>
      <c r="I27" s="469">
        <v>0.64749999999999996</v>
      </c>
      <c r="J27" s="469">
        <v>550</v>
      </c>
      <c r="K27" s="517">
        <v>359.5</v>
      </c>
    </row>
    <row r="28" spans="1:11" ht="14.4" customHeight="1" x14ac:dyDescent="0.3">
      <c r="A28" s="478" t="s">
        <v>293</v>
      </c>
      <c r="B28" s="468" t="s">
        <v>289</v>
      </c>
      <c r="C28" s="506" t="s">
        <v>509</v>
      </c>
      <c r="D28" s="541" t="s">
        <v>289</v>
      </c>
      <c r="E28" s="506" t="s">
        <v>611</v>
      </c>
      <c r="F28" s="541" t="s">
        <v>612</v>
      </c>
      <c r="G28" s="506" t="s">
        <v>557</v>
      </c>
      <c r="H28" s="506" t="s">
        <v>558</v>
      </c>
      <c r="I28" s="469">
        <v>2.6324999999999998</v>
      </c>
      <c r="J28" s="469">
        <v>60</v>
      </c>
      <c r="K28" s="517">
        <v>157.9</v>
      </c>
    </row>
    <row r="29" spans="1:11" ht="14.4" customHeight="1" x14ac:dyDescent="0.3">
      <c r="A29" s="478" t="s">
        <v>293</v>
      </c>
      <c r="B29" s="468" t="s">
        <v>289</v>
      </c>
      <c r="C29" s="506" t="s">
        <v>509</v>
      </c>
      <c r="D29" s="541" t="s">
        <v>289</v>
      </c>
      <c r="E29" s="506" t="s">
        <v>611</v>
      </c>
      <c r="F29" s="541" t="s">
        <v>612</v>
      </c>
      <c r="G29" s="506" t="s">
        <v>559</v>
      </c>
      <c r="H29" s="506" t="s">
        <v>560</v>
      </c>
      <c r="I29" s="469">
        <v>5.1315789473684212</v>
      </c>
      <c r="J29" s="469">
        <v>940</v>
      </c>
      <c r="K29" s="517">
        <v>4823.0999999999995</v>
      </c>
    </row>
    <row r="30" spans="1:11" ht="14.4" customHeight="1" x14ac:dyDescent="0.3">
      <c r="A30" s="478" t="s">
        <v>293</v>
      </c>
      <c r="B30" s="468" t="s">
        <v>289</v>
      </c>
      <c r="C30" s="506" t="s">
        <v>509</v>
      </c>
      <c r="D30" s="541" t="s">
        <v>289</v>
      </c>
      <c r="E30" s="506" t="s">
        <v>611</v>
      </c>
      <c r="F30" s="541" t="s">
        <v>612</v>
      </c>
      <c r="G30" s="506" t="s">
        <v>561</v>
      </c>
      <c r="H30" s="506" t="s">
        <v>562</v>
      </c>
      <c r="I30" s="469">
        <v>7.948823529411766</v>
      </c>
      <c r="J30" s="469">
        <v>930</v>
      </c>
      <c r="K30" s="517">
        <v>7392.6</v>
      </c>
    </row>
    <row r="31" spans="1:11" ht="14.4" customHeight="1" x14ac:dyDescent="0.3">
      <c r="A31" s="478" t="s">
        <v>293</v>
      </c>
      <c r="B31" s="468" t="s">
        <v>289</v>
      </c>
      <c r="C31" s="506" t="s">
        <v>509</v>
      </c>
      <c r="D31" s="541" t="s">
        <v>289</v>
      </c>
      <c r="E31" s="506" t="s">
        <v>611</v>
      </c>
      <c r="F31" s="541" t="s">
        <v>612</v>
      </c>
      <c r="G31" s="506" t="s">
        <v>563</v>
      </c>
      <c r="H31" s="506" t="s">
        <v>564</v>
      </c>
      <c r="I31" s="469">
        <v>12.1</v>
      </c>
      <c r="J31" s="469">
        <v>10</v>
      </c>
      <c r="K31" s="517">
        <v>121</v>
      </c>
    </row>
    <row r="32" spans="1:11" ht="14.4" customHeight="1" x14ac:dyDescent="0.3">
      <c r="A32" s="478" t="s">
        <v>293</v>
      </c>
      <c r="B32" s="468" t="s">
        <v>289</v>
      </c>
      <c r="C32" s="506" t="s">
        <v>509</v>
      </c>
      <c r="D32" s="541" t="s">
        <v>289</v>
      </c>
      <c r="E32" s="506" t="s">
        <v>611</v>
      </c>
      <c r="F32" s="541" t="s">
        <v>612</v>
      </c>
      <c r="G32" s="506" t="s">
        <v>565</v>
      </c>
      <c r="H32" s="506" t="s">
        <v>566</v>
      </c>
      <c r="I32" s="469">
        <v>1.9333333333333333</v>
      </c>
      <c r="J32" s="469">
        <v>200</v>
      </c>
      <c r="K32" s="517">
        <v>386.5</v>
      </c>
    </row>
    <row r="33" spans="1:11" ht="14.4" customHeight="1" x14ac:dyDescent="0.3">
      <c r="A33" s="478" t="s">
        <v>293</v>
      </c>
      <c r="B33" s="468" t="s">
        <v>289</v>
      </c>
      <c r="C33" s="506" t="s">
        <v>509</v>
      </c>
      <c r="D33" s="541" t="s">
        <v>289</v>
      </c>
      <c r="E33" s="506" t="s">
        <v>611</v>
      </c>
      <c r="F33" s="541" t="s">
        <v>612</v>
      </c>
      <c r="G33" s="506" t="s">
        <v>565</v>
      </c>
      <c r="H33" s="506" t="s">
        <v>567</v>
      </c>
      <c r="I33" s="469">
        <v>1.9366666666666665</v>
      </c>
      <c r="J33" s="469">
        <v>420</v>
      </c>
      <c r="K33" s="517">
        <v>813.90000000000009</v>
      </c>
    </row>
    <row r="34" spans="1:11" ht="14.4" customHeight="1" x14ac:dyDescent="0.3">
      <c r="A34" s="478" t="s">
        <v>293</v>
      </c>
      <c r="B34" s="468" t="s">
        <v>289</v>
      </c>
      <c r="C34" s="506" t="s">
        <v>509</v>
      </c>
      <c r="D34" s="541" t="s">
        <v>289</v>
      </c>
      <c r="E34" s="506" t="s">
        <v>611</v>
      </c>
      <c r="F34" s="541" t="s">
        <v>612</v>
      </c>
      <c r="G34" s="506" t="s">
        <v>568</v>
      </c>
      <c r="H34" s="506" t="s">
        <v>569</v>
      </c>
      <c r="I34" s="469">
        <v>194.304</v>
      </c>
      <c r="J34" s="469">
        <v>180</v>
      </c>
      <c r="K34" s="517">
        <v>34974.9</v>
      </c>
    </row>
    <row r="35" spans="1:11" ht="14.4" customHeight="1" x14ac:dyDescent="0.3">
      <c r="A35" s="478" t="s">
        <v>293</v>
      </c>
      <c r="B35" s="468" t="s">
        <v>289</v>
      </c>
      <c r="C35" s="506" t="s">
        <v>509</v>
      </c>
      <c r="D35" s="541" t="s">
        <v>289</v>
      </c>
      <c r="E35" s="506" t="s">
        <v>611</v>
      </c>
      <c r="F35" s="541" t="s">
        <v>612</v>
      </c>
      <c r="G35" s="506" t="s">
        <v>568</v>
      </c>
      <c r="H35" s="506" t="s">
        <v>570</v>
      </c>
      <c r="I35" s="469">
        <v>194.30266666666679</v>
      </c>
      <c r="J35" s="469">
        <v>932</v>
      </c>
      <c r="K35" s="517">
        <v>181089.11000000004</v>
      </c>
    </row>
    <row r="36" spans="1:11" ht="14.4" customHeight="1" x14ac:dyDescent="0.3">
      <c r="A36" s="478" t="s">
        <v>293</v>
      </c>
      <c r="B36" s="468" t="s">
        <v>289</v>
      </c>
      <c r="C36" s="506" t="s">
        <v>509</v>
      </c>
      <c r="D36" s="541" t="s">
        <v>289</v>
      </c>
      <c r="E36" s="506" t="s">
        <v>611</v>
      </c>
      <c r="F36" s="541" t="s">
        <v>612</v>
      </c>
      <c r="G36" s="506" t="s">
        <v>571</v>
      </c>
      <c r="H36" s="506" t="s">
        <v>572</v>
      </c>
      <c r="I36" s="469">
        <v>0.47199999999999998</v>
      </c>
      <c r="J36" s="469">
        <v>630</v>
      </c>
      <c r="K36" s="517">
        <v>298.10000000000002</v>
      </c>
    </row>
    <row r="37" spans="1:11" ht="14.4" customHeight="1" x14ac:dyDescent="0.3">
      <c r="A37" s="478" t="s">
        <v>293</v>
      </c>
      <c r="B37" s="468" t="s">
        <v>289</v>
      </c>
      <c r="C37" s="506" t="s">
        <v>509</v>
      </c>
      <c r="D37" s="541" t="s">
        <v>289</v>
      </c>
      <c r="E37" s="506" t="s">
        <v>611</v>
      </c>
      <c r="F37" s="541" t="s">
        <v>612</v>
      </c>
      <c r="G37" s="506" t="s">
        <v>573</v>
      </c>
      <c r="H37" s="506" t="s">
        <v>574</v>
      </c>
      <c r="I37" s="469">
        <v>9.59</v>
      </c>
      <c r="J37" s="469">
        <v>20</v>
      </c>
      <c r="K37" s="517">
        <v>191.8</v>
      </c>
    </row>
    <row r="38" spans="1:11" ht="14.4" customHeight="1" x14ac:dyDescent="0.3">
      <c r="A38" s="478" t="s">
        <v>293</v>
      </c>
      <c r="B38" s="468" t="s">
        <v>289</v>
      </c>
      <c r="C38" s="506" t="s">
        <v>509</v>
      </c>
      <c r="D38" s="541" t="s">
        <v>289</v>
      </c>
      <c r="E38" s="506" t="s">
        <v>611</v>
      </c>
      <c r="F38" s="541" t="s">
        <v>612</v>
      </c>
      <c r="G38" s="506" t="s">
        <v>573</v>
      </c>
      <c r="H38" s="506" t="s">
        <v>575</v>
      </c>
      <c r="I38" s="469">
        <v>9.6</v>
      </c>
      <c r="J38" s="469">
        <v>60</v>
      </c>
      <c r="K38" s="517">
        <v>576</v>
      </c>
    </row>
    <row r="39" spans="1:11" ht="14.4" customHeight="1" x14ac:dyDescent="0.3">
      <c r="A39" s="478" t="s">
        <v>293</v>
      </c>
      <c r="B39" s="468" t="s">
        <v>289</v>
      </c>
      <c r="C39" s="506" t="s">
        <v>509</v>
      </c>
      <c r="D39" s="541" t="s">
        <v>289</v>
      </c>
      <c r="E39" s="506" t="s">
        <v>611</v>
      </c>
      <c r="F39" s="541" t="s">
        <v>612</v>
      </c>
      <c r="G39" s="506" t="s">
        <v>576</v>
      </c>
      <c r="H39" s="506" t="s">
        <v>577</v>
      </c>
      <c r="I39" s="469">
        <v>9.68</v>
      </c>
      <c r="J39" s="469">
        <v>60</v>
      </c>
      <c r="K39" s="517">
        <v>580.79999999999995</v>
      </c>
    </row>
    <row r="40" spans="1:11" ht="14.4" customHeight="1" x14ac:dyDescent="0.3">
      <c r="A40" s="478" t="s">
        <v>293</v>
      </c>
      <c r="B40" s="468" t="s">
        <v>289</v>
      </c>
      <c r="C40" s="506" t="s">
        <v>509</v>
      </c>
      <c r="D40" s="541" t="s">
        <v>289</v>
      </c>
      <c r="E40" s="506" t="s">
        <v>611</v>
      </c>
      <c r="F40" s="541" t="s">
        <v>612</v>
      </c>
      <c r="G40" s="506" t="s">
        <v>578</v>
      </c>
      <c r="H40" s="506" t="s">
        <v>579</v>
      </c>
      <c r="I40" s="469">
        <v>37.75</v>
      </c>
      <c r="J40" s="469">
        <v>40</v>
      </c>
      <c r="K40" s="517">
        <v>1510.1</v>
      </c>
    </row>
    <row r="41" spans="1:11" ht="14.4" customHeight="1" x14ac:dyDescent="0.3">
      <c r="A41" s="478" t="s">
        <v>293</v>
      </c>
      <c r="B41" s="468" t="s">
        <v>289</v>
      </c>
      <c r="C41" s="506" t="s">
        <v>509</v>
      </c>
      <c r="D41" s="541" t="s">
        <v>289</v>
      </c>
      <c r="E41" s="506" t="s">
        <v>611</v>
      </c>
      <c r="F41" s="541" t="s">
        <v>612</v>
      </c>
      <c r="G41" s="506" t="s">
        <v>578</v>
      </c>
      <c r="H41" s="506" t="s">
        <v>580</v>
      </c>
      <c r="I41" s="469">
        <v>37.75</v>
      </c>
      <c r="J41" s="469">
        <v>40</v>
      </c>
      <c r="K41" s="517">
        <v>1510.1</v>
      </c>
    </row>
    <row r="42" spans="1:11" ht="14.4" customHeight="1" x14ac:dyDescent="0.3">
      <c r="A42" s="478" t="s">
        <v>293</v>
      </c>
      <c r="B42" s="468" t="s">
        <v>289</v>
      </c>
      <c r="C42" s="506" t="s">
        <v>509</v>
      </c>
      <c r="D42" s="541" t="s">
        <v>289</v>
      </c>
      <c r="E42" s="506" t="s">
        <v>613</v>
      </c>
      <c r="F42" s="541" t="s">
        <v>614</v>
      </c>
      <c r="G42" s="506" t="s">
        <v>581</v>
      </c>
      <c r="H42" s="506" t="s">
        <v>582</v>
      </c>
      <c r="I42" s="469">
        <v>4629.26</v>
      </c>
      <c r="J42" s="469">
        <v>3</v>
      </c>
      <c r="K42" s="517">
        <v>13887.78</v>
      </c>
    </row>
    <row r="43" spans="1:11" ht="14.4" customHeight="1" x14ac:dyDescent="0.3">
      <c r="A43" s="478" t="s">
        <v>293</v>
      </c>
      <c r="B43" s="468" t="s">
        <v>289</v>
      </c>
      <c r="C43" s="506" t="s">
        <v>509</v>
      </c>
      <c r="D43" s="541" t="s">
        <v>289</v>
      </c>
      <c r="E43" s="506" t="s">
        <v>615</v>
      </c>
      <c r="F43" s="541" t="s">
        <v>616</v>
      </c>
      <c r="G43" s="506" t="s">
        <v>583</v>
      </c>
      <c r="H43" s="506" t="s">
        <v>584</v>
      </c>
      <c r="I43" s="469">
        <v>8.1675000000000004</v>
      </c>
      <c r="J43" s="469">
        <v>250</v>
      </c>
      <c r="K43" s="517">
        <v>2041.9</v>
      </c>
    </row>
    <row r="44" spans="1:11" ht="14.4" customHeight="1" x14ac:dyDescent="0.3">
      <c r="A44" s="478" t="s">
        <v>293</v>
      </c>
      <c r="B44" s="468" t="s">
        <v>289</v>
      </c>
      <c r="C44" s="506" t="s">
        <v>509</v>
      </c>
      <c r="D44" s="541" t="s">
        <v>289</v>
      </c>
      <c r="E44" s="506" t="s">
        <v>615</v>
      </c>
      <c r="F44" s="541" t="s">
        <v>616</v>
      </c>
      <c r="G44" s="506" t="s">
        <v>583</v>
      </c>
      <c r="H44" s="506" t="s">
        <v>585</v>
      </c>
      <c r="I44" s="469">
        <v>8.17</v>
      </c>
      <c r="J44" s="469">
        <v>590</v>
      </c>
      <c r="K44" s="517">
        <v>4820.3</v>
      </c>
    </row>
    <row r="45" spans="1:11" ht="14.4" customHeight="1" x14ac:dyDescent="0.3">
      <c r="A45" s="478" t="s">
        <v>293</v>
      </c>
      <c r="B45" s="468" t="s">
        <v>289</v>
      </c>
      <c r="C45" s="506" t="s">
        <v>509</v>
      </c>
      <c r="D45" s="541" t="s">
        <v>289</v>
      </c>
      <c r="E45" s="506" t="s">
        <v>615</v>
      </c>
      <c r="F45" s="541" t="s">
        <v>616</v>
      </c>
      <c r="G45" s="506" t="s">
        <v>586</v>
      </c>
      <c r="H45" s="506" t="s">
        <v>587</v>
      </c>
      <c r="I45" s="469">
        <v>162.63</v>
      </c>
      <c r="J45" s="469">
        <v>30</v>
      </c>
      <c r="K45" s="517">
        <v>4879</v>
      </c>
    </row>
    <row r="46" spans="1:11" ht="14.4" customHeight="1" x14ac:dyDescent="0.3">
      <c r="A46" s="478" t="s">
        <v>293</v>
      </c>
      <c r="B46" s="468" t="s">
        <v>289</v>
      </c>
      <c r="C46" s="506" t="s">
        <v>509</v>
      </c>
      <c r="D46" s="541" t="s">
        <v>289</v>
      </c>
      <c r="E46" s="506" t="s">
        <v>615</v>
      </c>
      <c r="F46" s="541" t="s">
        <v>616</v>
      </c>
      <c r="G46" s="506" t="s">
        <v>586</v>
      </c>
      <c r="H46" s="506" t="s">
        <v>588</v>
      </c>
      <c r="I46" s="469">
        <v>162.63</v>
      </c>
      <c r="J46" s="469">
        <v>60</v>
      </c>
      <c r="K46" s="517">
        <v>9757.7999999999993</v>
      </c>
    </row>
    <row r="47" spans="1:11" ht="14.4" customHeight="1" x14ac:dyDescent="0.3">
      <c r="A47" s="478" t="s">
        <v>293</v>
      </c>
      <c r="B47" s="468" t="s">
        <v>289</v>
      </c>
      <c r="C47" s="506" t="s">
        <v>509</v>
      </c>
      <c r="D47" s="541" t="s">
        <v>289</v>
      </c>
      <c r="E47" s="506" t="s">
        <v>615</v>
      </c>
      <c r="F47" s="541" t="s">
        <v>616</v>
      </c>
      <c r="G47" s="506" t="s">
        <v>586</v>
      </c>
      <c r="H47" s="506" t="s">
        <v>589</v>
      </c>
      <c r="I47" s="469">
        <v>162.62333333333333</v>
      </c>
      <c r="J47" s="469">
        <v>90</v>
      </c>
      <c r="K47" s="517">
        <v>14636.12</v>
      </c>
    </row>
    <row r="48" spans="1:11" ht="14.4" customHeight="1" x14ac:dyDescent="0.3">
      <c r="A48" s="478" t="s">
        <v>293</v>
      </c>
      <c r="B48" s="468" t="s">
        <v>289</v>
      </c>
      <c r="C48" s="506" t="s">
        <v>509</v>
      </c>
      <c r="D48" s="541" t="s">
        <v>289</v>
      </c>
      <c r="E48" s="506" t="s">
        <v>615</v>
      </c>
      <c r="F48" s="541" t="s">
        <v>616</v>
      </c>
      <c r="G48" s="506" t="s">
        <v>590</v>
      </c>
      <c r="H48" s="506" t="s">
        <v>591</v>
      </c>
      <c r="I48" s="469">
        <v>73.81</v>
      </c>
      <c r="J48" s="469">
        <v>100</v>
      </c>
      <c r="K48" s="517">
        <v>7381</v>
      </c>
    </row>
    <row r="49" spans="1:11" ht="14.4" customHeight="1" x14ac:dyDescent="0.3">
      <c r="A49" s="478" t="s">
        <v>293</v>
      </c>
      <c r="B49" s="468" t="s">
        <v>289</v>
      </c>
      <c r="C49" s="506" t="s">
        <v>509</v>
      </c>
      <c r="D49" s="541" t="s">
        <v>289</v>
      </c>
      <c r="E49" s="506" t="s">
        <v>617</v>
      </c>
      <c r="F49" s="541" t="s">
        <v>618</v>
      </c>
      <c r="G49" s="506" t="s">
        <v>592</v>
      </c>
      <c r="H49" s="506" t="s">
        <v>593</v>
      </c>
      <c r="I49" s="469">
        <v>0.48</v>
      </c>
      <c r="J49" s="469">
        <v>60</v>
      </c>
      <c r="K49" s="517">
        <v>28.8</v>
      </c>
    </row>
    <row r="50" spans="1:11" ht="14.4" customHeight="1" x14ac:dyDescent="0.3">
      <c r="A50" s="478" t="s">
        <v>293</v>
      </c>
      <c r="B50" s="468" t="s">
        <v>289</v>
      </c>
      <c r="C50" s="506" t="s">
        <v>509</v>
      </c>
      <c r="D50" s="541" t="s">
        <v>289</v>
      </c>
      <c r="E50" s="506" t="s">
        <v>617</v>
      </c>
      <c r="F50" s="541" t="s">
        <v>618</v>
      </c>
      <c r="G50" s="506" t="s">
        <v>594</v>
      </c>
      <c r="H50" s="506" t="s">
        <v>595</v>
      </c>
      <c r="I50" s="469">
        <v>0.41555555555555551</v>
      </c>
      <c r="J50" s="469">
        <v>1620</v>
      </c>
      <c r="K50" s="517">
        <v>680.6</v>
      </c>
    </row>
    <row r="51" spans="1:11" ht="14.4" customHeight="1" x14ac:dyDescent="0.3">
      <c r="A51" s="478" t="s">
        <v>293</v>
      </c>
      <c r="B51" s="468" t="s">
        <v>289</v>
      </c>
      <c r="C51" s="506" t="s">
        <v>509</v>
      </c>
      <c r="D51" s="541" t="s">
        <v>289</v>
      </c>
      <c r="E51" s="506" t="s">
        <v>617</v>
      </c>
      <c r="F51" s="541" t="s">
        <v>618</v>
      </c>
      <c r="G51" s="506" t="s">
        <v>596</v>
      </c>
      <c r="H51" s="506" t="s">
        <v>597</v>
      </c>
      <c r="I51" s="469">
        <v>132.68</v>
      </c>
      <c r="J51" s="469">
        <v>50</v>
      </c>
      <c r="K51" s="517">
        <v>6633.82</v>
      </c>
    </row>
    <row r="52" spans="1:11" ht="14.4" customHeight="1" x14ac:dyDescent="0.3">
      <c r="A52" s="478" t="s">
        <v>293</v>
      </c>
      <c r="B52" s="468" t="s">
        <v>289</v>
      </c>
      <c r="C52" s="506" t="s">
        <v>509</v>
      </c>
      <c r="D52" s="541" t="s">
        <v>289</v>
      </c>
      <c r="E52" s="506" t="s">
        <v>617</v>
      </c>
      <c r="F52" s="541" t="s">
        <v>618</v>
      </c>
      <c r="G52" s="506" t="s">
        <v>598</v>
      </c>
      <c r="H52" s="506" t="s">
        <v>599</v>
      </c>
      <c r="I52" s="469">
        <v>125.48</v>
      </c>
      <c r="J52" s="469">
        <v>12</v>
      </c>
      <c r="K52" s="517">
        <v>1505.7</v>
      </c>
    </row>
    <row r="53" spans="1:11" ht="14.4" customHeight="1" x14ac:dyDescent="0.3">
      <c r="A53" s="478" t="s">
        <v>293</v>
      </c>
      <c r="B53" s="468" t="s">
        <v>289</v>
      </c>
      <c r="C53" s="506" t="s">
        <v>509</v>
      </c>
      <c r="D53" s="541" t="s">
        <v>289</v>
      </c>
      <c r="E53" s="506" t="s">
        <v>619</v>
      </c>
      <c r="F53" s="541" t="s">
        <v>620</v>
      </c>
      <c r="G53" s="506" t="s">
        <v>600</v>
      </c>
      <c r="H53" s="506" t="s">
        <v>601</v>
      </c>
      <c r="I53" s="469">
        <v>7.5</v>
      </c>
      <c r="J53" s="469">
        <v>90</v>
      </c>
      <c r="K53" s="517">
        <v>675</v>
      </c>
    </row>
    <row r="54" spans="1:11" ht="14.4" customHeight="1" x14ac:dyDescent="0.3">
      <c r="A54" s="478" t="s">
        <v>293</v>
      </c>
      <c r="B54" s="468" t="s">
        <v>289</v>
      </c>
      <c r="C54" s="506" t="s">
        <v>509</v>
      </c>
      <c r="D54" s="541" t="s">
        <v>289</v>
      </c>
      <c r="E54" s="506" t="s">
        <v>619</v>
      </c>
      <c r="F54" s="541" t="s">
        <v>620</v>
      </c>
      <c r="G54" s="506" t="s">
        <v>600</v>
      </c>
      <c r="H54" s="506" t="s">
        <v>602</v>
      </c>
      <c r="I54" s="469">
        <v>7.5</v>
      </c>
      <c r="J54" s="469">
        <v>220</v>
      </c>
      <c r="K54" s="517">
        <v>1650</v>
      </c>
    </row>
    <row r="55" spans="1:11" ht="14.4" customHeight="1" x14ac:dyDescent="0.3">
      <c r="A55" s="478" t="s">
        <v>293</v>
      </c>
      <c r="B55" s="468" t="s">
        <v>289</v>
      </c>
      <c r="C55" s="506" t="s">
        <v>509</v>
      </c>
      <c r="D55" s="541" t="s">
        <v>289</v>
      </c>
      <c r="E55" s="506" t="s">
        <v>619</v>
      </c>
      <c r="F55" s="541" t="s">
        <v>620</v>
      </c>
      <c r="G55" s="506" t="s">
        <v>600</v>
      </c>
      <c r="H55" s="506" t="s">
        <v>603</v>
      </c>
      <c r="I55" s="469">
        <v>7.503333333333333</v>
      </c>
      <c r="J55" s="469">
        <v>571</v>
      </c>
      <c r="K55" s="517">
        <v>4285.2</v>
      </c>
    </row>
    <row r="56" spans="1:11" ht="14.4" customHeight="1" x14ac:dyDescent="0.3">
      <c r="A56" s="478" t="s">
        <v>293</v>
      </c>
      <c r="B56" s="468" t="s">
        <v>289</v>
      </c>
      <c r="C56" s="506" t="s">
        <v>509</v>
      </c>
      <c r="D56" s="541" t="s">
        <v>289</v>
      </c>
      <c r="E56" s="506" t="s">
        <v>619</v>
      </c>
      <c r="F56" s="541" t="s">
        <v>620</v>
      </c>
      <c r="G56" s="506" t="s">
        <v>604</v>
      </c>
      <c r="H56" s="506" t="s">
        <v>605</v>
      </c>
      <c r="I56" s="469">
        <v>7.5</v>
      </c>
      <c r="J56" s="469">
        <v>100</v>
      </c>
      <c r="K56" s="517">
        <v>750</v>
      </c>
    </row>
    <row r="57" spans="1:11" ht="14.4" customHeight="1" x14ac:dyDescent="0.3">
      <c r="A57" s="478" t="s">
        <v>293</v>
      </c>
      <c r="B57" s="468" t="s">
        <v>289</v>
      </c>
      <c r="C57" s="506" t="s">
        <v>509</v>
      </c>
      <c r="D57" s="541" t="s">
        <v>289</v>
      </c>
      <c r="E57" s="506" t="s">
        <v>619</v>
      </c>
      <c r="F57" s="541" t="s">
        <v>620</v>
      </c>
      <c r="G57" s="506" t="s">
        <v>606</v>
      </c>
      <c r="H57" s="506" t="s">
        <v>607</v>
      </c>
      <c r="I57" s="469">
        <v>7.5</v>
      </c>
      <c r="J57" s="469">
        <v>100</v>
      </c>
      <c r="K57" s="517">
        <v>750</v>
      </c>
    </row>
    <row r="58" spans="1:11" ht="14.4" customHeight="1" thickBot="1" x14ac:dyDescent="0.35">
      <c r="A58" s="479" t="s">
        <v>293</v>
      </c>
      <c r="B58" s="471" t="s">
        <v>289</v>
      </c>
      <c r="C58" s="510" t="s">
        <v>509</v>
      </c>
      <c r="D58" s="542" t="s">
        <v>289</v>
      </c>
      <c r="E58" s="510" t="s">
        <v>619</v>
      </c>
      <c r="F58" s="542" t="s">
        <v>620</v>
      </c>
      <c r="G58" s="510" t="s">
        <v>606</v>
      </c>
      <c r="H58" s="510" t="s">
        <v>608</v>
      </c>
      <c r="I58" s="472">
        <v>7.5024999999999995</v>
      </c>
      <c r="J58" s="472">
        <v>265</v>
      </c>
      <c r="K58" s="518">
        <v>1988.4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J1"/>
    </sheetView>
  </sheetViews>
  <sheetFormatPr defaultRowHeight="14.4" outlineLevelRow="1" x14ac:dyDescent="0.3"/>
  <cols>
    <col min="1" max="1" width="37.21875" customWidth="1"/>
    <col min="2" max="36" width="13.109375" customWidth="1"/>
  </cols>
  <sheetData>
    <row r="1" spans="1:36" ht="18.600000000000001" thickBot="1" x14ac:dyDescent="0.4">
      <c r="A1" s="382" t="s">
        <v>105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</row>
    <row r="2" spans="1:36" ht="15" thickBot="1" x14ac:dyDescent="0.35">
      <c r="A2" s="231" t="s">
        <v>244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</row>
    <row r="3" spans="1:36" x14ac:dyDescent="0.3">
      <c r="A3" s="252" t="s">
        <v>200</v>
      </c>
      <c r="B3" s="383" t="s">
        <v>179</v>
      </c>
      <c r="C3" s="233">
        <v>0</v>
      </c>
      <c r="D3" s="234">
        <v>101</v>
      </c>
      <c r="E3" s="234">
        <v>102</v>
      </c>
      <c r="F3" s="254">
        <v>203</v>
      </c>
      <c r="G3" s="254">
        <v>305</v>
      </c>
      <c r="H3" s="254">
        <v>306</v>
      </c>
      <c r="I3" s="254">
        <v>408</v>
      </c>
      <c r="J3" s="254">
        <v>409</v>
      </c>
      <c r="K3" s="254">
        <v>410</v>
      </c>
      <c r="L3" s="254">
        <v>415</v>
      </c>
      <c r="M3" s="254">
        <v>416</v>
      </c>
      <c r="N3" s="254">
        <v>418</v>
      </c>
      <c r="O3" s="254">
        <v>419</v>
      </c>
      <c r="P3" s="254">
        <v>420</v>
      </c>
      <c r="Q3" s="254">
        <v>421</v>
      </c>
      <c r="R3" s="254">
        <v>522</v>
      </c>
      <c r="S3" s="254">
        <v>523</v>
      </c>
      <c r="T3" s="254">
        <v>524</v>
      </c>
      <c r="U3" s="254">
        <v>525</v>
      </c>
      <c r="V3" s="254">
        <v>526</v>
      </c>
      <c r="W3" s="254">
        <v>527</v>
      </c>
      <c r="X3" s="254">
        <v>528</v>
      </c>
      <c r="Y3" s="254">
        <v>629</v>
      </c>
      <c r="Z3" s="254">
        <v>630</v>
      </c>
      <c r="AA3" s="254">
        <v>636</v>
      </c>
      <c r="AB3" s="254">
        <v>637</v>
      </c>
      <c r="AC3" s="254">
        <v>640</v>
      </c>
      <c r="AD3" s="254">
        <v>642</v>
      </c>
      <c r="AE3" s="254">
        <v>743</v>
      </c>
      <c r="AF3" s="234">
        <v>745</v>
      </c>
      <c r="AG3" s="234">
        <v>746</v>
      </c>
      <c r="AH3" s="234">
        <v>747</v>
      </c>
      <c r="AI3" s="234">
        <v>930</v>
      </c>
      <c r="AJ3" s="235">
        <v>940</v>
      </c>
    </row>
    <row r="4" spans="1:36" ht="36.6" outlineLevel="1" thickBot="1" x14ac:dyDescent="0.35">
      <c r="A4" s="253">
        <v>2014</v>
      </c>
      <c r="B4" s="384"/>
      <c r="C4" s="236" t="s">
        <v>180</v>
      </c>
      <c r="D4" s="237" t="s">
        <v>181</v>
      </c>
      <c r="E4" s="237" t="s">
        <v>182</v>
      </c>
      <c r="F4" s="255" t="s">
        <v>183</v>
      </c>
      <c r="G4" s="255" t="s">
        <v>212</v>
      </c>
      <c r="H4" s="255" t="s">
        <v>213</v>
      </c>
      <c r="I4" s="255" t="s">
        <v>214</v>
      </c>
      <c r="J4" s="255" t="s">
        <v>215</v>
      </c>
      <c r="K4" s="255" t="s">
        <v>216</v>
      </c>
      <c r="L4" s="255" t="s">
        <v>217</v>
      </c>
      <c r="M4" s="255" t="s">
        <v>218</v>
      </c>
      <c r="N4" s="255" t="s">
        <v>219</v>
      </c>
      <c r="O4" s="255" t="s">
        <v>220</v>
      </c>
      <c r="P4" s="255" t="s">
        <v>221</v>
      </c>
      <c r="Q4" s="255" t="s">
        <v>222</v>
      </c>
      <c r="R4" s="255" t="s">
        <v>223</v>
      </c>
      <c r="S4" s="255" t="s">
        <v>224</v>
      </c>
      <c r="T4" s="255" t="s">
        <v>225</v>
      </c>
      <c r="U4" s="255" t="s">
        <v>226</v>
      </c>
      <c r="V4" s="255" t="s">
        <v>227</v>
      </c>
      <c r="W4" s="255" t="s">
        <v>228</v>
      </c>
      <c r="X4" s="255" t="s">
        <v>238</v>
      </c>
      <c r="Y4" s="255" t="s">
        <v>229</v>
      </c>
      <c r="Z4" s="255" t="s">
        <v>239</v>
      </c>
      <c r="AA4" s="255" t="s">
        <v>230</v>
      </c>
      <c r="AB4" s="255" t="s">
        <v>231</v>
      </c>
      <c r="AC4" s="255" t="s">
        <v>232</v>
      </c>
      <c r="AD4" s="255" t="s">
        <v>233</v>
      </c>
      <c r="AE4" s="255" t="s">
        <v>234</v>
      </c>
      <c r="AF4" s="237" t="s">
        <v>235</v>
      </c>
      <c r="AG4" s="237" t="s">
        <v>236</v>
      </c>
      <c r="AH4" s="237" t="s">
        <v>237</v>
      </c>
      <c r="AI4" s="237" t="s">
        <v>202</v>
      </c>
      <c r="AJ4" s="238" t="s">
        <v>184</v>
      </c>
    </row>
    <row r="5" spans="1:36" x14ac:dyDescent="0.3">
      <c r="A5" s="239" t="s">
        <v>185</v>
      </c>
      <c r="B5" s="280"/>
      <c r="C5" s="281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3"/>
    </row>
    <row r="6" spans="1:36" ht="15" collapsed="1" thickBot="1" x14ac:dyDescent="0.35">
      <c r="A6" s="240" t="s">
        <v>71</v>
      </c>
      <c r="B6" s="284" t="e">
        <f xml:space="preserve">
TRUNC(IF($A$4&lt;=12,SUMIFS(#REF!,#REF!,$A$4,#REF!,1),SUMIFS(#REF!,#REF!,1)/#REF!),1)</f>
        <v>#REF!</v>
      </c>
      <c r="C6" s="285" t="e">
        <f xml:space="preserve">
TRUNC(IF($A$4&lt;=12,SUMIFS(#REF!,#REF!,$A$4,#REF!,1),SUMIFS(#REF!,#REF!,1)/#REF!),1)</f>
        <v>#REF!</v>
      </c>
      <c r="D6" s="286" t="e">
        <f xml:space="preserve">
TRUNC(IF($A$4&lt;=12,SUMIFS(#REF!,#REF!,$A$4,#REF!,1),SUMIFS(#REF!,#REF!,1)/#REF!),1)</f>
        <v>#REF!</v>
      </c>
      <c r="E6" s="286" t="e">
        <f xml:space="preserve">
TRUNC(IF($A$4&lt;=12,SUMIFS(#REF!,#REF!,$A$4,#REF!,1),SUMIFS(#REF!,#REF!,1)/#REF!),1)</f>
        <v>#REF!</v>
      </c>
      <c r="F6" s="286" t="e">
        <f xml:space="preserve">
TRUNC(IF($A$4&lt;=12,SUMIFS(#REF!,#REF!,$A$4,#REF!,1),SUMIFS(#REF!,#REF!,1)/#REF!),1)</f>
        <v>#REF!</v>
      </c>
      <c r="G6" s="286" t="e">
        <f xml:space="preserve">
TRUNC(IF($A$4&lt;=12,SUMIFS(#REF!,#REF!,$A$4,#REF!,1),SUMIFS(#REF!,#REF!,1)/#REF!),1)</f>
        <v>#REF!</v>
      </c>
      <c r="H6" s="286" t="e">
        <f xml:space="preserve">
TRUNC(IF($A$4&lt;=12,SUMIFS(#REF!,#REF!,$A$4,#REF!,1),SUMIFS(#REF!,#REF!,1)/#REF!),1)</f>
        <v>#REF!</v>
      </c>
      <c r="I6" s="286" t="e">
        <f xml:space="preserve">
TRUNC(IF($A$4&lt;=12,SUMIFS(#REF!,#REF!,$A$4,#REF!,1),SUMIFS(#REF!,#REF!,1)/#REF!),1)</f>
        <v>#REF!</v>
      </c>
      <c r="J6" s="286" t="e">
        <f xml:space="preserve">
TRUNC(IF($A$4&lt;=12,SUMIFS(#REF!,#REF!,$A$4,#REF!,1),SUMIFS(#REF!,#REF!,1)/#REF!),1)</f>
        <v>#REF!</v>
      </c>
      <c r="K6" s="286" t="e">
        <f xml:space="preserve">
TRUNC(IF($A$4&lt;=12,SUMIFS(#REF!,#REF!,$A$4,#REF!,1),SUMIFS(#REF!,#REF!,1)/#REF!),1)</f>
        <v>#REF!</v>
      </c>
      <c r="L6" s="286" t="e">
        <f xml:space="preserve">
TRUNC(IF($A$4&lt;=12,SUMIFS(#REF!,#REF!,$A$4,#REF!,1),SUMIFS(#REF!,#REF!,1)/#REF!),1)</f>
        <v>#REF!</v>
      </c>
      <c r="M6" s="286" t="e">
        <f xml:space="preserve">
TRUNC(IF($A$4&lt;=12,SUMIFS(#REF!,#REF!,$A$4,#REF!,1),SUMIFS(#REF!,#REF!,1)/#REF!),1)</f>
        <v>#REF!</v>
      </c>
      <c r="N6" s="286" t="e">
        <f xml:space="preserve">
TRUNC(IF($A$4&lt;=12,SUMIFS(#REF!,#REF!,$A$4,#REF!,1),SUMIFS(#REF!,#REF!,1)/#REF!),1)</f>
        <v>#REF!</v>
      </c>
      <c r="O6" s="286" t="e">
        <f xml:space="preserve">
TRUNC(IF($A$4&lt;=12,SUMIFS(#REF!,#REF!,$A$4,#REF!,1),SUMIFS(#REF!,#REF!,1)/#REF!),1)</f>
        <v>#REF!</v>
      </c>
      <c r="P6" s="286" t="e">
        <f xml:space="preserve">
TRUNC(IF($A$4&lt;=12,SUMIFS(#REF!,#REF!,$A$4,#REF!,1),SUMIFS(#REF!,#REF!,1)/#REF!),1)</f>
        <v>#REF!</v>
      </c>
      <c r="Q6" s="286" t="e">
        <f xml:space="preserve">
TRUNC(IF($A$4&lt;=12,SUMIFS(#REF!,#REF!,$A$4,#REF!,1),SUMIFS(#REF!,#REF!,1)/#REF!),1)</f>
        <v>#REF!</v>
      </c>
      <c r="R6" s="286" t="e">
        <f xml:space="preserve">
TRUNC(IF($A$4&lt;=12,SUMIFS(#REF!,#REF!,$A$4,#REF!,1),SUMIFS(#REF!,#REF!,1)/#REF!),1)</f>
        <v>#REF!</v>
      </c>
      <c r="S6" s="286" t="e">
        <f xml:space="preserve">
TRUNC(IF($A$4&lt;=12,SUMIFS(#REF!,#REF!,$A$4,#REF!,1),SUMIFS(#REF!,#REF!,1)/#REF!),1)</f>
        <v>#REF!</v>
      </c>
      <c r="T6" s="286" t="e">
        <f xml:space="preserve">
TRUNC(IF($A$4&lt;=12,SUMIFS(#REF!,#REF!,$A$4,#REF!,1),SUMIFS(#REF!,#REF!,1)/#REF!),1)</f>
        <v>#REF!</v>
      </c>
      <c r="U6" s="286" t="e">
        <f xml:space="preserve">
TRUNC(IF($A$4&lt;=12,SUMIFS(#REF!,#REF!,$A$4,#REF!,1),SUMIFS(#REF!,#REF!,1)/#REF!),1)</f>
        <v>#REF!</v>
      </c>
      <c r="V6" s="286" t="e">
        <f xml:space="preserve">
TRUNC(IF($A$4&lt;=12,SUMIFS(#REF!,#REF!,$A$4,#REF!,1),SUMIFS(#REF!,#REF!,1)/#REF!),1)</f>
        <v>#REF!</v>
      </c>
      <c r="W6" s="286" t="e">
        <f xml:space="preserve">
TRUNC(IF($A$4&lt;=12,SUMIFS(#REF!,#REF!,$A$4,#REF!,1),SUMIFS(#REF!,#REF!,1)/#REF!),1)</f>
        <v>#REF!</v>
      </c>
      <c r="X6" s="286" t="e">
        <f xml:space="preserve">
TRUNC(IF($A$4&lt;=12,SUMIFS(#REF!,#REF!,$A$4,#REF!,1),SUMIFS(#REF!,#REF!,1)/#REF!),1)</f>
        <v>#REF!</v>
      </c>
      <c r="Y6" s="286" t="e">
        <f xml:space="preserve">
TRUNC(IF($A$4&lt;=12,SUMIFS(#REF!,#REF!,$A$4,#REF!,1),SUMIFS(#REF!,#REF!,1)/#REF!),1)</f>
        <v>#REF!</v>
      </c>
      <c r="Z6" s="286" t="e">
        <f xml:space="preserve">
TRUNC(IF($A$4&lt;=12,SUMIFS(#REF!,#REF!,$A$4,#REF!,1),SUMIFS(#REF!,#REF!,1)/#REF!),1)</f>
        <v>#REF!</v>
      </c>
      <c r="AA6" s="286" t="e">
        <f xml:space="preserve">
TRUNC(IF($A$4&lt;=12,SUMIFS(#REF!,#REF!,$A$4,#REF!,1),SUMIFS(#REF!,#REF!,1)/#REF!),1)</f>
        <v>#REF!</v>
      </c>
      <c r="AB6" s="286" t="e">
        <f xml:space="preserve">
TRUNC(IF($A$4&lt;=12,SUMIFS(#REF!,#REF!,$A$4,#REF!,1),SUMIFS(#REF!,#REF!,1)/#REF!),1)</f>
        <v>#REF!</v>
      </c>
      <c r="AC6" s="286" t="e">
        <f xml:space="preserve">
TRUNC(IF($A$4&lt;=12,SUMIFS(#REF!,#REF!,$A$4,#REF!,1),SUMIFS(#REF!,#REF!,1)/#REF!),1)</f>
        <v>#REF!</v>
      </c>
      <c r="AD6" s="286" t="e">
        <f xml:space="preserve">
TRUNC(IF($A$4&lt;=12,SUMIFS(#REF!,#REF!,$A$4,#REF!,1),SUMIFS(#REF!,#REF!,1)/#REF!),1)</f>
        <v>#REF!</v>
      </c>
      <c r="AE6" s="286" t="e">
        <f xml:space="preserve">
TRUNC(IF($A$4&lt;=12,SUMIFS(#REF!,#REF!,$A$4,#REF!,1),SUMIFS(#REF!,#REF!,1)/#REF!),1)</f>
        <v>#REF!</v>
      </c>
      <c r="AF6" s="286" t="e">
        <f xml:space="preserve">
TRUNC(IF($A$4&lt;=12,SUMIFS(#REF!,#REF!,$A$4,#REF!,1),SUMIFS(#REF!,#REF!,1)/#REF!),1)</f>
        <v>#REF!</v>
      </c>
      <c r="AG6" s="286" t="e">
        <f xml:space="preserve">
TRUNC(IF($A$4&lt;=12,SUMIFS(#REF!,#REF!,$A$4,#REF!,1),SUMIFS(#REF!,#REF!,1)/#REF!),1)</f>
        <v>#REF!</v>
      </c>
      <c r="AH6" s="286" t="e">
        <f xml:space="preserve">
TRUNC(IF($A$4&lt;=12,SUMIFS(#REF!,#REF!,$A$4,#REF!,1),SUMIFS(#REF!,#REF!,1)/#REF!),1)</f>
        <v>#REF!</v>
      </c>
      <c r="AI6" s="286" t="e">
        <f xml:space="preserve">
TRUNC(IF($A$4&lt;=12,SUMIFS(#REF!,#REF!,$A$4,#REF!,1),SUMIFS(#REF!,#REF!,1)/#REF!),1)</f>
        <v>#REF!</v>
      </c>
      <c r="AJ6" s="287" t="e">
        <f xml:space="preserve">
TRUNC(IF($A$4&lt;=12,SUMIFS(#REF!,#REF!,$A$4,#REF!,1),SUMIFS(#REF!,#REF!,1)/#REF!),1)</f>
        <v>#REF!</v>
      </c>
    </row>
    <row r="7" spans="1:36" ht="15" hidden="1" outlineLevel="1" thickBot="1" x14ac:dyDescent="0.35">
      <c r="A7" s="240" t="s">
        <v>106</v>
      </c>
      <c r="B7" s="284"/>
      <c r="C7" s="288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7"/>
    </row>
    <row r="8" spans="1:36" ht="15" hidden="1" outlineLevel="1" thickBot="1" x14ac:dyDescent="0.35">
      <c r="A8" s="240" t="s">
        <v>73</v>
      </c>
      <c r="B8" s="284"/>
      <c r="C8" s="288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7"/>
    </row>
    <row r="9" spans="1:36" ht="15" hidden="1" outlineLevel="1" thickBot="1" x14ac:dyDescent="0.35">
      <c r="A9" s="241" t="s">
        <v>66</v>
      </c>
      <c r="B9" s="289"/>
      <c r="C9" s="290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2"/>
    </row>
    <row r="10" spans="1:36" x14ac:dyDescent="0.3">
      <c r="A10" s="242" t="s">
        <v>186</v>
      </c>
      <c r="B10" s="256"/>
      <c r="C10" s="257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9"/>
    </row>
    <row r="11" spans="1:36" x14ac:dyDescent="0.3">
      <c r="A11" s="243" t="s">
        <v>187</v>
      </c>
      <c r="B11" s="260" t="e">
        <f xml:space="preserve">
IF($A$4&lt;=12,SUMIFS(#REF!,#REF!,$A$4,#REF!,2),SUMIFS(#REF!,#REF!,2))</f>
        <v>#REF!</v>
      </c>
      <c r="C11" s="261" t="e">
        <f xml:space="preserve">
IF($A$4&lt;=12,SUMIFS(#REF!,#REF!,$A$4,#REF!,2),SUMIFS(#REF!,#REF!,2))</f>
        <v>#REF!</v>
      </c>
      <c r="D11" s="262" t="e">
        <f xml:space="preserve">
IF($A$4&lt;=12,SUMIFS(#REF!,#REF!,$A$4,#REF!,2),SUMIFS(#REF!,#REF!,2))</f>
        <v>#REF!</v>
      </c>
      <c r="E11" s="262" t="e">
        <f xml:space="preserve">
IF($A$4&lt;=12,SUMIFS(#REF!,#REF!,$A$4,#REF!,2),SUMIFS(#REF!,#REF!,2))</f>
        <v>#REF!</v>
      </c>
      <c r="F11" s="262" t="e">
        <f xml:space="preserve">
IF($A$4&lt;=12,SUMIFS(#REF!,#REF!,$A$4,#REF!,2),SUMIFS(#REF!,#REF!,2))</f>
        <v>#REF!</v>
      </c>
      <c r="G11" s="262" t="e">
        <f xml:space="preserve">
IF($A$4&lt;=12,SUMIFS(#REF!,#REF!,$A$4,#REF!,2),SUMIFS(#REF!,#REF!,2))</f>
        <v>#REF!</v>
      </c>
      <c r="H11" s="262" t="e">
        <f xml:space="preserve">
IF($A$4&lt;=12,SUMIFS(#REF!,#REF!,$A$4,#REF!,2),SUMIFS(#REF!,#REF!,2))</f>
        <v>#REF!</v>
      </c>
      <c r="I11" s="262" t="e">
        <f xml:space="preserve">
IF($A$4&lt;=12,SUMIFS(#REF!,#REF!,$A$4,#REF!,2),SUMIFS(#REF!,#REF!,2))</f>
        <v>#REF!</v>
      </c>
      <c r="J11" s="262" t="e">
        <f xml:space="preserve">
IF($A$4&lt;=12,SUMIFS(#REF!,#REF!,$A$4,#REF!,2),SUMIFS(#REF!,#REF!,2))</f>
        <v>#REF!</v>
      </c>
      <c r="K11" s="262" t="e">
        <f xml:space="preserve">
IF($A$4&lt;=12,SUMIFS(#REF!,#REF!,$A$4,#REF!,2),SUMIFS(#REF!,#REF!,2))</f>
        <v>#REF!</v>
      </c>
      <c r="L11" s="262" t="e">
        <f xml:space="preserve">
IF($A$4&lt;=12,SUMIFS(#REF!,#REF!,$A$4,#REF!,2),SUMIFS(#REF!,#REF!,2))</f>
        <v>#REF!</v>
      </c>
      <c r="M11" s="262" t="e">
        <f xml:space="preserve">
IF($A$4&lt;=12,SUMIFS(#REF!,#REF!,$A$4,#REF!,2),SUMIFS(#REF!,#REF!,2))</f>
        <v>#REF!</v>
      </c>
      <c r="N11" s="262" t="e">
        <f xml:space="preserve">
IF($A$4&lt;=12,SUMIFS(#REF!,#REF!,$A$4,#REF!,2),SUMIFS(#REF!,#REF!,2))</f>
        <v>#REF!</v>
      </c>
      <c r="O11" s="262" t="e">
        <f xml:space="preserve">
IF($A$4&lt;=12,SUMIFS(#REF!,#REF!,$A$4,#REF!,2),SUMIFS(#REF!,#REF!,2))</f>
        <v>#REF!</v>
      </c>
      <c r="P11" s="262" t="e">
        <f xml:space="preserve">
IF($A$4&lt;=12,SUMIFS(#REF!,#REF!,$A$4,#REF!,2),SUMIFS(#REF!,#REF!,2))</f>
        <v>#REF!</v>
      </c>
      <c r="Q11" s="262" t="e">
        <f xml:space="preserve">
IF($A$4&lt;=12,SUMIFS(#REF!,#REF!,$A$4,#REF!,2),SUMIFS(#REF!,#REF!,2))</f>
        <v>#REF!</v>
      </c>
      <c r="R11" s="262" t="e">
        <f xml:space="preserve">
IF($A$4&lt;=12,SUMIFS(#REF!,#REF!,$A$4,#REF!,2),SUMIFS(#REF!,#REF!,2))</f>
        <v>#REF!</v>
      </c>
      <c r="S11" s="262" t="e">
        <f xml:space="preserve">
IF($A$4&lt;=12,SUMIFS(#REF!,#REF!,$A$4,#REF!,2),SUMIFS(#REF!,#REF!,2))</f>
        <v>#REF!</v>
      </c>
      <c r="T11" s="262" t="e">
        <f xml:space="preserve">
IF($A$4&lt;=12,SUMIFS(#REF!,#REF!,$A$4,#REF!,2),SUMIFS(#REF!,#REF!,2))</f>
        <v>#REF!</v>
      </c>
      <c r="U11" s="262" t="e">
        <f xml:space="preserve">
IF($A$4&lt;=12,SUMIFS(#REF!,#REF!,$A$4,#REF!,2),SUMIFS(#REF!,#REF!,2))</f>
        <v>#REF!</v>
      </c>
      <c r="V11" s="262" t="e">
        <f xml:space="preserve">
IF($A$4&lt;=12,SUMIFS(#REF!,#REF!,$A$4,#REF!,2),SUMIFS(#REF!,#REF!,2))</f>
        <v>#REF!</v>
      </c>
      <c r="W11" s="262" t="e">
        <f xml:space="preserve">
IF($A$4&lt;=12,SUMIFS(#REF!,#REF!,$A$4,#REF!,2),SUMIFS(#REF!,#REF!,2))</f>
        <v>#REF!</v>
      </c>
      <c r="X11" s="262" t="e">
        <f xml:space="preserve">
IF($A$4&lt;=12,SUMIFS(#REF!,#REF!,$A$4,#REF!,2),SUMIFS(#REF!,#REF!,2))</f>
        <v>#REF!</v>
      </c>
      <c r="Y11" s="262" t="e">
        <f xml:space="preserve">
IF($A$4&lt;=12,SUMIFS(#REF!,#REF!,$A$4,#REF!,2),SUMIFS(#REF!,#REF!,2))</f>
        <v>#REF!</v>
      </c>
      <c r="Z11" s="262" t="e">
        <f xml:space="preserve">
IF($A$4&lt;=12,SUMIFS(#REF!,#REF!,$A$4,#REF!,2),SUMIFS(#REF!,#REF!,2))</f>
        <v>#REF!</v>
      </c>
      <c r="AA11" s="262" t="e">
        <f xml:space="preserve">
IF($A$4&lt;=12,SUMIFS(#REF!,#REF!,$A$4,#REF!,2),SUMIFS(#REF!,#REF!,2))</f>
        <v>#REF!</v>
      </c>
      <c r="AB11" s="262" t="e">
        <f xml:space="preserve">
IF($A$4&lt;=12,SUMIFS(#REF!,#REF!,$A$4,#REF!,2),SUMIFS(#REF!,#REF!,2))</f>
        <v>#REF!</v>
      </c>
      <c r="AC11" s="262" t="e">
        <f xml:space="preserve">
IF($A$4&lt;=12,SUMIFS(#REF!,#REF!,$A$4,#REF!,2),SUMIFS(#REF!,#REF!,2))</f>
        <v>#REF!</v>
      </c>
      <c r="AD11" s="262" t="e">
        <f xml:space="preserve">
IF($A$4&lt;=12,SUMIFS(#REF!,#REF!,$A$4,#REF!,2),SUMIFS(#REF!,#REF!,2))</f>
        <v>#REF!</v>
      </c>
      <c r="AE11" s="262" t="e">
        <f xml:space="preserve">
IF($A$4&lt;=12,SUMIFS(#REF!,#REF!,$A$4,#REF!,2),SUMIFS(#REF!,#REF!,2))</f>
        <v>#REF!</v>
      </c>
      <c r="AF11" s="262" t="e">
        <f xml:space="preserve">
IF($A$4&lt;=12,SUMIFS(#REF!,#REF!,$A$4,#REF!,2),SUMIFS(#REF!,#REF!,2))</f>
        <v>#REF!</v>
      </c>
      <c r="AG11" s="262" t="e">
        <f xml:space="preserve">
IF($A$4&lt;=12,SUMIFS(#REF!,#REF!,$A$4,#REF!,2),SUMIFS(#REF!,#REF!,2))</f>
        <v>#REF!</v>
      </c>
      <c r="AH11" s="262" t="e">
        <f xml:space="preserve">
IF($A$4&lt;=12,SUMIFS(#REF!,#REF!,$A$4,#REF!,2),SUMIFS(#REF!,#REF!,2))</f>
        <v>#REF!</v>
      </c>
      <c r="AI11" s="262" t="e">
        <f xml:space="preserve">
IF($A$4&lt;=12,SUMIFS(#REF!,#REF!,$A$4,#REF!,2),SUMIFS(#REF!,#REF!,2))</f>
        <v>#REF!</v>
      </c>
      <c r="AJ11" s="263" t="e">
        <f xml:space="preserve">
IF($A$4&lt;=12,SUMIFS(#REF!,#REF!,$A$4,#REF!,2),SUMIFS(#REF!,#REF!,2))</f>
        <v>#REF!</v>
      </c>
    </row>
    <row r="12" spans="1:36" x14ac:dyDescent="0.3">
      <c r="A12" s="243" t="s">
        <v>188</v>
      </c>
      <c r="B12" s="260" t="e">
        <f xml:space="preserve">
IF($A$4&lt;=12,SUMIFS(#REF!,#REF!,$A$4,#REF!,3),SUMIFS(#REF!,#REF!,3))</f>
        <v>#REF!</v>
      </c>
      <c r="C12" s="261" t="e">
        <f xml:space="preserve">
IF($A$4&lt;=12,SUMIFS(#REF!,#REF!,$A$4,#REF!,3),SUMIFS(#REF!,#REF!,3))</f>
        <v>#REF!</v>
      </c>
      <c r="D12" s="262" t="e">
        <f xml:space="preserve">
IF($A$4&lt;=12,SUMIFS(#REF!,#REF!,$A$4,#REF!,3),SUMIFS(#REF!,#REF!,3))</f>
        <v>#REF!</v>
      </c>
      <c r="E12" s="262" t="e">
        <f xml:space="preserve">
IF($A$4&lt;=12,SUMIFS(#REF!,#REF!,$A$4,#REF!,3),SUMIFS(#REF!,#REF!,3))</f>
        <v>#REF!</v>
      </c>
      <c r="F12" s="262" t="e">
        <f xml:space="preserve">
IF($A$4&lt;=12,SUMIFS(#REF!,#REF!,$A$4,#REF!,3),SUMIFS(#REF!,#REF!,3))</f>
        <v>#REF!</v>
      </c>
      <c r="G12" s="262" t="e">
        <f xml:space="preserve">
IF($A$4&lt;=12,SUMIFS(#REF!,#REF!,$A$4,#REF!,3),SUMIFS(#REF!,#REF!,3))</f>
        <v>#REF!</v>
      </c>
      <c r="H12" s="262" t="e">
        <f xml:space="preserve">
IF($A$4&lt;=12,SUMIFS(#REF!,#REF!,$A$4,#REF!,3),SUMIFS(#REF!,#REF!,3))</f>
        <v>#REF!</v>
      </c>
      <c r="I12" s="262" t="e">
        <f xml:space="preserve">
IF($A$4&lt;=12,SUMIFS(#REF!,#REF!,$A$4,#REF!,3),SUMIFS(#REF!,#REF!,3))</f>
        <v>#REF!</v>
      </c>
      <c r="J12" s="262" t="e">
        <f xml:space="preserve">
IF($A$4&lt;=12,SUMIFS(#REF!,#REF!,$A$4,#REF!,3),SUMIFS(#REF!,#REF!,3))</f>
        <v>#REF!</v>
      </c>
      <c r="K12" s="262" t="e">
        <f xml:space="preserve">
IF($A$4&lt;=12,SUMIFS(#REF!,#REF!,$A$4,#REF!,3),SUMIFS(#REF!,#REF!,3))</f>
        <v>#REF!</v>
      </c>
      <c r="L12" s="262" t="e">
        <f xml:space="preserve">
IF($A$4&lt;=12,SUMIFS(#REF!,#REF!,$A$4,#REF!,3),SUMIFS(#REF!,#REF!,3))</f>
        <v>#REF!</v>
      </c>
      <c r="M12" s="262" t="e">
        <f xml:space="preserve">
IF($A$4&lt;=12,SUMIFS(#REF!,#REF!,$A$4,#REF!,3),SUMIFS(#REF!,#REF!,3))</f>
        <v>#REF!</v>
      </c>
      <c r="N12" s="262" t="e">
        <f xml:space="preserve">
IF($A$4&lt;=12,SUMIFS(#REF!,#REF!,$A$4,#REF!,3),SUMIFS(#REF!,#REF!,3))</f>
        <v>#REF!</v>
      </c>
      <c r="O12" s="262" t="e">
        <f xml:space="preserve">
IF($A$4&lt;=12,SUMIFS(#REF!,#REF!,$A$4,#REF!,3),SUMIFS(#REF!,#REF!,3))</f>
        <v>#REF!</v>
      </c>
      <c r="P12" s="262" t="e">
        <f xml:space="preserve">
IF($A$4&lt;=12,SUMIFS(#REF!,#REF!,$A$4,#REF!,3),SUMIFS(#REF!,#REF!,3))</f>
        <v>#REF!</v>
      </c>
      <c r="Q12" s="262" t="e">
        <f xml:space="preserve">
IF($A$4&lt;=12,SUMIFS(#REF!,#REF!,$A$4,#REF!,3),SUMIFS(#REF!,#REF!,3))</f>
        <v>#REF!</v>
      </c>
      <c r="R12" s="262" t="e">
        <f xml:space="preserve">
IF($A$4&lt;=12,SUMIFS(#REF!,#REF!,$A$4,#REF!,3),SUMIFS(#REF!,#REF!,3))</f>
        <v>#REF!</v>
      </c>
      <c r="S12" s="262" t="e">
        <f xml:space="preserve">
IF($A$4&lt;=12,SUMIFS(#REF!,#REF!,$A$4,#REF!,3),SUMIFS(#REF!,#REF!,3))</f>
        <v>#REF!</v>
      </c>
      <c r="T12" s="262" t="e">
        <f xml:space="preserve">
IF($A$4&lt;=12,SUMIFS(#REF!,#REF!,$A$4,#REF!,3),SUMIFS(#REF!,#REF!,3))</f>
        <v>#REF!</v>
      </c>
      <c r="U12" s="262" t="e">
        <f xml:space="preserve">
IF($A$4&lt;=12,SUMIFS(#REF!,#REF!,$A$4,#REF!,3),SUMIFS(#REF!,#REF!,3))</f>
        <v>#REF!</v>
      </c>
      <c r="V12" s="262" t="e">
        <f xml:space="preserve">
IF($A$4&lt;=12,SUMIFS(#REF!,#REF!,$A$4,#REF!,3),SUMIFS(#REF!,#REF!,3))</f>
        <v>#REF!</v>
      </c>
      <c r="W12" s="262" t="e">
        <f xml:space="preserve">
IF($A$4&lt;=12,SUMIFS(#REF!,#REF!,$A$4,#REF!,3),SUMIFS(#REF!,#REF!,3))</f>
        <v>#REF!</v>
      </c>
      <c r="X12" s="262" t="e">
        <f xml:space="preserve">
IF($A$4&lt;=12,SUMIFS(#REF!,#REF!,$A$4,#REF!,3),SUMIFS(#REF!,#REF!,3))</f>
        <v>#REF!</v>
      </c>
      <c r="Y12" s="262" t="e">
        <f xml:space="preserve">
IF($A$4&lt;=12,SUMIFS(#REF!,#REF!,$A$4,#REF!,3),SUMIFS(#REF!,#REF!,3))</f>
        <v>#REF!</v>
      </c>
      <c r="Z12" s="262" t="e">
        <f xml:space="preserve">
IF($A$4&lt;=12,SUMIFS(#REF!,#REF!,$A$4,#REF!,3),SUMIFS(#REF!,#REF!,3))</f>
        <v>#REF!</v>
      </c>
      <c r="AA12" s="262" t="e">
        <f xml:space="preserve">
IF($A$4&lt;=12,SUMIFS(#REF!,#REF!,$A$4,#REF!,3),SUMIFS(#REF!,#REF!,3))</f>
        <v>#REF!</v>
      </c>
      <c r="AB12" s="262" t="e">
        <f xml:space="preserve">
IF($A$4&lt;=12,SUMIFS(#REF!,#REF!,$A$4,#REF!,3),SUMIFS(#REF!,#REF!,3))</f>
        <v>#REF!</v>
      </c>
      <c r="AC12" s="262" t="e">
        <f xml:space="preserve">
IF($A$4&lt;=12,SUMIFS(#REF!,#REF!,$A$4,#REF!,3),SUMIFS(#REF!,#REF!,3))</f>
        <v>#REF!</v>
      </c>
      <c r="AD12" s="262" t="e">
        <f xml:space="preserve">
IF($A$4&lt;=12,SUMIFS(#REF!,#REF!,$A$4,#REF!,3),SUMIFS(#REF!,#REF!,3))</f>
        <v>#REF!</v>
      </c>
      <c r="AE12" s="262" t="e">
        <f xml:space="preserve">
IF($A$4&lt;=12,SUMIFS(#REF!,#REF!,$A$4,#REF!,3),SUMIFS(#REF!,#REF!,3))</f>
        <v>#REF!</v>
      </c>
      <c r="AF12" s="262" t="e">
        <f xml:space="preserve">
IF($A$4&lt;=12,SUMIFS(#REF!,#REF!,$A$4,#REF!,3),SUMIFS(#REF!,#REF!,3))</f>
        <v>#REF!</v>
      </c>
      <c r="AG12" s="262" t="e">
        <f xml:space="preserve">
IF($A$4&lt;=12,SUMIFS(#REF!,#REF!,$A$4,#REF!,3),SUMIFS(#REF!,#REF!,3))</f>
        <v>#REF!</v>
      </c>
      <c r="AH12" s="262" t="e">
        <f xml:space="preserve">
IF($A$4&lt;=12,SUMIFS(#REF!,#REF!,$A$4,#REF!,3),SUMIFS(#REF!,#REF!,3))</f>
        <v>#REF!</v>
      </c>
      <c r="AI12" s="262" t="e">
        <f xml:space="preserve">
IF($A$4&lt;=12,SUMIFS(#REF!,#REF!,$A$4,#REF!,3),SUMIFS(#REF!,#REF!,3))</f>
        <v>#REF!</v>
      </c>
      <c r="AJ12" s="263" t="e">
        <f xml:space="preserve">
IF($A$4&lt;=12,SUMIFS(#REF!,#REF!,$A$4,#REF!,3),SUMIFS(#REF!,#REF!,3))</f>
        <v>#REF!</v>
      </c>
    </row>
    <row r="13" spans="1:36" x14ac:dyDescent="0.3">
      <c r="A13" s="243" t="s">
        <v>195</v>
      </c>
      <c r="B13" s="260" t="e">
        <f xml:space="preserve">
IF($A$4&lt;=12,SUMIFS(#REF!,#REF!,$A$4,#REF!,4),SUMIFS(#REF!,#REF!,4))</f>
        <v>#REF!</v>
      </c>
      <c r="C13" s="261" t="e">
        <f xml:space="preserve">
IF($A$4&lt;=12,SUMIFS(#REF!,#REF!,$A$4,#REF!,4),SUMIFS(#REF!,#REF!,4))</f>
        <v>#REF!</v>
      </c>
      <c r="D13" s="262" t="e">
        <f xml:space="preserve">
IF($A$4&lt;=12,SUMIFS(#REF!,#REF!,$A$4,#REF!,4),SUMIFS(#REF!,#REF!,4))</f>
        <v>#REF!</v>
      </c>
      <c r="E13" s="262" t="e">
        <f xml:space="preserve">
IF($A$4&lt;=12,SUMIFS(#REF!,#REF!,$A$4,#REF!,4),SUMIFS(#REF!,#REF!,4))</f>
        <v>#REF!</v>
      </c>
      <c r="F13" s="262" t="e">
        <f xml:space="preserve">
IF($A$4&lt;=12,SUMIFS(#REF!,#REF!,$A$4,#REF!,4),SUMIFS(#REF!,#REF!,4))</f>
        <v>#REF!</v>
      </c>
      <c r="G13" s="262" t="e">
        <f xml:space="preserve">
IF($A$4&lt;=12,SUMIFS(#REF!,#REF!,$A$4,#REF!,4),SUMIFS(#REF!,#REF!,4))</f>
        <v>#REF!</v>
      </c>
      <c r="H13" s="262" t="e">
        <f xml:space="preserve">
IF($A$4&lt;=12,SUMIFS(#REF!,#REF!,$A$4,#REF!,4),SUMIFS(#REF!,#REF!,4))</f>
        <v>#REF!</v>
      </c>
      <c r="I13" s="262" t="e">
        <f xml:space="preserve">
IF($A$4&lt;=12,SUMIFS(#REF!,#REF!,$A$4,#REF!,4),SUMIFS(#REF!,#REF!,4))</f>
        <v>#REF!</v>
      </c>
      <c r="J13" s="262" t="e">
        <f xml:space="preserve">
IF($A$4&lt;=12,SUMIFS(#REF!,#REF!,$A$4,#REF!,4),SUMIFS(#REF!,#REF!,4))</f>
        <v>#REF!</v>
      </c>
      <c r="K13" s="262" t="e">
        <f xml:space="preserve">
IF($A$4&lt;=12,SUMIFS(#REF!,#REF!,$A$4,#REF!,4),SUMIFS(#REF!,#REF!,4))</f>
        <v>#REF!</v>
      </c>
      <c r="L13" s="262" t="e">
        <f xml:space="preserve">
IF($A$4&lt;=12,SUMIFS(#REF!,#REF!,$A$4,#REF!,4),SUMIFS(#REF!,#REF!,4))</f>
        <v>#REF!</v>
      </c>
      <c r="M13" s="262" t="e">
        <f xml:space="preserve">
IF($A$4&lt;=12,SUMIFS(#REF!,#REF!,$A$4,#REF!,4),SUMIFS(#REF!,#REF!,4))</f>
        <v>#REF!</v>
      </c>
      <c r="N13" s="262" t="e">
        <f xml:space="preserve">
IF($A$4&lt;=12,SUMIFS(#REF!,#REF!,$A$4,#REF!,4),SUMIFS(#REF!,#REF!,4))</f>
        <v>#REF!</v>
      </c>
      <c r="O13" s="262" t="e">
        <f xml:space="preserve">
IF($A$4&lt;=12,SUMIFS(#REF!,#REF!,$A$4,#REF!,4),SUMIFS(#REF!,#REF!,4))</f>
        <v>#REF!</v>
      </c>
      <c r="P13" s="262" t="e">
        <f xml:space="preserve">
IF($A$4&lt;=12,SUMIFS(#REF!,#REF!,$A$4,#REF!,4),SUMIFS(#REF!,#REF!,4))</f>
        <v>#REF!</v>
      </c>
      <c r="Q13" s="262" t="e">
        <f xml:space="preserve">
IF($A$4&lt;=12,SUMIFS(#REF!,#REF!,$A$4,#REF!,4),SUMIFS(#REF!,#REF!,4))</f>
        <v>#REF!</v>
      </c>
      <c r="R13" s="262" t="e">
        <f xml:space="preserve">
IF($A$4&lt;=12,SUMIFS(#REF!,#REF!,$A$4,#REF!,4),SUMIFS(#REF!,#REF!,4))</f>
        <v>#REF!</v>
      </c>
      <c r="S13" s="262" t="e">
        <f xml:space="preserve">
IF($A$4&lt;=12,SUMIFS(#REF!,#REF!,$A$4,#REF!,4),SUMIFS(#REF!,#REF!,4))</f>
        <v>#REF!</v>
      </c>
      <c r="T13" s="262" t="e">
        <f xml:space="preserve">
IF($A$4&lt;=12,SUMIFS(#REF!,#REF!,$A$4,#REF!,4),SUMIFS(#REF!,#REF!,4))</f>
        <v>#REF!</v>
      </c>
      <c r="U13" s="262" t="e">
        <f xml:space="preserve">
IF($A$4&lt;=12,SUMIFS(#REF!,#REF!,$A$4,#REF!,4),SUMIFS(#REF!,#REF!,4))</f>
        <v>#REF!</v>
      </c>
      <c r="V13" s="262" t="e">
        <f xml:space="preserve">
IF($A$4&lt;=12,SUMIFS(#REF!,#REF!,$A$4,#REF!,4),SUMIFS(#REF!,#REF!,4))</f>
        <v>#REF!</v>
      </c>
      <c r="W13" s="262" t="e">
        <f xml:space="preserve">
IF($A$4&lt;=12,SUMIFS(#REF!,#REF!,$A$4,#REF!,4),SUMIFS(#REF!,#REF!,4))</f>
        <v>#REF!</v>
      </c>
      <c r="X13" s="262" t="e">
        <f xml:space="preserve">
IF($A$4&lt;=12,SUMIFS(#REF!,#REF!,$A$4,#REF!,4),SUMIFS(#REF!,#REF!,4))</f>
        <v>#REF!</v>
      </c>
      <c r="Y13" s="262" t="e">
        <f xml:space="preserve">
IF($A$4&lt;=12,SUMIFS(#REF!,#REF!,$A$4,#REF!,4),SUMIFS(#REF!,#REF!,4))</f>
        <v>#REF!</v>
      </c>
      <c r="Z13" s="262" t="e">
        <f xml:space="preserve">
IF($A$4&lt;=12,SUMIFS(#REF!,#REF!,$A$4,#REF!,4),SUMIFS(#REF!,#REF!,4))</f>
        <v>#REF!</v>
      </c>
      <c r="AA13" s="262" t="e">
        <f xml:space="preserve">
IF($A$4&lt;=12,SUMIFS(#REF!,#REF!,$A$4,#REF!,4),SUMIFS(#REF!,#REF!,4))</f>
        <v>#REF!</v>
      </c>
      <c r="AB13" s="262" t="e">
        <f xml:space="preserve">
IF($A$4&lt;=12,SUMIFS(#REF!,#REF!,$A$4,#REF!,4),SUMIFS(#REF!,#REF!,4))</f>
        <v>#REF!</v>
      </c>
      <c r="AC13" s="262" t="e">
        <f xml:space="preserve">
IF($A$4&lt;=12,SUMIFS(#REF!,#REF!,$A$4,#REF!,4),SUMIFS(#REF!,#REF!,4))</f>
        <v>#REF!</v>
      </c>
      <c r="AD13" s="262" t="e">
        <f xml:space="preserve">
IF($A$4&lt;=12,SUMIFS(#REF!,#REF!,$A$4,#REF!,4),SUMIFS(#REF!,#REF!,4))</f>
        <v>#REF!</v>
      </c>
      <c r="AE13" s="262" t="e">
        <f xml:space="preserve">
IF($A$4&lt;=12,SUMIFS(#REF!,#REF!,$A$4,#REF!,4),SUMIFS(#REF!,#REF!,4))</f>
        <v>#REF!</v>
      </c>
      <c r="AF13" s="262" t="e">
        <f xml:space="preserve">
IF($A$4&lt;=12,SUMIFS(#REF!,#REF!,$A$4,#REF!,4),SUMIFS(#REF!,#REF!,4))</f>
        <v>#REF!</v>
      </c>
      <c r="AG13" s="262" t="e">
        <f xml:space="preserve">
IF($A$4&lt;=12,SUMIFS(#REF!,#REF!,$A$4,#REF!,4),SUMIFS(#REF!,#REF!,4))</f>
        <v>#REF!</v>
      </c>
      <c r="AH13" s="262" t="e">
        <f xml:space="preserve">
IF($A$4&lt;=12,SUMIFS(#REF!,#REF!,$A$4,#REF!,4),SUMIFS(#REF!,#REF!,4))</f>
        <v>#REF!</v>
      </c>
      <c r="AI13" s="262" t="e">
        <f xml:space="preserve">
IF($A$4&lt;=12,SUMIFS(#REF!,#REF!,$A$4,#REF!,4),SUMIFS(#REF!,#REF!,4))</f>
        <v>#REF!</v>
      </c>
      <c r="AJ13" s="263" t="e">
        <f xml:space="preserve">
IF($A$4&lt;=12,SUMIFS(#REF!,#REF!,$A$4,#REF!,4),SUMIFS(#REF!,#REF!,4))</f>
        <v>#REF!</v>
      </c>
    </row>
    <row r="14" spans="1:36" ht="15" thickBot="1" x14ac:dyDescent="0.35">
      <c r="A14" s="244" t="s">
        <v>189</v>
      </c>
      <c r="B14" s="264" t="e">
        <f xml:space="preserve">
IF($A$4&lt;=12,SUMIFS(#REF!,#REF!,$A$4,#REF!,5),SUMIFS(#REF!,#REF!,5))</f>
        <v>#REF!</v>
      </c>
      <c r="C14" s="265" t="e">
        <f xml:space="preserve">
IF($A$4&lt;=12,SUMIFS(#REF!,#REF!,$A$4,#REF!,5),SUMIFS(#REF!,#REF!,5))</f>
        <v>#REF!</v>
      </c>
      <c r="D14" s="266" t="e">
        <f xml:space="preserve">
IF($A$4&lt;=12,SUMIFS(#REF!,#REF!,$A$4,#REF!,5),SUMIFS(#REF!,#REF!,5))</f>
        <v>#REF!</v>
      </c>
      <c r="E14" s="266" t="e">
        <f xml:space="preserve">
IF($A$4&lt;=12,SUMIFS(#REF!,#REF!,$A$4,#REF!,5),SUMIFS(#REF!,#REF!,5))</f>
        <v>#REF!</v>
      </c>
      <c r="F14" s="266" t="e">
        <f xml:space="preserve">
IF($A$4&lt;=12,SUMIFS(#REF!,#REF!,$A$4,#REF!,5),SUMIFS(#REF!,#REF!,5))</f>
        <v>#REF!</v>
      </c>
      <c r="G14" s="266" t="e">
        <f xml:space="preserve">
IF($A$4&lt;=12,SUMIFS(#REF!,#REF!,$A$4,#REF!,5),SUMIFS(#REF!,#REF!,5))</f>
        <v>#REF!</v>
      </c>
      <c r="H14" s="266" t="e">
        <f xml:space="preserve">
IF($A$4&lt;=12,SUMIFS(#REF!,#REF!,$A$4,#REF!,5),SUMIFS(#REF!,#REF!,5))</f>
        <v>#REF!</v>
      </c>
      <c r="I14" s="266" t="e">
        <f xml:space="preserve">
IF($A$4&lt;=12,SUMIFS(#REF!,#REF!,$A$4,#REF!,5),SUMIFS(#REF!,#REF!,5))</f>
        <v>#REF!</v>
      </c>
      <c r="J14" s="266" t="e">
        <f xml:space="preserve">
IF($A$4&lt;=12,SUMIFS(#REF!,#REF!,$A$4,#REF!,5),SUMIFS(#REF!,#REF!,5))</f>
        <v>#REF!</v>
      </c>
      <c r="K14" s="266" t="e">
        <f xml:space="preserve">
IF($A$4&lt;=12,SUMIFS(#REF!,#REF!,$A$4,#REF!,5),SUMIFS(#REF!,#REF!,5))</f>
        <v>#REF!</v>
      </c>
      <c r="L14" s="266" t="e">
        <f xml:space="preserve">
IF($A$4&lt;=12,SUMIFS(#REF!,#REF!,$A$4,#REF!,5),SUMIFS(#REF!,#REF!,5))</f>
        <v>#REF!</v>
      </c>
      <c r="M14" s="266" t="e">
        <f xml:space="preserve">
IF($A$4&lt;=12,SUMIFS(#REF!,#REF!,$A$4,#REF!,5),SUMIFS(#REF!,#REF!,5))</f>
        <v>#REF!</v>
      </c>
      <c r="N14" s="266" t="e">
        <f xml:space="preserve">
IF($A$4&lt;=12,SUMIFS(#REF!,#REF!,$A$4,#REF!,5),SUMIFS(#REF!,#REF!,5))</f>
        <v>#REF!</v>
      </c>
      <c r="O14" s="266" t="e">
        <f xml:space="preserve">
IF($A$4&lt;=12,SUMIFS(#REF!,#REF!,$A$4,#REF!,5),SUMIFS(#REF!,#REF!,5))</f>
        <v>#REF!</v>
      </c>
      <c r="P14" s="266" t="e">
        <f xml:space="preserve">
IF($A$4&lt;=12,SUMIFS(#REF!,#REF!,$A$4,#REF!,5),SUMIFS(#REF!,#REF!,5))</f>
        <v>#REF!</v>
      </c>
      <c r="Q14" s="266" t="e">
        <f xml:space="preserve">
IF($A$4&lt;=12,SUMIFS(#REF!,#REF!,$A$4,#REF!,5),SUMIFS(#REF!,#REF!,5))</f>
        <v>#REF!</v>
      </c>
      <c r="R14" s="266" t="e">
        <f xml:space="preserve">
IF($A$4&lt;=12,SUMIFS(#REF!,#REF!,$A$4,#REF!,5),SUMIFS(#REF!,#REF!,5))</f>
        <v>#REF!</v>
      </c>
      <c r="S14" s="266" t="e">
        <f xml:space="preserve">
IF($A$4&lt;=12,SUMIFS(#REF!,#REF!,$A$4,#REF!,5),SUMIFS(#REF!,#REF!,5))</f>
        <v>#REF!</v>
      </c>
      <c r="T14" s="266" t="e">
        <f xml:space="preserve">
IF($A$4&lt;=12,SUMIFS(#REF!,#REF!,$A$4,#REF!,5),SUMIFS(#REF!,#REF!,5))</f>
        <v>#REF!</v>
      </c>
      <c r="U14" s="266" t="e">
        <f xml:space="preserve">
IF($A$4&lt;=12,SUMIFS(#REF!,#REF!,$A$4,#REF!,5),SUMIFS(#REF!,#REF!,5))</f>
        <v>#REF!</v>
      </c>
      <c r="V14" s="266" t="e">
        <f xml:space="preserve">
IF($A$4&lt;=12,SUMIFS(#REF!,#REF!,$A$4,#REF!,5),SUMIFS(#REF!,#REF!,5))</f>
        <v>#REF!</v>
      </c>
      <c r="W14" s="266" t="e">
        <f xml:space="preserve">
IF($A$4&lt;=12,SUMIFS(#REF!,#REF!,$A$4,#REF!,5),SUMIFS(#REF!,#REF!,5))</f>
        <v>#REF!</v>
      </c>
      <c r="X14" s="266" t="e">
        <f xml:space="preserve">
IF($A$4&lt;=12,SUMIFS(#REF!,#REF!,$A$4,#REF!,5),SUMIFS(#REF!,#REF!,5))</f>
        <v>#REF!</v>
      </c>
      <c r="Y14" s="266" t="e">
        <f xml:space="preserve">
IF($A$4&lt;=12,SUMIFS(#REF!,#REF!,$A$4,#REF!,5),SUMIFS(#REF!,#REF!,5))</f>
        <v>#REF!</v>
      </c>
      <c r="Z14" s="266" t="e">
        <f xml:space="preserve">
IF($A$4&lt;=12,SUMIFS(#REF!,#REF!,$A$4,#REF!,5),SUMIFS(#REF!,#REF!,5))</f>
        <v>#REF!</v>
      </c>
      <c r="AA14" s="266" t="e">
        <f xml:space="preserve">
IF($A$4&lt;=12,SUMIFS(#REF!,#REF!,$A$4,#REF!,5),SUMIFS(#REF!,#REF!,5))</f>
        <v>#REF!</v>
      </c>
      <c r="AB14" s="266" t="e">
        <f xml:space="preserve">
IF($A$4&lt;=12,SUMIFS(#REF!,#REF!,$A$4,#REF!,5),SUMIFS(#REF!,#REF!,5))</f>
        <v>#REF!</v>
      </c>
      <c r="AC14" s="266" t="e">
        <f xml:space="preserve">
IF($A$4&lt;=12,SUMIFS(#REF!,#REF!,$A$4,#REF!,5),SUMIFS(#REF!,#REF!,5))</f>
        <v>#REF!</v>
      </c>
      <c r="AD14" s="266" t="e">
        <f xml:space="preserve">
IF($A$4&lt;=12,SUMIFS(#REF!,#REF!,$A$4,#REF!,5),SUMIFS(#REF!,#REF!,5))</f>
        <v>#REF!</v>
      </c>
      <c r="AE14" s="266" t="e">
        <f xml:space="preserve">
IF($A$4&lt;=12,SUMIFS(#REF!,#REF!,$A$4,#REF!,5),SUMIFS(#REF!,#REF!,5))</f>
        <v>#REF!</v>
      </c>
      <c r="AF14" s="266" t="e">
        <f xml:space="preserve">
IF($A$4&lt;=12,SUMIFS(#REF!,#REF!,$A$4,#REF!,5),SUMIFS(#REF!,#REF!,5))</f>
        <v>#REF!</v>
      </c>
      <c r="AG14" s="266" t="e">
        <f xml:space="preserve">
IF($A$4&lt;=12,SUMIFS(#REF!,#REF!,$A$4,#REF!,5),SUMIFS(#REF!,#REF!,5))</f>
        <v>#REF!</v>
      </c>
      <c r="AH14" s="266" t="e">
        <f xml:space="preserve">
IF($A$4&lt;=12,SUMIFS(#REF!,#REF!,$A$4,#REF!,5),SUMIFS(#REF!,#REF!,5))</f>
        <v>#REF!</v>
      </c>
      <c r="AI14" s="266" t="e">
        <f xml:space="preserve">
IF($A$4&lt;=12,SUMIFS(#REF!,#REF!,$A$4,#REF!,5),SUMIFS(#REF!,#REF!,5))</f>
        <v>#REF!</v>
      </c>
      <c r="AJ14" s="267" t="e">
        <f xml:space="preserve">
IF($A$4&lt;=12,SUMIFS(#REF!,#REF!,$A$4,#REF!,5),SUMIFS(#REF!,#REF!,5))</f>
        <v>#REF!</v>
      </c>
    </row>
    <row r="15" spans="1:36" x14ac:dyDescent="0.3">
      <c r="A15" s="163" t="s">
        <v>199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1"/>
    </row>
    <row r="16" spans="1:36" x14ac:dyDescent="0.3">
      <c r="A16" s="245" t="s">
        <v>190</v>
      </c>
      <c r="B16" s="260" t="e">
        <f xml:space="preserve">
IF($A$4&lt;=12,SUMIFS(#REF!,#REF!,$A$4,#REF!,7),SUMIFS(#REF!,#REF!,7))</f>
        <v>#REF!</v>
      </c>
      <c r="C16" s="261" t="e">
        <f xml:space="preserve">
IF($A$4&lt;=12,SUMIFS(#REF!,#REF!,$A$4,#REF!,7),SUMIFS(#REF!,#REF!,7))</f>
        <v>#REF!</v>
      </c>
      <c r="D16" s="262" t="e">
        <f xml:space="preserve">
IF($A$4&lt;=12,SUMIFS(#REF!,#REF!,$A$4,#REF!,7),SUMIFS(#REF!,#REF!,7))</f>
        <v>#REF!</v>
      </c>
      <c r="E16" s="262" t="e">
        <f xml:space="preserve">
IF($A$4&lt;=12,SUMIFS(#REF!,#REF!,$A$4,#REF!,7),SUMIFS(#REF!,#REF!,7))</f>
        <v>#REF!</v>
      </c>
      <c r="F16" s="262" t="e">
        <f xml:space="preserve">
IF($A$4&lt;=12,SUMIFS(#REF!,#REF!,$A$4,#REF!,7),SUMIFS(#REF!,#REF!,7))</f>
        <v>#REF!</v>
      </c>
      <c r="G16" s="262" t="e">
        <f xml:space="preserve">
IF($A$4&lt;=12,SUMIFS(#REF!,#REF!,$A$4,#REF!,7),SUMIFS(#REF!,#REF!,7))</f>
        <v>#REF!</v>
      </c>
      <c r="H16" s="262" t="e">
        <f xml:space="preserve">
IF($A$4&lt;=12,SUMIFS(#REF!,#REF!,$A$4,#REF!,7),SUMIFS(#REF!,#REF!,7))</f>
        <v>#REF!</v>
      </c>
      <c r="I16" s="262" t="e">
        <f xml:space="preserve">
IF($A$4&lt;=12,SUMIFS(#REF!,#REF!,$A$4,#REF!,7),SUMIFS(#REF!,#REF!,7))</f>
        <v>#REF!</v>
      </c>
      <c r="J16" s="262" t="e">
        <f xml:space="preserve">
IF($A$4&lt;=12,SUMIFS(#REF!,#REF!,$A$4,#REF!,7),SUMIFS(#REF!,#REF!,7))</f>
        <v>#REF!</v>
      </c>
      <c r="K16" s="262" t="e">
        <f xml:space="preserve">
IF($A$4&lt;=12,SUMIFS(#REF!,#REF!,$A$4,#REF!,7),SUMIFS(#REF!,#REF!,7))</f>
        <v>#REF!</v>
      </c>
      <c r="L16" s="262" t="e">
        <f xml:space="preserve">
IF($A$4&lt;=12,SUMIFS(#REF!,#REF!,$A$4,#REF!,7),SUMIFS(#REF!,#REF!,7))</f>
        <v>#REF!</v>
      </c>
      <c r="M16" s="262" t="e">
        <f xml:space="preserve">
IF($A$4&lt;=12,SUMIFS(#REF!,#REF!,$A$4,#REF!,7),SUMIFS(#REF!,#REF!,7))</f>
        <v>#REF!</v>
      </c>
      <c r="N16" s="262" t="e">
        <f xml:space="preserve">
IF($A$4&lt;=12,SUMIFS(#REF!,#REF!,$A$4,#REF!,7),SUMIFS(#REF!,#REF!,7))</f>
        <v>#REF!</v>
      </c>
      <c r="O16" s="262" t="e">
        <f xml:space="preserve">
IF($A$4&lt;=12,SUMIFS(#REF!,#REF!,$A$4,#REF!,7),SUMIFS(#REF!,#REF!,7))</f>
        <v>#REF!</v>
      </c>
      <c r="P16" s="262" t="e">
        <f xml:space="preserve">
IF($A$4&lt;=12,SUMIFS(#REF!,#REF!,$A$4,#REF!,7),SUMIFS(#REF!,#REF!,7))</f>
        <v>#REF!</v>
      </c>
      <c r="Q16" s="262" t="e">
        <f xml:space="preserve">
IF($A$4&lt;=12,SUMIFS(#REF!,#REF!,$A$4,#REF!,7),SUMIFS(#REF!,#REF!,7))</f>
        <v>#REF!</v>
      </c>
      <c r="R16" s="262" t="e">
        <f xml:space="preserve">
IF($A$4&lt;=12,SUMIFS(#REF!,#REF!,$A$4,#REF!,7),SUMIFS(#REF!,#REF!,7))</f>
        <v>#REF!</v>
      </c>
      <c r="S16" s="262" t="e">
        <f xml:space="preserve">
IF($A$4&lt;=12,SUMIFS(#REF!,#REF!,$A$4,#REF!,7),SUMIFS(#REF!,#REF!,7))</f>
        <v>#REF!</v>
      </c>
      <c r="T16" s="262" t="e">
        <f xml:space="preserve">
IF($A$4&lt;=12,SUMIFS(#REF!,#REF!,$A$4,#REF!,7),SUMIFS(#REF!,#REF!,7))</f>
        <v>#REF!</v>
      </c>
      <c r="U16" s="262" t="e">
        <f xml:space="preserve">
IF($A$4&lt;=12,SUMIFS(#REF!,#REF!,$A$4,#REF!,7),SUMIFS(#REF!,#REF!,7))</f>
        <v>#REF!</v>
      </c>
      <c r="V16" s="262" t="e">
        <f xml:space="preserve">
IF($A$4&lt;=12,SUMIFS(#REF!,#REF!,$A$4,#REF!,7),SUMIFS(#REF!,#REF!,7))</f>
        <v>#REF!</v>
      </c>
      <c r="W16" s="262" t="e">
        <f xml:space="preserve">
IF($A$4&lt;=12,SUMIFS(#REF!,#REF!,$A$4,#REF!,7),SUMIFS(#REF!,#REF!,7))</f>
        <v>#REF!</v>
      </c>
      <c r="X16" s="262" t="e">
        <f xml:space="preserve">
IF($A$4&lt;=12,SUMIFS(#REF!,#REF!,$A$4,#REF!,7),SUMIFS(#REF!,#REF!,7))</f>
        <v>#REF!</v>
      </c>
      <c r="Y16" s="262" t="e">
        <f xml:space="preserve">
IF($A$4&lt;=12,SUMIFS(#REF!,#REF!,$A$4,#REF!,7),SUMIFS(#REF!,#REF!,7))</f>
        <v>#REF!</v>
      </c>
      <c r="Z16" s="262" t="e">
        <f xml:space="preserve">
IF($A$4&lt;=12,SUMIFS(#REF!,#REF!,$A$4,#REF!,7),SUMIFS(#REF!,#REF!,7))</f>
        <v>#REF!</v>
      </c>
      <c r="AA16" s="262" t="e">
        <f xml:space="preserve">
IF($A$4&lt;=12,SUMIFS(#REF!,#REF!,$A$4,#REF!,7),SUMIFS(#REF!,#REF!,7))</f>
        <v>#REF!</v>
      </c>
      <c r="AB16" s="262" t="e">
        <f xml:space="preserve">
IF($A$4&lt;=12,SUMIFS(#REF!,#REF!,$A$4,#REF!,7),SUMIFS(#REF!,#REF!,7))</f>
        <v>#REF!</v>
      </c>
      <c r="AC16" s="262" t="e">
        <f xml:space="preserve">
IF($A$4&lt;=12,SUMIFS(#REF!,#REF!,$A$4,#REF!,7),SUMIFS(#REF!,#REF!,7))</f>
        <v>#REF!</v>
      </c>
      <c r="AD16" s="262" t="e">
        <f xml:space="preserve">
IF($A$4&lt;=12,SUMIFS(#REF!,#REF!,$A$4,#REF!,7),SUMIFS(#REF!,#REF!,7))</f>
        <v>#REF!</v>
      </c>
      <c r="AE16" s="262" t="e">
        <f xml:space="preserve">
IF($A$4&lt;=12,SUMIFS(#REF!,#REF!,$A$4,#REF!,7),SUMIFS(#REF!,#REF!,7))</f>
        <v>#REF!</v>
      </c>
      <c r="AF16" s="262" t="e">
        <f xml:space="preserve">
IF($A$4&lt;=12,SUMIFS(#REF!,#REF!,$A$4,#REF!,7),SUMIFS(#REF!,#REF!,7))</f>
        <v>#REF!</v>
      </c>
      <c r="AG16" s="262" t="e">
        <f xml:space="preserve">
IF($A$4&lt;=12,SUMIFS(#REF!,#REF!,$A$4,#REF!,7),SUMIFS(#REF!,#REF!,7))</f>
        <v>#REF!</v>
      </c>
      <c r="AH16" s="262" t="e">
        <f xml:space="preserve">
IF($A$4&lt;=12,SUMIFS(#REF!,#REF!,$A$4,#REF!,7),SUMIFS(#REF!,#REF!,7))</f>
        <v>#REF!</v>
      </c>
      <c r="AI16" s="262" t="e">
        <f xml:space="preserve">
IF($A$4&lt;=12,SUMIFS(#REF!,#REF!,$A$4,#REF!,7),SUMIFS(#REF!,#REF!,7))</f>
        <v>#REF!</v>
      </c>
      <c r="AJ16" s="263" t="e">
        <f xml:space="preserve">
IF($A$4&lt;=12,SUMIFS(#REF!,#REF!,$A$4,#REF!,7),SUMIFS(#REF!,#REF!,7))</f>
        <v>#REF!</v>
      </c>
    </row>
    <row r="17" spans="1:36" x14ac:dyDescent="0.3">
      <c r="A17" s="245" t="s">
        <v>191</v>
      </c>
      <c r="B17" s="260" t="e">
        <f xml:space="preserve">
IF($A$4&lt;=12,SUMIFS(#REF!,#REF!,$A$4,#REF!,8),SUMIFS(#REF!,#REF!,8))</f>
        <v>#REF!</v>
      </c>
      <c r="C17" s="261" t="e">
        <f xml:space="preserve">
IF($A$4&lt;=12,SUMIFS(#REF!,#REF!,$A$4,#REF!,8),SUMIFS(#REF!,#REF!,8))</f>
        <v>#REF!</v>
      </c>
      <c r="D17" s="262" t="e">
        <f xml:space="preserve">
IF($A$4&lt;=12,SUMIFS(#REF!,#REF!,$A$4,#REF!,8),SUMIFS(#REF!,#REF!,8))</f>
        <v>#REF!</v>
      </c>
      <c r="E17" s="262" t="e">
        <f xml:space="preserve">
IF($A$4&lt;=12,SUMIFS(#REF!,#REF!,$A$4,#REF!,8),SUMIFS(#REF!,#REF!,8))</f>
        <v>#REF!</v>
      </c>
      <c r="F17" s="262" t="e">
        <f xml:space="preserve">
IF($A$4&lt;=12,SUMIFS(#REF!,#REF!,$A$4,#REF!,8),SUMIFS(#REF!,#REF!,8))</f>
        <v>#REF!</v>
      </c>
      <c r="G17" s="262" t="e">
        <f xml:space="preserve">
IF($A$4&lt;=12,SUMIFS(#REF!,#REF!,$A$4,#REF!,8),SUMIFS(#REF!,#REF!,8))</f>
        <v>#REF!</v>
      </c>
      <c r="H17" s="262" t="e">
        <f xml:space="preserve">
IF($A$4&lt;=12,SUMIFS(#REF!,#REF!,$A$4,#REF!,8),SUMIFS(#REF!,#REF!,8))</f>
        <v>#REF!</v>
      </c>
      <c r="I17" s="262" t="e">
        <f xml:space="preserve">
IF($A$4&lt;=12,SUMIFS(#REF!,#REF!,$A$4,#REF!,8),SUMIFS(#REF!,#REF!,8))</f>
        <v>#REF!</v>
      </c>
      <c r="J17" s="262" t="e">
        <f xml:space="preserve">
IF($A$4&lt;=12,SUMIFS(#REF!,#REF!,$A$4,#REF!,8),SUMIFS(#REF!,#REF!,8))</f>
        <v>#REF!</v>
      </c>
      <c r="K17" s="262" t="e">
        <f xml:space="preserve">
IF($A$4&lt;=12,SUMIFS(#REF!,#REF!,$A$4,#REF!,8),SUMIFS(#REF!,#REF!,8))</f>
        <v>#REF!</v>
      </c>
      <c r="L17" s="262" t="e">
        <f xml:space="preserve">
IF($A$4&lt;=12,SUMIFS(#REF!,#REF!,$A$4,#REF!,8),SUMIFS(#REF!,#REF!,8))</f>
        <v>#REF!</v>
      </c>
      <c r="M17" s="262" t="e">
        <f xml:space="preserve">
IF($A$4&lt;=12,SUMIFS(#REF!,#REF!,$A$4,#REF!,8),SUMIFS(#REF!,#REF!,8))</f>
        <v>#REF!</v>
      </c>
      <c r="N17" s="262" t="e">
        <f xml:space="preserve">
IF($A$4&lt;=12,SUMIFS(#REF!,#REF!,$A$4,#REF!,8),SUMIFS(#REF!,#REF!,8))</f>
        <v>#REF!</v>
      </c>
      <c r="O17" s="262" t="e">
        <f xml:space="preserve">
IF($A$4&lt;=12,SUMIFS(#REF!,#REF!,$A$4,#REF!,8),SUMIFS(#REF!,#REF!,8))</f>
        <v>#REF!</v>
      </c>
      <c r="P17" s="262" t="e">
        <f xml:space="preserve">
IF($A$4&lt;=12,SUMIFS(#REF!,#REF!,$A$4,#REF!,8),SUMIFS(#REF!,#REF!,8))</f>
        <v>#REF!</v>
      </c>
      <c r="Q17" s="262" t="e">
        <f xml:space="preserve">
IF($A$4&lt;=12,SUMIFS(#REF!,#REF!,$A$4,#REF!,8),SUMIFS(#REF!,#REF!,8))</f>
        <v>#REF!</v>
      </c>
      <c r="R17" s="262" t="e">
        <f xml:space="preserve">
IF($A$4&lt;=12,SUMIFS(#REF!,#REF!,$A$4,#REF!,8),SUMIFS(#REF!,#REF!,8))</f>
        <v>#REF!</v>
      </c>
      <c r="S17" s="262" t="e">
        <f xml:space="preserve">
IF($A$4&lt;=12,SUMIFS(#REF!,#REF!,$A$4,#REF!,8),SUMIFS(#REF!,#REF!,8))</f>
        <v>#REF!</v>
      </c>
      <c r="T17" s="262" t="e">
        <f xml:space="preserve">
IF($A$4&lt;=12,SUMIFS(#REF!,#REF!,$A$4,#REF!,8),SUMIFS(#REF!,#REF!,8))</f>
        <v>#REF!</v>
      </c>
      <c r="U17" s="262" t="e">
        <f xml:space="preserve">
IF($A$4&lt;=12,SUMIFS(#REF!,#REF!,$A$4,#REF!,8),SUMIFS(#REF!,#REF!,8))</f>
        <v>#REF!</v>
      </c>
      <c r="V17" s="262" t="e">
        <f xml:space="preserve">
IF($A$4&lt;=12,SUMIFS(#REF!,#REF!,$A$4,#REF!,8),SUMIFS(#REF!,#REF!,8))</f>
        <v>#REF!</v>
      </c>
      <c r="W17" s="262" t="e">
        <f xml:space="preserve">
IF($A$4&lt;=12,SUMIFS(#REF!,#REF!,$A$4,#REF!,8),SUMIFS(#REF!,#REF!,8))</f>
        <v>#REF!</v>
      </c>
      <c r="X17" s="262" t="e">
        <f xml:space="preserve">
IF($A$4&lt;=12,SUMIFS(#REF!,#REF!,$A$4,#REF!,8),SUMIFS(#REF!,#REF!,8))</f>
        <v>#REF!</v>
      </c>
      <c r="Y17" s="262" t="e">
        <f xml:space="preserve">
IF($A$4&lt;=12,SUMIFS(#REF!,#REF!,$A$4,#REF!,8),SUMIFS(#REF!,#REF!,8))</f>
        <v>#REF!</v>
      </c>
      <c r="Z17" s="262" t="e">
        <f xml:space="preserve">
IF($A$4&lt;=12,SUMIFS(#REF!,#REF!,$A$4,#REF!,8),SUMIFS(#REF!,#REF!,8))</f>
        <v>#REF!</v>
      </c>
      <c r="AA17" s="262" t="e">
        <f xml:space="preserve">
IF($A$4&lt;=12,SUMIFS(#REF!,#REF!,$A$4,#REF!,8),SUMIFS(#REF!,#REF!,8))</f>
        <v>#REF!</v>
      </c>
      <c r="AB17" s="262" t="e">
        <f xml:space="preserve">
IF($A$4&lt;=12,SUMIFS(#REF!,#REF!,$A$4,#REF!,8),SUMIFS(#REF!,#REF!,8))</f>
        <v>#REF!</v>
      </c>
      <c r="AC17" s="262" t="e">
        <f xml:space="preserve">
IF($A$4&lt;=12,SUMIFS(#REF!,#REF!,$A$4,#REF!,8),SUMIFS(#REF!,#REF!,8))</f>
        <v>#REF!</v>
      </c>
      <c r="AD17" s="262" t="e">
        <f xml:space="preserve">
IF($A$4&lt;=12,SUMIFS(#REF!,#REF!,$A$4,#REF!,8),SUMIFS(#REF!,#REF!,8))</f>
        <v>#REF!</v>
      </c>
      <c r="AE17" s="262" t="e">
        <f xml:space="preserve">
IF($A$4&lt;=12,SUMIFS(#REF!,#REF!,$A$4,#REF!,8),SUMIFS(#REF!,#REF!,8))</f>
        <v>#REF!</v>
      </c>
      <c r="AF17" s="262" t="e">
        <f xml:space="preserve">
IF($A$4&lt;=12,SUMIFS(#REF!,#REF!,$A$4,#REF!,8),SUMIFS(#REF!,#REF!,8))</f>
        <v>#REF!</v>
      </c>
      <c r="AG17" s="262" t="e">
        <f xml:space="preserve">
IF($A$4&lt;=12,SUMIFS(#REF!,#REF!,$A$4,#REF!,8),SUMIFS(#REF!,#REF!,8))</f>
        <v>#REF!</v>
      </c>
      <c r="AH17" s="262" t="e">
        <f xml:space="preserve">
IF($A$4&lt;=12,SUMIFS(#REF!,#REF!,$A$4,#REF!,8),SUMIFS(#REF!,#REF!,8))</f>
        <v>#REF!</v>
      </c>
      <c r="AI17" s="262" t="e">
        <f xml:space="preserve">
IF($A$4&lt;=12,SUMIFS(#REF!,#REF!,$A$4,#REF!,8),SUMIFS(#REF!,#REF!,8))</f>
        <v>#REF!</v>
      </c>
      <c r="AJ17" s="263" t="e">
        <f xml:space="preserve">
IF($A$4&lt;=12,SUMIFS(#REF!,#REF!,$A$4,#REF!,8),SUMIFS(#REF!,#REF!,8))</f>
        <v>#REF!</v>
      </c>
    </row>
    <row r="18" spans="1:36" x14ac:dyDescent="0.3">
      <c r="A18" s="245" t="s">
        <v>192</v>
      </c>
      <c r="B18" s="260" t="e">
        <f xml:space="preserve">
B19-B16-B17</f>
        <v>#REF!</v>
      </c>
      <c r="C18" s="261" t="e">
        <f t="shared" ref="C18" si="0" xml:space="preserve">
C19-C16-C17</f>
        <v>#REF!</v>
      </c>
      <c r="D18" s="262" t="e">
        <f t="shared" ref="D18:AJ18" si="1" xml:space="preserve">
D19-D16-D17</f>
        <v>#REF!</v>
      </c>
      <c r="E18" s="262" t="e">
        <f t="shared" si="1"/>
        <v>#REF!</v>
      </c>
      <c r="F18" s="262" t="e">
        <f t="shared" si="1"/>
        <v>#REF!</v>
      </c>
      <c r="G18" s="262" t="e">
        <f t="shared" si="1"/>
        <v>#REF!</v>
      </c>
      <c r="H18" s="262" t="e">
        <f t="shared" si="1"/>
        <v>#REF!</v>
      </c>
      <c r="I18" s="262" t="e">
        <f t="shared" si="1"/>
        <v>#REF!</v>
      </c>
      <c r="J18" s="262" t="e">
        <f t="shared" si="1"/>
        <v>#REF!</v>
      </c>
      <c r="K18" s="262" t="e">
        <f t="shared" si="1"/>
        <v>#REF!</v>
      </c>
      <c r="L18" s="262" t="e">
        <f t="shared" si="1"/>
        <v>#REF!</v>
      </c>
      <c r="M18" s="262" t="e">
        <f t="shared" si="1"/>
        <v>#REF!</v>
      </c>
      <c r="N18" s="262" t="e">
        <f t="shared" si="1"/>
        <v>#REF!</v>
      </c>
      <c r="O18" s="262" t="e">
        <f t="shared" si="1"/>
        <v>#REF!</v>
      </c>
      <c r="P18" s="262" t="e">
        <f t="shared" si="1"/>
        <v>#REF!</v>
      </c>
      <c r="Q18" s="262" t="e">
        <f t="shared" si="1"/>
        <v>#REF!</v>
      </c>
      <c r="R18" s="262" t="e">
        <f t="shared" si="1"/>
        <v>#REF!</v>
      </c>
      <c r="S18" s="262" t="e">
        <f t="shared" si="1"/>
        <v>#REF!</v>
      </c>
      <c r="T18" s="262" t="e">
        <f t="shared" si="1"/>
        <v>#REF!</v>
      </c>
      <c r="U18" s="262" t="e">
        <f t="shared" si="1"/>
        <v>#REF!</v>
      </c>
      <c r="V18" s="262" t="e">
        <f t="shared" si="1"/>
        <v>#REF!</v>
      </c>
      <c r="W18" s="262" t="e">
        <f t="shared" si="1"/>
        <v>#REF!</v>
      </c>
      <c r="X18" s="262" t="e">
        <f t="shared" si="1"/>
        <v>#REF!</v>
      </c>
      <c r="Y18" s="262" t="e">
        <f t="shared" si="1"/>
        <v>#REF!</v>
      </c>
      <c r="Z18" s="262" t="e">
        <f t="shared" si="1"/>
        <v>#REF!</v>
      </c>
      <c r="AA18" s="262" t="e">
        <f t="shared" si="1"/>
        <v>#REF!</v>
      </c>
      <c r="AB18" s="262" t="e">
        <f t="shared" si="1"/>
        <v>#REF!</v>
      </c>
      <c r="AC18" s="262" t="e">
        <f t="shared" si="1"/>
        <v>#REF!</v>
      </c>
      <c r="AD18" s="262" t="e">
        <f t="shared" si="1"/>
        <v>#REF!</v>
      </c>
      <c r="AE18" s="262" t="e">
        <f t="shared" si="1"/>
        <v>#REF!</v>
      </c>
      <c r="AF18" s="262" t="e">
        <f t="shared" si="1"/>
        <v>#REF!</v>
      </c>
      <c r="AG18" s="262" t="e">
        <f t="shared" si="1"/>
        <v>#REF!</v>
      </c>
      <c r="AH18" s="262" t="e">
        <f t="shared" si="1"/>
        <v>#REF!</v>
      </c>
      <c r="AI18" s="262" t="e">
        <f t="shared" si="1"/>
        <v>#REF!</v>
      </c>
      <c r="AJ18" s="263" t="e">
        <f t="shared" si="1"/>
        <v>#REF!</v>
      </c>
    </row>
    <row r="19" spans="1:36" ht="15" thickBot="1" x14ac:dyDescent="0.35">
      <c r="A19" s="246" t="s">
        <v>193</v>
      </c>
      <c r="B19" s="272" t="e">
        <f xml:space="preserve">
IF($A$4&lt;=12,SUMIFS(#REF!,#REF!,$A$4,#REF!,9),SUMIFS(#REF!,#REF!,9))</f>
        <v>#REF!</v>
      </c>
      <c r="C19" s="273" t="e">
        <f xml:space="preserve">
IF($A$4&lt;=12,SUMIFS(#REF!,#REF!,$A$4,#REF!,9),SUMIFS(#REF!,#REF!,9))</f>
        <v>#REF!</v>
      </c>
      <c r="D19" s="274" t="e">
        <f xml:space="preserve">
IF($A$4&lt;=12,SUMIFS(#REF!,#REF!,$A$4,#REF!,9),SUMIFS(#REF!,#REF!,9))</f>
        <v>#REF!</v>
      </c>
      <c r="E19" s="274" t="e">
        <f xml:space="preserve">
IF($A$4&lt;=12,SUMIFS(#REF!,#REF!,$A$4,#REF!,9),SUMIFS(#REF!,#REF!,9))</f>
        <v>#REF!</v>
      </c>
      <c r="F19" s="274" t="e">
        <f xml:space="preserve">
IF($A$4&lt;=12,SUMIFS(#REF!,#REF!,$A$4,#REF!,9),SUMIFS(#REF!,#REF!,9))</f>
        <v>#REF!</v>
      </c>
      <c r="G19" s="274" t="e">
        <f xml:space="preserve">
IF($A$4&lt;=12,SUMIFS(#REF!,#REF!,$A$4,#REF!,9),SUMIFS(#REF!,#REF!,9))</f>
        <v>#REF!</v>
      </c>
      <c r="H19" s="274" t="e">
        <f xml:space="preserve">
IF($A$4&lt;=12,SUMIFS(#REF!,#REF!,$A$4,#REF!,9),SUMIFS(#REF!,#REF!,9))</f>
        <v>#REF!</v>
      </c>
      <c r="I19" s="274" t="e">
        <f xml:space="preserve">
IF($A$4&lt;=12,SUMIFS(#REF!,#REF!,$A$4,#REF!,9),SUMIFS(#REF!,#REF!,9))</f>
        <v>#REF!</v>
      </c>
      <c r="J19" s="274" t="e">
        <f xml:space="preserve">
IF($A$4&lt;=12,SUMIFS(#REF!,#REF!,$A$4,#REF!,9),SUMIFS(#REF!,#REF!,9))</f>
        <v>#REF!</v>
      </c>
      <c r="K19" s="274" t="e">
        <f xml:space="preserve">
IF($A$4&lt;=12,SUMIFS(#REF!,#REF!,$A$4,#REF!,9),SUMIFS(#REF!,#REF!,9))</f>
        <v>#REF!</v>
      </c>
      <c r="L19" s="274" t="e">
        <f xml:space="preserve">
IF($A$4&lt;=12,SUMIFS(#REF!,#REF!,$A$4,#REF!,9),SUMIFS(#REF!,#REF!,9))</f>
        <v>#REF!</v>
      </c>
      <c r="M19" s="274" t="e">
        <f xml:space="preserve">
IF($A$4&lt;=12,SUMIFS(#REF!,#REF!,$A$4,#REF!,9),SUMIFS(#REF!,#REF!,9))</f>
        <v>#REF!</v>
      </c>
      <c r="N19" s="274" t="e">
        <f xml:space="preserve">
IF($A$4&lt;=12,SUMIFS(#REF!,#REF!,$A$4,#REF!,9),SUMIFS(#REF!,#REF!,9))</f>
        <v>#REF!</v>
      </c>
      <c r="O19" s="274" t="e">
        <f xml:space="preserve">
IF($A$4&lt;=12,SUMIFS(#REF!,#REF!,$A$4,#REF!,9),SUMIFS(#REF!,#REF!,9))</f>
        <v>#REF!</v>
      </c>
      <c r="P19" s="274" t="e">
        <f xml:space="preserve">
IF($A$4&lt;=12,SUMIFS(#REF!,#REF!,$A$4,#REF!,9),SUMIFS(#REF!,#REF!,9))</f>
        <v>#REF!</v>
      </c>
      <c r="Q19" s="274" t="e">
        <f xml:space="preserve">
IF($A$4&lt;=12,SUMIFS(#REF!,#REF!,$A$4,#REF!,9),SUMIFS(#REF!,#REF!,9))</f>
        <v>#REF!</v>
      </c>
      <c r="R19" s="274" t="e">
        <f xml:space="preserve">
IF($A$4&lt;=12,SUMIFS(#REF!,#REF!,$A$4,#REF!,9),SUMIFS(#REF!,#REF!,9))</f>
        <v>#REF!</v>
      </c>
      <c r="S19" s="274" t="e">
        <f xml:space="preserve">
IF($A$4&lt;=12,SUMIFS(#REF!,#REF!,$A$4,#REF!,9),SUMIFS(#REF!,#REF!,9))</f>
        <v>#REF!</v>
      </c>
      <c r="T19" s="274" t="e">
        <f xml:space="preserve">
IF($A$4&lt;=12,SUMIFS(#REF!,#REF!,$A$4,#REF!,9),SUMIFS(#REF!,#REF!,9))</f>
        <v>#REF!</v>
      </c>
      <c r="U19" s="274" t="e">
        <f xml:space="preserve">
IF($A$4&lt;=12,SUMIFS(#REF!,#REF!,$A$4,#REF!,9),SUMIFS(#REF!,#REF!,9))</f>
        <v>#REF!</v>
      </c>
      <c r="V19" s="274" t="e">
        <f xml:space="preserve">
IF($A$4&lt;=12,SUMIFS(#REF!,#REF!,$A$4,#REF!,9),SUMIFS(#REF!,#REF!,9))</f>
        <v>#REF!</v>
      </c>
      <c r="W19" s="274" t="e">
        <f xml:space="preserve">
IF($A$4&lt;=12,SUMIFS(#REF!,#REF!,$A$4,#REF!,9),SUMIFS(#REF!,#REF!,9))</f>
        <v>#REF!</v>
      </c>
      <c r="X19" s="274" t="e">
        <f xml:space="preserve">
IF($A$4&lt;=12,SUMIFS(#REF!,#REF!,$A$4,#REF!,9),SUMIFS(#REF!,#REF!,9))</f>
        <v>#REF!</v>
      </c>
      <c r="Y19" s="274" t="e">
        <f xml:space="preserve">
IF($A$4&lt;=12,SUMIFS(#REF!,#REF!,$A$4,#REF!,9),SUMIFS(#REF!,#REF!,9))</f>
        <v>#REF!</v>
      </c>
      <c r="Z19" s="274" t="e">
        <f xml:space="preserve">
IF($A$4&lt;=12,SUMIFS(#REF!,#REF!,$A$4,#REF!,9),SUMIFS(#REF!,#REF!,9))</f>
        <v>#REF!</v>
      </c>
      <c r="AA19" s="274" t="e">
        <f xml:space="preserve">
IF($A$4&lt;=12,SUMIFS(#REF!,#REF!,$A$4,#REF!,9),SUMIFS(#REF!,#REF!,9))</f>
        <v>#REF!</v>
      </c>
      <c r="AB19" s="274" t="e">
        <f xml:space="preserve">
IF($A$4&lt;=12,SUMIFS(#REF!,#REF!,$A$4,#REF!,9),SUMIFS(#REF!,#REF!,9))</f>
        <v>#REF!</v>
      </c>
      <c r="AC19" s="274" t="e">
        <f xml:space="preserve">
IF($A$4&lt;=12,SUMIFS(#REF!,#REF!,$A$4,#REF!,9),SUMIFS(#REF!,#REF!,9))</f>
        <v>#REF!</v>
      </c>
      <c r="AD19" s="274" t="e">
        <f xml:space="preserve">
IF($A$4&lt;=12,SUMIFS(#REF!,#REF!,$A$4,#REF!,9),SUMIFS(#REF!,#REF!,9))</f>
        <v>#REF!</v>
      </c>
      <c r="AE19" s="274" t="e">
        <f xml:space="preserve">
IF($A$4&lt;=12,SUMIFS(#REF!,#REF!,$A$4,#REF!,9),SUMIFS(#REF!,#REF!,9))</f>
        <v>#REF!</v>
      </c>
      <c r="AF19" s="274" t="e">
        <f xml:space="preserve">
IF($A$4&lt;=12,SUMIFS(#REF!,#REF!,$A$4,#REF!,9),SUMIFS(#REF!,#REF!,9))</f>
        <v>#REF!</v>
      </c>
      <c r="AG19" s="274" t="e">
        <f xml:space="preserve">
IF($A$4&lt;=12,SUMIFS(#REF!,#REF!,$A$4,#REF!,9),SUMIFS(#REF!,#REF!,9))</f>
        <v>#REF!</v>
      </c>
      <c r="AH19" s="274" t="e">
        <f xml:space="preserve">
IF($A$4&lt;=12,SUMIFS(#REF!,#REF!,$A$4,#REF!,9),SUMIFS(#REF!,#REF!,9))</f>
        <v>#REF!</v>
      </c>
      <c r="AI19" s="274" t="e">
        <f xml:space="preserve">
IF($A$4&lt;=12,SUMIFS(#REF!,#REF!,$A$4,#REF!,9),SUMIFS(#REF!,#REF!,9))</f>
        <v>#REF!</v>
      </c>
      <c r="AJ19" s="275" t="e">
        <f xml:space="preserve">
IF($A$4&lt;=12,SUMIFS(#REF!,#REF!,$A$4,#REF!,9),SUMIFS(#REF!,#REF!,9))</f>
        <v>#REF!</v>
      </c>
    </row>
    <row r="20" spans="1:36" ht="15" collapsed="1" thickBot="1" x14ac:dyDescent="0.35">
      <c r="A20" s="247" t="s">
        <v>71</v>
      </c>
      <c r="B20" s="276" t="e">
        <f xml:space="preserve">
IF($A$4&lt;=12,SUMIFS(#REF!,#REF!,$A$4,#REF!,6),SUMIFS(#REF!,#REF!,6))</f>
        <v>#REF!</v>
      </c>
      <c r="C20" s="277" t="e">
        <f xml:space="preserve">
IF($A$4&lt;=12,SUMIFS(#REF!,#REF!,$A$4,#REF!,6),SUMIFS(#REF!,#REF!,6))</f>
        <v>#REF!</v>
      </c>
      <c r="D20" s="278" t="e">
        <f xml:space="preserve">
IF($A$4&lt;=12,SUMIFS(#REF!,#REF!,$A$4,#REF!,6),SUMIFS(#REF!,#REF!,6))</f>
        <v>#REF!</v>
      </c>
      <c r="E20" s="278" t="e">
        <f xml:space="preserve">
IF($A$4&lt;=12,SUMIFS(#REF!,#REF!,$A$4,#REF!,6),SUMIFS(#REF!,#REF!,6))</f>
        <v>#REF!</v>
      </c>
      <c r="F20" s="278" t="e">
        <f xml:space="preserve">
IF($A$4&lt;=12,SUMIFS(#REF!,#REF!,$A$4,#REF!,6),SUMIFS(#REF!,#REF!,6))</f>
        <v>#REF!</v>
      </c>
      <c r="G20" s="278" t="e">
        <f xml:space="preserve">
IF($A$4&lt;=12,SUMIFS(#REF!,#REF!,$A$4,#REF!,6),SUMIFS(#REF!,#REF!,6))</f>
        <v>#REF!</v>
      </c>
      <c r="H20" s="278" t="e">
        <f xml:space="preserve">
IF($A$4&lt;=12,SUMIFS(#REF!,#REF!,$A$4,#REF!,6),SUMIFS(#REF!,#REF!,6))</f>
        <v>#REF!</v>
      </c>
      <c r="I20" s="278" t="e">
        <f xml:space="preserve">
IF($A$4&lt;=12,SUMIFS(#REF!,#REF!,$A$4,#REF!,6),SUMIFS(#REF!,#REF!,6))</f>
        <v>#REF!</v>
      </c>
      <c r="J20" s="278" t="e">
        <f xml:space="preserve">
IF($A$4&lt;=12,SUMIFS(#REF!,#REF!,$A$4,#REF!,6),SUMIFS(#REF!,#REF!,6))</f>
        <v>#REF!</v>
      </c>
      <c r="K20" s="278" t="e">
        <f xml:space="preserve">
IF($A$4&lt;=12,SUMIFS(#REF!,#REF!,$A$4,#REF!,6),SUMIFS(#REF!,#REF!,6))</f>
        <v>#REF!</v>
      </c>
      <c r="L20" s="278" t="e">
        <f xml:space="preserve">
IF($A$4&lt;=12,SUMIFS(#REF!,#REF!,$A$4,#REF!,6),SUMIFS(#REF!,#REF!,6))</f>
        <v>#REF!</v>
      </c>
      <c r="M20" s="278" t="e">
        <f xml:space="preserve">
IF($A$4&lt;=12,SUMIFS(#REF!,#REF!,$A$4,#REF!,6),SUMIFS(#REF!,#REF!,6))</f>
        <v>#REF!</v>
      </c>
      <c r="N20" s="278" t="e">
        <f xml:space="preserve">
IF($A$4&lt;=12,SUMIFS(#REF!,#REF!,$A$4,#REF!,6),SUMIFS(#REF!,#REF!,6))</f>
        <v>#REF!</v>
      </c>
      <c r="O20" s="278" t="e">
        <f xml:space="preserve">
IF($A$4&lt;=12,SUMIFS(#REF!,#REF!,$A$4,#REF!,6),SUMIFS(#REF!,#REF!,6))</f>
        <v>#REF!</v>
      </c>
      <c r="P20" s="278" t="e">
        <f xml:space="preserve">
IF($A$4&lt;=12,SUMIFS(#REF!,#REF!,$A$4,#REF!,6),SUMIFS(#REF!,#REF!,6))</f>
        <v>#REF!</v>
      </c>
      <c r="Q20" s="278" t="e">
        <f xml:space="preserve">
IF($A$4&lt;=12,SUMIFS(#REF!,#REF!,$A$4,#REF!,6),SUMIFS(#REF!,#REF!,6))</f>
        <v>#REF!</v>
      </c>
      <c r="R20" s="278" t="e">
        <f xml:space="preserve">
IF($A$4&lt;=12,SUMIFS(#REF!,#REF!,$A$4,#REF!,6),SUMIFS(#REF!,#REF!,6))</f>
        <v>#REF!</v>
      </c>
      <c r="S20" s="278" t="e">
        <f xml:space="preserve">
IF($A$4&lt;=12,SUMIFS(#REF!,#REF!,$A$4,#REF!,6),SUMIFS(#REF!,#REF!,6))</f>
        <v>#REF!</v>
      </c>
      <c r="T20" s="278" t="e">
        <f xml:space="preserve">
IF($A$4&lt;=12,SUMIFS(#REF!,#REF!,$A$4,#REF!,6),SUMIFS(#REF!,#REF!,6))</f>
        <v>#REF!</v>
      </c>
      <c r="U20" s="278" t="e">
        <f xml:space="preserve">
IF($A$4&lt;=12,SUMIFS(#REF!,#REF!,$A$4,#REF!,6),SUMIFS(#REF!,#REF!,6))</f>
        <v>#REF!</v>
      </c>
      <c r="V20" s="278" t="e">
        <f xml:space="preserve">
IF($A$4&lt;=12,SUMIFS(#REF!,#REF!,$A$4,#REF!,6),SUMIFS(#REF!,#REF!,6))</f>
        <v>#REF!</v>
      </c>
      <c r="W20" s="278" t="e">
        <f xml:space="preserve">
IF($A$4&lt;=12,SUMIFS(#REF!,#REF!,$A$4,#REF!,6),SUMIFS(#REF!,#REF!,6))</f>
        <v>#REF!</v>
      </c>
      <c r="X20" s="278" t="e">
        <f xml:space="preserve">
IF($A$4&lt;=12,SUMIFS(#REF!,#REF!,$A$4,#REF!,6),SUMIFS(#REF!,#REF!,6))</f>
        <v>#REF!</v>
      </c>
      <c r="Y20" s="278" t="e">
        <f xml:space="preserve">
IF($A$4&lt;=12,SUMIFS(#REF!,#REF!,$A$4,#REF!,6),SUMIFS(#REF!,#REF!,6))</f>
        <v>#REF!</v>
      </c>
      <c r="Z20" s="278" t="e">
        <f xml:space="preserve">
IF($A$4&lt;=12,SUMIFS(#REF!,#REF!,$A$4,#REF!,6),SUMIFS(#REF!,#REF!,6))</f>
        <v>#REF!</v>
      </c>
      <c r="AA20" s="278" t="e">
        <f xml:space="preserve">
IF($A$4&lt;=12,SUMIFS(#REF!,#REF!,$A$4,#REF!,6),SUMIFS(#REF!,#REF!,6))</f>
        <v>#REF!</v>
      </c>
      <c r="AB20" s="278" t="e">
        <f xml:space="preserve">
IF($A$4&lt;=12,SUMIFS(#REF!,#REF!,$A$4,#REF!,6),SUMIFS(#REF!,#REF!,6))</f>
        <v>#REF!</v>
      </c>
      <c r="AC20" s="278" t="e">
        <f xml:space="preserve">
IF($A$4&lt;=12,SUMIFS(#REF!,#REF!,$A$4,#REF!,6),SUMIFS(#REF!,#REF!,6))</f>
        <v>#REF!</v>
      </c>
      <c r="AD20" s="278" t="e">
        <f xml:space="preserve">
IF($A$4&lt;=12,SUMIFS(#REF!,#REF!,$A$4,#REF!,6),SUMIFS(#REF!,#REF!,6))</f>
        <v>#REF!</v>
      </c>
      <c r="AE20" s="278" t="e">
        <f xml:space="preserve">
IF($A$4&lt;=12,SUMIFS(#REF!,#REF!,$A$4,#REF!,6),SUMIFS(#REF!,#REF!,6))</f>
        <v>#REF!</v>
      </c>
      <c r="AF20" s="278" t="e">
        <f xml:space="preserve">
IF($A$4&lt;=12,SUMIFS(#REF!,#REF!,$A$4,#REF!,6),SUMIFS(#REF!,#REF!,6))</f>
        <v>#REF!</v>
      </c>
      <c r="AG20" s="278" t="e">
        <f xml:space="preserve">
IF($A$4&lt;=12,SUMIFS(#REF!,#REF!,$A$4,#REF!,6),SUMIFS(#REF!,#REF!,6))</f>
        <v>#REF!</v>
      </c>
      <c r="AH20" s="278" t="e">
        <f xml:space="preserve">
IF($A$4&lt;=12,SUMIFS(#REF!,#REF!,$A$4,#REF!,6),SUMIFS(#REF!,#REF!,6))</f>
        <v>#REF!</v>
      </c>
      <c r="AI20" s="278" t="e">
        <f xml:space="preserve">
IF($A$4&lt;=12,SUMIFS(#REF!,#REF!,$A$4,#REF!,6),SUMIFS(#REF!,#REF!,6))</f>
        <v>#REF!</v>
      </c>
      <c r="AJ20" s="279" t="e">
        <f xml:space="preserve">
IF($A$4&lt;=12,SUMIFS(#REF!,#REF!,$A$4,#REF!,6),SUMIFS(#REF!,#REF!,6))</f>
        <v>#REF!</v>
      </c>
    </row>
    <row r="21" spans="1:36" hidden="1" outlineLevel="1" x14ac:dyDescent="0.3">
      <c r="A21" s="240" t="s">
        <v>106</v>
      </c>
      <c r="B21" s="260" t="e">
        <f xml:space="preserve">
IF($A$4&lt;=12,SUMIFS(#REF!,#REF!,$A$4,#REF!,12),SUMIFS(#REF!,#REF!,12))</f>
        <v>#REF!</v>
      </c>
      <c r="C21" s="261" t="e">
        <f xml:space="preserve">
IF($A$4&lt;=12,SUMIFS(#REF!,#REF!,$A$4,#REF!,12),SUMIFS(#REF!,#REF!,12))</f>
        <v>#REF!</v>
      </c>
      <c r="D21" s="262" t="e">
        <f xml:space="preserve">
IF($A$4&lt;=12,SUMIFS(#REF!,#REF!,$A$4,#REF!,12),SUMIFS(#REF!,#REF!,12))</f>
        <v>#REF!</v>
      </c>
      <c r="E21" s="262" t="e">
        <f xml:space="preserve">
IF($A$4&lt;=12,SUMIFS(#REF!,#REF!,$A$4,#REF!,12),SUMIFS(#REF!,#REF!,12))</f>
        <v>#REF!</v>
      </c>
      <c r="F21" s="262" t="e">
        <f xml:space="preserve">
IF($A$4&lt;=12,SUMIFS(#REF!,#REF!,$A$4,#REF!,12),SUMIFS(#REF!,#REF!,12))</f>
        <v>#REF!</v>
      </c>
      <c r="G21" s="262" t="e">
        <f xml:space="preserve">
IF($A$4&lt;=12,SUMIFS(#REF!,#REF!,$A$4,#REF!,12),SUMIFS(#REF!,#REF!,12))</f>
        <v>#REF!</v>
      </c>
      <c r="H21" s="262" t="e">
        <f xml:space="preserve">
IF($A$4&lt;=12,SUMIFS(#REF!,#REF!,$A$4,#REF!,12),SUMIFS(#REF!,#REF!,12))</f>
        <v>#REF!</v>
      </c>
      <c r="I21" s="262" t="e">
        <f xml:space="preserve">
IF($A$4&lt;=12,SUMIFS(#REF!,#REF!,$A$4,#REF!,12),SUMIFS(#REF!,#REF!,12))</f>
        <v>#REF!</v>
      </c>
      <c r="J21" s="262" t="e">
        <f xml:space="preserve">
IF($A$4&lt;=12,SUMIFS(#REF!,#REF!,$A$4,#REF!,12),SUMIFS(#REF!,#REF!,12))</f>
        <v>#REF!</v>
      </c>
      <c r="K21" s="262" t="e">
        <f xml:space="preserve">
IF($A$4&lt;=12,SUMIFS(#REF!,#REF!,$A$4,#REF!,12),SUMIFS(#REF!,#REF!,12))</f>
        <v>#REF!</v>
      </c>
      <c r="L21" s="262" t="e">
        <f xml:space="preserve">
IF($A$4&lt;=12,SUMIFS(#REF!,#REF!,$A$4,#REF!,12),SUMIFS(#REF!,#REF!,12))</f>
        <v>#REF!</v>
      </c>
      <c r="M21" s="262" t="e">
        <f xml:space="preserve">
IF($A$4&lt;=12,SUMIFS(#REF!,#REF!,$A$4,#REF!,12),SUMIFS(#REF!,#REF!,12))</f>
        <v>#REF!</v>
      </c>
      <c r="N21" s="262" t="e">
        <f xml:space="preserve">
IF($A$4&lt;=12,SUMIFS(#REF!,#REF!,$A$4,#REF!,12),SUMIFS(#REF!,#REF!,12))</f>
        <v>#REF!</v>
      </c>
      <c r="O21" s="262" t="e">
        <f xml:space="preserve">
IF($A$4&lt;=12,SUMIFS(#REF!,#REF!,$A$4,#REF!,12),SUMIFS(#REF!,#REF!,12))</f>
        <v>#REF!</v>
      </c>
      <c r="P21" s="262" t="e">
        <f xml:space="preserve">
IF($A$4&lt;=12,SUMIFS(#REF!,#REF!,$A$4,#REF!,12),SUMIFS(#REF!,#REF!,12))</f>
        <v>#REF!</v>
      </c>
      <c r="Q21" s="262" t="e">
        <f xml:space="preserve">
IF($A$4&lt;=12,SUMIFS(#REF!,#REF!,$A$4,#REF!,12),SUMIFS(#REF!,#REF!,12))</f>
        <v>#REF!</v>
      </c>
      <c r="R21" s="262" t="e">
        <f xml:space="preserve">
IF($A$4&lt;=12,SUMIFS(#REF!,#REF!,$A$4,#REF!,12),SUMIFS(#REF!,#REF!,12))</f>
        <v>#REF!</v>
      </c>
      <c r="S21" s="262" t="e">
        <f xml:space="preserve">
IF($A$4&lt;=12,SUMIFS(#REF!,#REF!,$A$4,#REF!,12),SUMIFS(#REF!,#REF!,12))</f>
        <v>#REF!</v>
      </c>
      <c r="T21" s="262" t="e">
        <f xml:space="preserve">
IF($A$4&lt;=12,SUMIFS(#REF!,#REF!,$A$4,#REF!,12),SUMIFS(#REF!,#REF!,12))</f>
        <v>#REF!</v>
      </c>
      <c r="U21" s="262" t="e">
        <f xml:space="preserve">
IF($A$4&lt;=12,SUMIFS(#REF!,#REF!,$A$4,#REF!,12),SUMIFS(#REF!,#REF!,12))</f>
        <v>#REF!</v>
      </c>
      <c r="V21" s="262" t="e">
        <f xml:space="preserve">
IF($A$4&lt;=12,SUMIFS(#REF!,#REF!,$A$4,#REF!,12),SUMIFS(#REF!,#REF!,12))</f>
        <v>#REF!</v>
      </c>
      <c r="W21" s="262" t="e">
        <f xml:space="preserve">
IF($A$4&lt;=12,SUMIFS(#REF!,#REF!,$A$4,#REF!,12),SUMIFS(#REF!,#REF!,12))</f>
        <v>#REF!</v>
      </c>
      <c r="X21" s="262" t="e">
        <f xml:space="preserve">
IF($A$4&lt;=12,SUMIFS(#REF!,#REF!,$A$4,#REF!,12),SUMIFS(#REF!,#REF!,12))</f>
        <v>#REF!</v>
      </c>
      <c r="Y21" s="262" t="e">
        <f xml:space="preserve">
IF($A$4&lt;=12,SUMIFS(#REF!,#REF!,$A$4,#REF!,12),SUMIFS(#REF!,#REF!,12))</f>
        <v>#REF!</v>
      </c>
      <c r="Z21" s="262" t="e">
        <f xml:space="preserve">
IF($A$4&lt;=12,SUMIFS(#REF!,#REF!,$A$4,#REF!,12),SUMIFS(#REF!,#REF!,12))</f>
        <v>#REF!</v>
      </c>
      <c r="AA21" s="262" t="e">
        <f xml:space="preserve">
IF($A$4&lt;=12,SUMIFS(#REF!,#REF!,$A$4,#REF!,12),SUMIFS(#REF!,#REF!,12))</f>
        <v>#REF!</v>
      </c>
      <c r="AB21" s="262" t="e">
        <f xml:space="preserve">
IF($A$4&lt;=12,SUMIFS(#REF!,#REF!,$A$4,#REF!,12),SUMIFS(#REF!,#REF!,12))</f>
        <v>#REF!</v>
      </c>
      <c r="AC21" s="262" t="e">
        <f xml:space="preserve">
IF($A$4&lt;=12,SUMIFS(#REF!,#REF!,$A$4,#REF!,12),SUMIFS(#REF!,#REF!,12))</f>
        <v>#REF!</v>
      </c>
      <c r="AD21" s="262" t="e">
        <f xml:space="preserve">
IF($A$4&lt;=12,SUMIFS(#REF!,#REF!,$A$4,#REF!,12),SUMIFS(#REF!,#REF!,12))</f>
        <v>#REF!</v>
      </c>
      <c r="AE21" s="262" t="e">
        <f xml:space="preserve">
IF($A$4&lt;=12,SUMIFS(#REF!,#REF!,$A$4,#REF!,12),SUMIFS(#REF!,#REF!,12))</f>
        <v>#REF!</v>
      </c>
      <c r="AF21" s="262" t="e">
        <f xml:space="preserve">
IF($A$4&lt;=12,SUMIFS(#REF!,#REF!,$A$4,#REF!,12),SUMIFS(#REF!,#REF!,12))</f>
        <v>#REF!</v>
      </c>
      <c r="AG21" s="262" t="e">
        <f xml:space="preserve">
IF($A$4&lt;=12,SUMIFS(#REF!,#REF!,$A$4,#REF!,12),SUMIFS(#REF!,#REF!,12))</f>
        <v>#REF!</v>
      </c>
      <c r="AH21" s="262" t="e">
        <f xml:space="preserve">
IF($A$4&lt;=12,SUMIFS(#REF!,#REF!,$A$4,#REF!,12),SUMIFS(#REF!,#REF!,12))</f>
        <v>#REF!</v>
      </c>
      <c r="AI21" s="262" t="e">
        <f xml:space="preserve">
IF($A$4&lt;=12,SUMIFS(#REF!,#REF!,$A$4,#REF!,12),SUMIFS(#REF!,#REF!,12))</f>
        <v>#REF!</v>
      </c>
      <c r="AJ21" s="263" t="e">
        <f xml:space="preserve">
IF($A$4&lt;=12,SUMIFS(#REF!,#REF!,$A$4,#REF!,12),SUMIFS(#REF!,#REF!,12))</f>
        <v>#REF!</v>
      </c>
    </row>
    <row r="22" spans="1:36" hidden="1" outlineLevel="1" x14ac:dyDescent="0.3">
      <c r="A22" s="240" t="s">
        <v>73</v>
      </c>
      <c r="B22" s="313" t="e">
        <f xml:space="preserve">
IF(OR(B21="",B21=0),"",B20/B21)</f>
        <v>#REF!</v>
      </c>
      <c r="C22" s="314" t="e">
        <f t="shared" ref="C22:AJ22" si="2" xml:space="preserve">
IF(OR(C21="",C21=0),"",C20/C21)</f>
        <v>#REF!</v>
      </c>
      <c r="D22" s="315" t="e">
        <f t="shared" si="2"/>
        <v>#REF!</v>
      </c>
      <c r="E22" s="315" t="e">
        <f t="shared" si="2"/>
        <v>#REF!</v>
      </c>
      <c r="F22" s="315" t="e">
        <f t="shared" si="2"/>
        <v>#REF!</v>
      </c>
      <c r="G22" s="315" t="e">
        <f t="shared" si="2"/>
        <v>#REF!</v>
      </c>
      <c r="H22" s="315" t="e">
        <f t="shared" si="2"/>
        <v>#REF!</v>
      </c>
      <c r="I22" s="315" t="e">
        <f t="shared" si="2"/>
        <v>#REF!</v>
      </c>
      <c r="J22" s="315" t="e">
        <f t="shared" si="2"/>
        <v>#REF!</v>
      </c>
      <c r="K22" s="315" t="e">
        <f t="shared" si="2"/>
        <v>#REF!</v>
      </c>
      <c r="L22" s="315" t="e">
        <f t="shared" si="2"/>
        <v>#REF!</v>
      </c>
      <c r="M22" s="315" t="e">
        <f t="shared" si="2"/>
        <v>#REF!</v>
      </c>
      <c r="N22" s="315" t="e">
        <f t="shared" si="2"/>
        <v>#REF!</v>
      </c>
      <c r="O22" s="315" t="e">
        <f t="shared" si="2"/>
        <v>#REF!</v>
      </c>
      <c r="P22" s="315" t="e">
        <f t="shared" si="2"/>
        <v>#REF!</v>
      </c>
      <c r="Q22" s="315" t="e">
        <f t="shared" si="2"/>
        <v>#REF!</v>
      </c>
      <c r="R22" s="315" t="e">
        <f t="shared" si="2"/>
        <v>#REF!</v>
      </c>
      <c r="S22" s="315" t="e">
        <f t="shared" si="2"/>
        <v>#REF!</v>
      </c>
      <c r="T22" s="315" t="e">
        <f t="shared" si="2"/>
        <v>#REF!</v>
      </c>
      <c r="U22" s="315" t="e">
        <f t="shared" si="2"/>
        <v>#REF!</v>
      </c>
      <c r="V22" s="315" t="e">
        <f t="shared" si="2"/>
        <v>#REF!</v>
      </c>
      <c r="W22" s="315" t="e">
        <f t="shared" si="2"/>
        <v>#REF!</v>
      </c>
      <c r="X22" s="315" t="e">
        <f t="shared" si="2"/>
        <v>#REF!</v>
      </c>
      <c r="Y22" s="315" t="e">
        <f t="shared" si="2"/>
        <v>#REF!</v>
      </c>
      <c r="Z22" s="315" t="e">
        <f t="shared" si="2"/>
        <v>#REF!</v>
      </c>
      <c r="AA22" s="315" t="e">
        <f t="shared" si="2"/>
        <v>#REF!</v>
      </c>
      <c r="AB22" s="315" t="e">
        <f t="shared" si="2"/>
        <v>#REF!</v>
      </c>
      <c r="AC22" s="315" t="e">
        <f t="shared" si="2"/>
        <v>#REF!</v>
      </c>
      <c r="AD22" s="315" t="e">
        <f t="shared" si="2"/>
        <v>#REF!</v>
      </c>
      <c r="AE22" s="315" t="e">
        <f t="shared" si="2"/>
        <v>#REF!</v>
      </c>
      <c r="AF22" s="315" t="e">
        <f t="shared" si="2"/>
        <v>#REF!</v>
      </c>
      <c r="AG22" s="315" t="e">
        <f t="shared" si="2"/>
        <v>#REF!</v>
      </c>
      <c r="AH22" s="315" t="e">
        <f t="shared" si="2"/>
        <v>#REF!</v>
      </c>
      <c r="AI22" s="315" t="e">
        <f t="shared" si="2"/>
        <v>#REF!</v>
      </c>
      <c r="AJ22" s="316" t="e">
        <f t="shared" si="2"/>
        <v>#REF!</v>
      </c>
    </row>
    <row r="23" spans="1:36" ht="15" hidden="1" outlineLevel="1" thickBot="1" x14ac:dyDescent="0.35">
      <c r="A23" s="248" t="s">
        <v>66</v>
      </c>
      <c r="B23" s="264" t="e">
        <f xml:space="preserve">
IF(B21="","",B20-B21)</f>
        <v>#REF!</v>
      </c>
      <c r="C23" s="265" t="e">
        <f t="shared" ref="C23:AJ23" si="3" xml:space="preserve">
IF(C21="","",C20-C21)</f>
        <v>#REF!</v>
      </c>
      <c r="D23" s="266" t="e">
        <f t="shared" si="3"/>
        <v>#REF!</v>
      </c>
      <c r="E23" s="266" t="e">
        <f t="shared" si="3"/>
        <v>#REF!</v>
      </c>
      <c r="F23" s="266" t="e">
        <f t="shared" si="3"/>
        <v>#REF!</v>
      </c>
      <c r="G23" s="266" t="e">
        <f t="shared" si="3"/>
        <v>#REF!</v>
      </c>
      <c r="H23" s="266" t="e">
        <f t="shared" si="3"/>
        <v>#REF!</v>
      </c>
      <c r="I23" s="266" t="e">
        <f t="shared" si="3"/>
        <v>#REF!</v>
      </c>
      <c r="J23" s="266" t="e">
        <f t="shared" si="3"/>
        <v>#REF!</v>
      </c>
      <c r="K23" s="266" t="e">
        <f t="shared" si="3"/>
        <v>#REF!</v>
      </c>
      <c r="L23" s="266" t="e">
        <f t="shared" si="3"/>
        <v>#REF!</v>
      </c>
      <c r="M23" s="266" t="e">
        <f t="shared" si="3"/>
        <v>#REF!</v>
      </c>
      <c r="N23" s="266" t="e">
        <f t="shared" si="3"/>
        <v>#REF!</v>
      </c>
      <c r="O23" s="266" t="e">
        <f t="shared" si="3"/>
        <v>#REF!</v>
      </c>
      <c r="P23" s="266" t="e">
        <f t="shared" si="3"/>
        <v>#REF!</v>
      </c>
      <c r="Q23" s="266" t="e">
        <f t="shared" si="3"/>
        <v>#REF!</v>
      </c>
      <c r="R23" s="266" t="e">
        <f t="shared" si="3"/>
        <v>#REF!</v>
      </c>
      <c r="S23" s="266" t="e">
        <f t="shared" si="3"/>
        <v>#REF!</v>
      </c>
      <c r="T23" s="266" t="e">
        <f t="shared" si="3"/>
        <v>#REF!</v>
      </c>
      <c r="U23" s="266" t="e">
        <f t="shared" si="3"/>
        <v>#REF!</v>
      </c>
      <c r="V23" s="266" t="e">
        <f t="shared" si="3"/>
        <v>#REF!</v>
      </c>
      <c r="W23" s="266" t="e">
        <f t="shared" si="3"/>
        <v>#REF!</v>
      </c>
      <c r="X23" s="266" t="e">
        <f t="shared" si="3"/>
        <v>#REF!</v>
      </c>
      <c r="Y23" s="266" t="e">
        <f t="shared" si="3"/>
        <v>#REF!</v>
      </c>
      <c r="Z23" s="266" t="e">
        <f t="shared" si="3"/>
        <v>#REF!</v>
      </c>
      <c r="AA23" s="266" t="e">
        <f t="shared" si="3"/>
        <v>#REF!</v>
      </c>
      <c r="AB23" s="266" t="e">
        <f t="shared" si="3"/>
        <v>#REF!</v>
      </c>
      <c r="AC23" s="266" t="e">
        <f t="shared" si="3"/>
        <v>#REF!</v>
      </c>
      <c r="AD23" s="266" t="e">
        <f t="shared" si="3"/>
        <v>#REF!</v>
      </c>
      <c r="AE23" s="266" t="e">
        <f t="shared" si="3"/>
        <v>#REF!</v>
      </c>
      <c r="AF23" s="266" t="e">
        <f t="shared" si="3"/>
        <v>#REF!</v>
      </c>
      <c r="AG23" s="266" t="e">
        <f t="shared" si="3"/>
        <v>#REF!</v>
      </c>
      <c r="AH23" s="266" t="e">
        <f t="shared" si="3"/>
        <v>#REF!</v>
      </c>
      <c r="AI23" s="266" t="e">
        <f t="shared" si="3"/>
        <v>#REF!</v>
      </c>
      <c r="AJ23" s="267" t="e">
        <f t="shared" si="3"/>
        <v>#REF!</v>
      </c>
    </row>
    <row r="24" spans="1:36" x14ac:dyDescent="0.3">
      <c r="A24" s="242" t="s">
        <v>194</v>
      </c>
      <c r="B24" s="297" t="s">
        <v>3</v>
      </c>
      <c r="C24" s="389" t="s">
        <v>205</v>
      </c>
      <c r="D24" s="390"/>
      <c r="E24" s="390"/>
      <c r="F24" s="391"/>
      <c r="G24" s="385" t="s">
        <v>206</v>
      </c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390"/>
      <c r="W24" s="390"/>
      <c r="X24" s="390"/>
      <c r="Y24" s="390"/>
      <c r="Z24" s="390"/>
      <c r="AA24" s="390"/>
      <c r="AB24" s="390"/>
      <c r="AC24" s="390"/>
      <c r="AD24" s="390"/>
      <c r="AE24" s="390"/>
      <c r="AF24" s="390"/>
      <c r="AG24" s="390"/>
      <c r="AH24" s="391"/>
      <c r="AI24" s="385" t="s">
        <v>207</v>
      </c>
      <c r="AJ24" s="386"/>
    </row>
    <row r="25" spans="1:36" x14ac:dyDescent="0.3">
      <c r="A25" s="243" t="s">
        <v>71</v>
      </c>
      <c r="B25" s="260" t="e">
        <f xml:space="preserve">
SUM(C25:AJ25)</f>
        <v>#REF!</v>
      </c>
      <c r="C25" s="393" t="e">
        <f xml:space="preserve">
IF($A$4&lt;=12,SUMIFS(#REF!,#REF!,$A$4,#REF!,10),SUMIFS(#REF!,#REF!,10))</f>
        <v>#REF!</v>
      </c>
      <c r="D25" s="394"/>
      <c r="E25" s="394"/>
      <c r="F25" s="395"/>
      <c r="G25" s="387" t="e">
        <f xml:space="preserve">
IF($A$4&lt;=12,SUMIFS(#REF!,#REF!,$A$4,#REF!,10),SUMIFS(#REF!,#REF!,10))</f>
        <v>#REF!</v>
      </c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5"/>
      <c r="AI25" s="387" t="e">
        <f xml:space="preserve">
IF($A$4&lt;=12,SUMIFS(#REF!,#REF!,$A$4,#REF!,10),SUMIFS(#REF!,#REF!,10))</f>
        <v>#REF!</v>
      </c>
      <c r="AJ25" s="388"/>
    </row>
    <row r="26" spans="1:36" x14ac:dyDescent="0.3">
      <c r="A26" s="249" t="s">
        <v>204</v>
      </c>
      <c r="B26" s="272" t="e">
        <f xml:space="preserve">
SUM(C26:AJ26)</f>
        <v>#REF!</v>
      </c>
      <c r="C26" s="393" t="e">
        <f xml:space="preserve">
IF($A$4&lt;=12,SUMIFS(#REF!,#REF!,$A$4,#REF!,11),SUMIFS(#REF!,#REF!,11))</f>
        <v>#REF!</v>
      </c>
      <c r="D26" s="394"/>
      <c r="E26" s="394"/>
      <c r="F26" s="395"/>
      <c r="G26" s="396" t="e">
        <f xml:space="preserve">
IF($A$4&lt;=12,SUMIFS(#REF!,#REF!,$A$4,#REF!,11),SUMIFS(#REF!,#REF!,11))</f>
        <v>#REF!</v>
      </c>
      <c r="H26" s="397"/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  <c r="T26" s="397"/>
      <c r="U26" s="397"/>
      <c r="V26" s="397"/>
      <c r="W26" s="397"/>
      <c r="X26" s="397"/>
      <c r="Y26" s="397"/>
      <c r="Z26" s="397"/>
      <c r="AA26" s="397"/>
      <c r="AB26" s="397"/>
      <c r="AC26" s="397"/>
      <c r="AD26" s="397"/>
      <c r="AE26" s="397"/>
      <c r="AF26" s="397"/>
      <c r="AG26" s="397"/>
      <c r="AH26" s="398"/>
      <c r="AI26" s="387" t="e">
        <f xml:space="preserve">
IF($A$4&lt;=12,SUMIFS(#REF!,#REF!,$A$4,#REF!,11),SUMIFS(#REF!,#REF!,11))</f>
        <v>#REF!</v>
      </c>
      <c r="AJ26" s="392"/>
    </row>
    <row r="27" spans="1:36" x14ac:dyDescent="0.3">
      <c r="A27" s="249" t="s">
        <v>73</v>
      </c>
      <c r="B27" s="298" t="e">
        <f xml:space="preserve">
IF(B26=0,0,B25/B26)</f>
        <v>#REF!</v>
      </c>
      <c r="C27" s="406" t="e">
        <f xml:space="preserve">
IF(C26=0,0,C25/C26)</f>
        <v>#REF!</v>
      </c>
      <c r="D27" s="407"/>
      <c r="E27" s="407"/>
      <c r="F27" s="408"/>
      <c r="G27" s="402" t="e">
        <f xml:space="preserve">
IF(G26=0,0,G25/G26)</f>
        <v>#REF!</v>
      </c>
      <c r="H27" s="407"/>
      <c r="I27" s="407"/>
      <c r="J27" s="407"/>
      <c r="K27" s="407"/>
      <c r="L27" s="407"/>
      <c r="M27" s="407"/>
      <c r="N27" s="407"/>
      <c r="O27" s="407"/>
      <c r="P27" s="407"/>
      <c r="Q27" s="407"/>
      <c r="R27" s="407"/>
      <c r="S27" s="407"/>
      <c r="T27" s="407"/>
      <c r="U27" s="407"/>
      <c r="V27" s="407"/>
      <c r="W27" s="407"/>
      <c r="X27" s="407"/>
      <c r="Y27" s="407"/>
      <c r="Z27" s="407"/>
      <c r="AA27" s="407"/>
      <c r="AB27" s="407"/>
      <c r="AC27" s="407"/>
      <c r="AD27" s="407"/>
      <c r="AE27" s="407"/>
      <c r="AF27" s="407"/>
      <c r="AG27" s="407"/>
      <c r="AH27" s="408"/>
      <c r="AI27" s="402" t="e">
        <f xml:space="preserve">
IF(AI26=0,0,AI25/AI26)</f>
        <v>#REF!</v>
      </c>
      <c r="AJ27" s="403"/>
    </row>
    <row r="28" spans="1:36" ht="15" thickBot="1" x14ac:dyDescent="0.35">
      <c r="A28" s="249" t="s">
        <v>203</v>
      </c>
      <c r="B28" s="272" t="e">
        <f xml:space="preserve">
SUM(C28:AJ28)</f>
        <v>#REF!</v>
      </c>
      <c r="C28" s="399" t="e">
        <f xml:space="preserve">
C26-C25</f>
        <v>#REF!</v>
      </c>
      <c r="D28" s="400"/>
      <c r="E28" s="400"/>
      <c r="F28" s="401"/>
      <c r="G28" s="404" t="e">
        <f xml:space="preserve">
G26-G25</f>
        <v>#REF!</v>
      </c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1"/>
      <c r="AI28" s="404" t="e">
        <f xml:space="preserve">
AI26-AI25</f>
        <v>#REF!</v>
      </c>
      <c r="AJ28" s="405"/>
    </row>
    <row r="29" spans="1:36" x14ac:dyDescent="0.3">
      <c r="A29" s="250"/>
      <c r="B29" s="250"/>
      <c r="C29" s="251"/>
      <c r="D29" s="250"/>
      <c r="E29" s="250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0"/>
      <c r="AG29" s="250"/>
      <c r="AH29" s="250"/>
      <c r="AI29" s="250"/>
      <c r="AJ29" s="250"/>
    </row>
    <row r="30" spans="1:36" x14ac:dyDescent="0.3">
      <c r="A30" s="113" t="s">
        <v>153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  <c r="AI30" s="151"/>
      <c r="AJ30" s="151"/>
    </row>
    <row r="31" spans="1:36" x14ac:dyDescent="0.3">
      <c r="A31" s="114" t="s">
        <v>201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  <c r="AI31" s="151"/>
      <c r="AJ31" s="151"/>
    </row>
    <row r="32" spans="1:36" ht="14.4" customHeight="1" x14ac:dyDescent="0.3">
      <c r="A32" s="294" t="s">
        <v>198</v>
      </c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</row>
    <row r="33" spans="1:1" x14ac:dyDescent="0.3">
      <c r="A33" s="296" t="s">
        <v>208</v>
      </c>
    </row>
    <row r="34" spans="1:1" x14ac:dyDescent="0.3">
      <c r="A34" s="296" t="s">
        <v>209</v>
      </c>
    </row>
    <row r="35" spans="1:1" x14ac:dyDescent="0.3">
      <c r="A35" s="296" t="s">
        <v>210</v>
      </c>
    </row>
    <row r="36" spans="1:1" x14ac:dyDescent="0.3">
      <c r="A36" s="296" t="s">
        <v>211</v>
      </c>
    </row>
  </sheetData>
  <mergeCells count="17">
    <mergeCell ref="C28:F28"/>
    <mergeCell ref="AI27:AJ27"/>
    <mergeCell ref="AI28:AJ28"/>
    <mergeCell ref="C27:F27"/>
    <mergeCell ref="G27:AH27"/>
    <mergeCell ref="G28:AH28"/>
    <mergeCell ref="AI26:AJ26"/>
    <mergeCell ref="C25:F25"/>
    <mergeCell ref="C26:F26"/>
    <mergeCell ref="G24:AH24"/>
    <mergeCell ref="G25:AH25"/>
    <mergeCell ref="G26:AH26"/>
    <mergeCell ref="A1:AJ1"/>
    <mergeCell ref="B3:B4"/>
    <mergeCell ref="AI24:AJ24"/>
    <mergeCell ref="AI25:AJ25"/>
    <mergeCell ref="C24:F24"/>
  </mergeCells>
  <conditionalFormatting sqref="C27 AI27 G27">
    <cfRule type="cellIs" dxfId="4" priority="4" operator="greaterThan">
      <formula>1</formula>
    </cfRule>
  </conditionalFormatting>
  <conditionalFormatting sqref="C28 AI28 G28">
    <cfRule type="cellIs" dxfId="3" priority="3" operator="lessThan">
      <formula>0</formula>
    </cfRule>
  </conditionalFormatting>
  <conditionalFormatting sqref="B22:AJ22">
    <cfRule type="cellIs" dxfId="2" priority="2" operator="greaterThan">
      <formula>1</formula>
    </cfRule>
  </conditionalFormatting>
  <conditionalFormatting sqref="B23:AJ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409" t="s">
        <v>626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</row>
    <row r="2" spans="1:19" ht="14.4" customHeight="1" thickBot="1" x14ac:dyDescent="0.35">
      <c r="A2" s="231" t="s">
        <v>244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125</v>
      </c>
      <c r="B3" s="222">
        <f>SUBTOTAL(9,B6:B1048576)</f>
        <v>705102</v>
      </c>
      <c r="C3" s="223">
        <f t="shared" ref="C3:R3" si="0">SUBTOTAL(9,C6:C1048576)</f>
        <v>1</v>
      </c>
      <c r="D3" s="223">
        <f t="shared" si="0"/>
        <v>752820</v>
      </c>
      <c r="E3" s="223">
        <f t="shared" si="0"/>
        <v>1.0676753150607998</v>
      </c>
      <c r="F3" s="223">
        <f t="shared" si="0"/>
        <v>1192105</v>
      </c>
      <c r="G3" s="224">
        <f>IF(B3&lt;&gt;0,F3/B3,"")</f>
        <v>1.6906844683464237</v>
      </c>
      <c r="H3" s="225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6" t="str">
        <f>IF(H3&lt;&gt;0,L3/H3,"")</f>
        <v/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410" t="s">
        <v>97</v>
      </c>
      <c r="B4" s="411" t="s">
        <v>98</v>
      </c>
      <c r="C4" s="412"/>
      <c r="D4" s="412"/>
      <c r="E4" s="412"/>
      <c r="F4" s="412"/>
      <c r="G4" s="413"/>
      <c r="H4" s="411" t="s">
        <v>99</v>
      </c>
      <c r="I4" s="412"/>
      <c r="J4" s="412"/>
      <c r="K4" s="412"/>
      <c r="L4" s="412"/>
      <c r="M4" s="413"/>
      <c r="N4" s="411" t="s">
        <v>100</v>
      </c>
      <c r="O4" s="412"/>
      <c r="P4" s="412"/>
      <c r="Q4" s="412"/>
      <c r="R4" s="412"/>
      <c r="S4" s="413"/>
    </row>
    <row r="5" spans="1:19" ht="14.4" customHeight="1" thickBot="1" x14ac:dyDescent="0.35">
      <c r="A5" s="543"/>
      <c r="B5" s="544">
        <v>2012</v>
      </c>
      <c r="C5" s="545"/>
      <c r="D5" s="545">
        <v>2013</v>
      </c>
      <c r="E5" s="545"/>
      <c r="F5" s="545">
        <v>2014</v>
      </c>
      <c r="G5" s="546" t="s">
        <v>2</v>
      </c>
      <c r="H5" s="544">
        <v>2012</v>
      </c>
      <c r="I5" s="545"/>
      <c r="J5" s="545">
        <v>2013</v>
      </c>
      <c r="K5" s="545"/>
      <c r="L5" s="545">
        <v>2014</v>
      </c>
      <c r="M5" s="546" t="s">
        <v>2</v>
      </c>
      <c r="N5" s="544">
        <v>2012</v>
      </c>
      <c r="O5" s="545"/>
      <c r="P5" s="545">
        <v>2013</v>
      </c>
      <c r="Q5" s="545"/>
      <c r="R5" s="545">
        <v>2014</v>
      </c>
      <c r="S5" s="546" t="s">
        <v>2</v>
      </c>
    </row>
    <row r="6" spans="1:19" ht="14.4" customHeight="1" thickBot="1" x14ac:dyDescent="0.35">
      <c r="A6" s="549" t="s">
        <v>622</v>
      </c>
      <c r="B6" s="547">
        <v>705102</v>
      </c>
      <c r="C6" s="548">
        <v>1</v>
      </c>
      <c r="D6" s="547">
        <v>752820</v>
      </c>
      <c r="E6" s="548">
        <v>1.0676753150607998</v>
      </c>
      <c r="F6" s="547">
        <v>1192105</v>
      </c>
      <c r="G6" s="307">
        <v>1.6906844683464237</v>
      </c>
      <c r="H6" s="547"/>
      <c r="I6" s="548"/>
      <c r="J6" s="547"/>
      <c r="K6" s="548"/>
      <c r="L6" s="547"/>
      <c r="M6" s="307"/>
      <c r="N6" s="547"/>
      <c r="O6" s="548"/>
      <c r="P6" s="547"/>
      <c r="Q6" s="548"/>
      <c r="R6" s="547"/>
      <c r="S6" s="308"/>
    </row>
    <row r="7" spans="1:19" ht="14.4" customHeight="1" x14ac:dyDescent="0.3">
      <c r="A7" s="550" t="s">
        <v>623</v>
      </c>
    </row>
    <row r="8" spans="1:19" ht="14.4" customHeight="1" x14ac:dyDescent="0.3">
      <c r="A8" s="551" t="s">
        <v>624</v>
      </c>
    </row>
    <row r="9" spans="1:19" ht="14.4" customHeight="1" x14ac:dyDescent="0.3">
      <c r="A9" s="550" t="s">
        <v>625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09" t="s">
        <v>630</v>
      </c>
      <c r="B1" s="321"/>
      <c r="C1" s="321"/>
      <c r="D1" s="321"/>
      <c r="E1" s="321"/>
      <c r="F1" s="321"/>
      <c r="G1" s="321"/>
    </row>
    <row r="2" spans="1:7" ht="14.4" customHeight="1" thickBot="1" x14ac:dyDescent="0.35">
      <c r="A2" s="231" t="s">
        <v>244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125</v>
      </c>
      <c r="B3" s="310">
        <f t="shared" ref="B3:G3" si="0">SUBTOTAL(9,B6:B1048576)</f>
        <v>1199</v>
      </c>
      <c r="C3" s="311">
        <f t="shared" si="0"/>
        <v>1223</v>
      </c>
      <c r="D3" s="311">
        <f t="shared" si="0"/>
        <v>2541</v>
      </c>
      <c r="E3" s="225">
        <f t="shared" si="0"/>
        <v>705102</v>
      </c>
      <c r="F3" s="223">
        <f t="shared" si="0"/>
        <v>752820</v>
      </c>
      <c r="G3" s="312">
        <f t="shared" si="0"/>
        <v>1192105</v>
      </c>
    </row>
    <row r="4" spans="1:7" ht="14.4" customHeight="1" x14ac:dyDescent="0.3">
      <c r="A4" s="410" t="s">
        <v>132</v>
      </c>
      <c r="B4" s="411" t="s">
        <v>242</v>
      </c>
      <c r="C4" s="412"/>
      <c r="D4" s="412"/>
      <c r="E4" s="414" t="s">
        <v>98</v>
      </c>
      <c r="F4" s="415"/>
      <c r="G4" s="416"/>
    </row>
    <row r="5" spans="1:7" ht="14.4" customHeight="1" thickBot="1" x14ac:dyDescent="0.35">
      <c r="A5" s="543"/>
      <c r="B5" s="544">
        <v>2012</v>
      </c>
      <c r="C5" s="545">
        <v>2013</v>
      </c>
      <c r="D5" s="545">
        <v>2014</v>
      </c>
      <c r="E5" s="544">
        <v>2012</v>
      </c>
      <c r="F5" s="545">
        <v>2013</v>
      </c>
      <c r="G5" s="552">
        <v>2014</v>
      </c>
    </row>
    <row r="6" spans="1:7" ht="14.4" customHeight="1" x14ac:dyDescent="0.3">
      <c r="A6" s="526" t="s">
        <v>627</v>
      </c>
      <c r="B6" s="116">
        <v>1</v>
      </c>
      <c r="C6" s="116"/>
      <c r="D6" s="116"/>
      <c r="E6" s="553">
        <v>231</v>
      </c>
      <c r="F6" s="553"/>
      <c r="G6" s="554"/>
    </row>
    <row r="7" spans="1:7" ht="14.4" customHeight="1" x14ac:dyDescent="0.3">
      <c r="A7" s="527" t="s">
        <v>628</v>
      </c>
      <c r="B7" s="469">
        <v>294</v>
      </c>
      <c r="C7" s="469">
        <v>136</v>
      </c>
      <c r="D7" s="469">
        <v>265</v>
      </c>
      <c r="E7" s="555">
        <v>89087</v>
      </c>
      <c r="F7" s="555">
        <v>33544</v>
      </c>
      <c r="G7" s="556">
        <v>59288</v>
      </c>
    </row>
    <row r="8" spans="1:7" ht="14.4" customHeight="1" x14ac:dyDescent="0.3">
      <c r="A8" s="527" t="s">
        <v>299</v>
      </c>
      <c r="B8" s="469">
        <v>12</v>
      </c>
      <c r="C8" s="469">
        <v>5</v>
      </c>
      <c r="D8" s="469">
        <v>6</v>
      </c>
      <c r="E8" s="555">
        <v>2079</v>
      </c>
      <c r="F8" s="555">
        <v>1160</v>
      </c>
      <c r="G8" s="556">
        <v>1170</v>
      </c>
    </row>
    <row r="9" spans="1:7" ht="14.4" customHeight="1" x14ac:dyDescent="0.3">
      <c r="A9" s="527" t="s">
        <v>300</v>
      </c>
      <c r="B9" s="469">
        <v>126</v>
      </c>
      <c r="C9" s="469">
        <v>102</v>
      </c>
      <c r="D9" s="469">
        <v>181</v>
      </c>
      <c r="E9" s="555">
        <v>24255</v>
      </c>
      <c r="F9" s="555">
        <v>22040</v>
      </c>
      <c r="G9" s="556">
        <v>39476</v>
      </c>
    </row>
    <row r="10" spans="1:7" ht="14.4" customHeight="1" x14ac:dyDescent="0.3">
      <c r="A10" s="527" t="s">
        <v>301</v>
      </c>
      <c r="B10" s="469">
        <v>256</v>
      </c>
      <c r="C10" s="469">
        <v>240</v>
      </c>
      <c r="D10" s="469">
        <v>1027</v>
      </c>
      <c r="E10" s="555">
        <v>245223</v>
      </c>
      <c r="F10" s="555">
        <v>264054</v>
      </c>
      <c r="G10" s="556">
        <v>477321</v>
      </c>
    </row>
    <row r="11" spans="1:7" ht="14.4" customHeight="1" x14ac:dyDescent="0.3">
      <c r="A11" s="527" t="s">
        <v>302</v>
      </c>
      <c r="B11" s="469">
        <v>4</v>
      </c>
      <c r="C11" s="469">
        <v>2</v>
      </c>
      <c r="D11" s="469"/>
      <c r="E11" s="555">
        <v>693</v>
      </c>
      <c r="F11" s="555">
        <v>464</v>
      </c>
      <c r="G11" s="556"/>
    </row>
    <row r="12" spans="1:7" ht="14.4" customHeight="1" x14ac:dyDescent="0.3">
      <c r="A12" s="527" t="s">
        <v>629</v>
      </c>
      <c r="B12" s="469">
        <v>1</v>
      </c>
      <c r="C12" s="469"/>
      <c r="D12" s="469"/>
      <c r="E12" s="555">
        <v>231</v>
      </c>
      <c r="F12" s="555"/>
      <c r="G12" s="556"/>
    </row>
    <row r="13" spans="1:7" ht="14.4" customHeight="1" thickBot="1" x14ac:dyDescent="0.35">
      <c r="A13" s="559" t="s">
        <v>303</v>
      </c>
      <c r="B13" s="472">
        <v>505</v>
      </c>
      <c r="C13" s="472">
        <v>738</v>
      </c>
      <c r="D13" s="472">
        <v>1062</v>
      </c>
      <c r="E13" s="557">
        <v>343303</v>
      </c>
      <c r="F13" s="557">
        <v>431558</v>
      </c>
      <c r="G13" s="558">
        <v>614850</v>
      </c>
    </row>
    <row r="14" spans="1:7" ht="14.4" customHeight="1" x14ac:dyDescent="0.3">
      <c r="A14" s="550" t="s">
        <v>623</v>
      </c>
    </row>
    <row r="15" spans="1:7" ht="14.4" customHeight="1" x14ac:dyDescent="0.3">
      <c r="A15" s="551" t="s">
        <v>624</v>
      </c>
    </row>
    <row r="16" spans="1:7" ht="14.4" customHeight="1" x14ac:dyDescent="0.3">
      <c r="A16" s="550" t="s">
        <v>625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22.21875" style="130" customWidth="1"/>
    <col min="4" max="4" width="8" style="130" customWidth="1"/>
    <col min="5" max="5" width="50.88671875" style="130" bestFit="1" customWidth="1"/>
    <col min="6" max="7" width="11.109375" style="208" customWidth="1"/>
    <col min="8" max="9" width="9.33203125" style="130" hidden="1" customWidth="1"/>
    <col min="10" max="11" width="11.109375" style="208" customWidth="1"/>
    <col min="12" max="13" width="9.33203125" style="130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1" t="s">
        <v>647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</row>
    <row r="2" spans="1:17" ht="14.4" customHeight="1" thickBot="1" x14ac:dyDescent="0.35">
      <c r="A2" s="231" t="s">
        <v>244</v>
      </c>
      <c r="B2" s="131"/>
      <c r="C2" s="131"/>
      <c r="D2" s="309"/>
      <c r="E2" s="131"/>
      <c r="F2" s="229"/>
      <c r="G2" s="229"/>
      <c r="H2" s="131"/>
      <c r="I2" s="131"/>
      <c r="J2" s="229"/>
      <c r="K2" s="229"/>
      <c r="L2" s="131"/>
      <c r="M2" s="131"/>
      <c r="N2" s="229"/>
      <c r="O2" s="229"/>
      <c r="P2" s="230"/>
      <c r="Q2" s="229"/>
    </row>
    <row r="3" spans="1:17" ht="14.4" customHeight="1" thickBot="1" x14ac:dyDescent="0.35">
      <c r="E3" s="87" t="s">
        <v>125</v>
      </c>
      <c r="F3" s="102">
        <f t="shared" ref="F3:O3" si="0">SUBTOTAL(9,F6:F1048576)</f>
        <v>1199</v>
      </c>
      <c r="G3" s="103">
        <f t="shared" si="0"/>
        <v>705102</v>
      </c>
      <c r="H3" s="74"/>
      <c r="I3" s="74"/>
      <c r="J3" s="103">
        <f t="shared" si="0"/>
        <v>1223</v>
      </c>
      <c r="K3" s="103">
        <f t="shared" si="0"/>
        <v>752820</v>
      </c>
      <c r="L3" s="74"/>
      <c r="M3" s="74"/>
      <c r="N3" s="103">
        <f t="shared" si="0"/>
        <v>2541</v>
      </c>
      <c r="O3" s="103">
        <f t="shared" si="0"/>
        <v>1192105</v>
      </c>
      <c r="P3" s="75">
        <f>IF(G3=0,0,O3/G3)</f>
        <v>1.6906844683464237</v>
      </c>
      <c r="Q3" s="104">
        <f>IF(N3=0,0,O3/N3)</f>
        <v>469.14797323888234</v>
      </c>
    </row>
    <row r="4" spans="1:17" ht="14.4" customHeight="1" x14ac:dyDescent="0.3">
      <c r="A4" s="418" t="s">
        <v>93</v>
      </c>
      <c r="B4" s="419" t="s">
        <v>94</v>
      </c>
      <c r="C4" s="420" t="s">
        <v>132</v>
      </c>
      <c r="D4" s="425" t="s">
        <v>69</v>
      </c>
      <c r="E4" s="421" t="s">
        <v>68</v>
      </c>
      <c r="F4" s="422">
        <v>2012</v>
      </c>
      <c r="G4" s="423"/>
      <c r="H4" s="101"/>
      <c r="I4" s="101"/>
      <c r="J4" s="422">
        <v>2013</v>
      </c>
      <c r="K4" s="423"/>
      <c r="L4" s="101"/>
      <c r="M4" s="101"/>
      <c r="N4" s="422">
        <v>2014</v>
      </c>
      <c r="O4" s="423"/>
      <c r="P4" s="424" t="s">
        <v>2</v>
      </c>
      <c r="Q4" s="417" t="s">
        <v>96</v>
      </c>
    </row>
    <row r="5" spans="1:17" ht="14.4" customHeight="1" thickBot="1" x14ac:dyDescent="0.35">
      <c r="A5" s="560"/>
      <c r="B5" s="561"/>
      <c r="C5" s="562"/>
      <c r="D5" s="563"/>
      <c r="E5" s="564"/>
      <c r="F5" s="565" t="s">
        <v>70</v>
      </c>
      <c r="G5" s="566" t="s">
        <v>13</v>
      </c>
      <c r="H5" s="567"/>
      <c r="I5" s="567"/>
      <c r="J5" s="565" t="s">
        <v>70</v>
      </c>
      <c r="K5" s="566" t="s">
        <v>13</v>
      </c>
      <c r="L5" s="567"/>
      <c r="M5" s="567"/>
      <c r="N5" s="565" t="s">
        <v>70</v>
      </c>
      <c r="O5" s="566" t="s">
        <v>13</v>
      </c>
      <c r="P5" s="568"/>
      <c r="Q5" s="569"/>
    </row>
    <row r="6" spans="1:17" ht="14.4" customHeight="1" x14ac:dyDescent="0.3">
      <c r="A6" s="497" t="s">
        <v>631</v>
      </c>
      <c r="B6" s="498" t="s">
        <v>632</v>
      </c>
      <c r="C6" s="498" t="s">
        <v>627</v>
      </c>
      <c r="D6" s="498" t="s">
        <v>633</v>
      </c>
      <c r="E6" s="498" t="s">
        <v>634</v>
      </c>
      <c r="F6" s="116">
        <v>1</v>
      </c>
      <c r="G6" s="116">
        <v>231</v>
      </c>
      <c r="H6" s="498">
        <v>1</v>
      </c>
      <c r="I6" s="498">
        <v>231</v>
      </c>
      <c r="J6" s="116"/>
      <c r="K6" s="116"/>
      <c r="L6" s="498"/>
      <c r="M6" s="498"/>
      <c r="N6" s="116"/>
      <c r="O6" s="116"/>
      <c r="P6" s="503"/>
      <c r="Q6" s="516"/>
    </row>
    <row r="7" spans="1:17" ht="14.4" customHeight="1" x14ac:dyDescent="0.3">
      <c r="A7" s="478" t="s">
        <v>631</v>
      </c>
      <c r="B7" s="468" t="s">
        <v>632</v>
      </c>
      <c r="C7" s="468" t="s">
        <v>628</v>
      </c>
      <c r="D7" s="468" t="s">
        <v>635</v>
      </c>
      <c r="E7" s="468" t="s">
        <v>636</v>
      </c>
      <c r="F7" s="469">
        <v>132</v>
      </c>
      <c r="G7" s="469">
        <v>43824</v>
      </c>
      <c r="H7" s="468">
        <v>1</v>
      </c>
      <c r="I7" s="468">
        <v>332</v>
      </c>
      <c r="J7" s="469">
        <v>66</v>
      </c>
      <c r="K7" s="469">
        <v>22110</v>
      </c>
      <c r="L7" s="468">
        <v>0.50451807228915657</v>
      </c>
      <c r="M7" s="468">
        <v>335</v>
      </c>
      <c r="N7" s="469">
        <v>138</v>
      </c>
      <c r="O7" s="469">
        <v>46820</v>
      </c>
      <c r="P7" s="482">
        <v>1.0683643665571376</v>
      </c>
      <c r="Q7" s="517">
        <v>339.27536231884056</v>
      </c>
    </row>
    <row r="8" spans="1:17" ht="14.4" customHeight="1" x14ac:dyDescent="0.3">
      <c r="A8" s="478" t="s">
        <v>631</v>
      </c>
      <c r="B8" s="468" t="s">
        <v>632</v>
      </c>
      <c r="C8" s="468" t="s">
        <v>628</v>
      </c>
      <c r="D8" s="468" t="s">
        <v>633</v>
      </c>
      <c r="E8" s="468" t="s">
        <v>634</v>
      </c>
      <c r="F8" s="469">
        <v>15</v>
      </c>
      <c r="G8" s="469">
        <v>3465</v>
      </c>
      <c r="H8" s="468">
        <v>1</v>
      </c>
      <c r="I8" s="468">
        <v>231</v>
      </c>
      <c r="J8" s="469">
        <v>9</v>
      </c>
      <c r="K8" s="469">
        <v>2088</v>
      </c>
      <c r="L8" s="468">
        <v>0.60259740259740258</v>
      </c>
      <c r="M8" s="468">
        <v>232</v>
      </c>
      <c r="N8" s="469"/>
      <c r="O8" s="469"/>
      <c r="P8" s="482"/>
      <c r="Q8" s="517"/>
    </row>
    <row r="9" spans="1:17" ht="14.4" customHeight="1" x14ac:dyDescent="0.3">
      <c r="A9" s="478" t="s">
        <v>631</v>
      </c>
      <c r="B9" s="468" t="s">
        <v>632</v>
      </c>
      <c r="C9" s="468" t="s">
        <v>628</v>
      </c>
      <c r="D9" s="468" t="s">
        <v>637</v>
      </c>
      <c r="E9" s="468" t="s">
        <v>638</v>
      </c>
      <c r="F9" s="469">
        <v>1</v>
      </c>
      <c r="G9" s="469">
        <v>0</v>
      </c>
      <c r="H9" s="468"/>
      <c r="I9" s="468">
        <v>0</v>
      </c>
      <c r="J9" s="469"/>
      <c r="K9" s="469"/>
      <c r="L9" s="468"/>
      <c r="M9" s="468"/>
      <c r="N9" s="469"/>
      <c r="O9" s="469"/>
      <c r="P9" s="482"/>
      <c r="Q9" s="517"/>
    </row>
    <row r="10" spans="1:17" ht="14.4" customHeight="1" x14ac:dyDescent="0.3">
      <c r="A10" s="478" t="s">
        <v>631</v>
      </c>
      <c r="B10" s="468" t="s">
        <v>632</v>
      </c>
      <c r="C10" s="468" t="s">
        <v>628</v>
      </c>
      <c r="D10" s="468" t="s">
        <v>639</v>
      </c>
      <c r="E10" s="468" t="s">
        <v>640</v>
      </c>
      <c r="F10" s="469">
        <v>138</v>
      </c>
      <c r="G10" s="469">
        <v>13110</v>
      </c>
      <c r="H10" s="468">
        <v>1</v>
      </c>
      <c r="I10" s="468">
        <v>95</v>
      </c>
      <c r="J10" s="469">
        <v>60</v>
      </c>
      <c r="K10" s="469">
        <v>5760</v>
      </c>
      <c r="L10" s="468">
        <v>0.43935926773455375</v>
      </c>
      <c r="M10" s="468">
        <v>96</v>
      </c>
      <c r="N10" s="469">
        <v>126</v>
      </c>
      <c r="O10" s="469">
        <v>12206</v>
      </c>
      <c r="P10" s="482">
        <v>0.93104500381388255</v>
      </c>
      <c r="Q10" s="517">
        <v>96.873015873015873</v>
      </c>
    </row>
    <row r="11" spans="1:17" ht="14.4" customHeight="1" x14ac:dyDescent="0.3">
      <c r="A11" s="478" t="s">
        <v>631</v>
      </c>
      <c r="B11" s="468" t="s">
        <v>632</v>
      </c>
      <c r="C11" s="468" t="s">
        <v>628</v>
      </c>
      <c r="D11" s="468" t="s">
        <v>641</v>
      </c>
      <c r="E11" s="468" t="s">
        <v>642</v>
      </c>
      <c r="F11" s="469"/>
      <c r="G11" s="469"/>
      <c r="H11" s="468"/>
      <c r="I11" s="468"/>
      <c r="J11" s="469"/>
      <c r="K11" s="469"/>
      <c r="L11" s="468"/>
      <c r="M11" s="468"/>
      <c r="N11" s="469">
        <v>1</v>
      </c>
      <c r="O11" s="469">
        <v>262</v>
      </c>
      <c r="P11" s="482"/>
      <c r="Q11" s="517">
        <v>262</v>
      </c>
    </row>
    <row r="12" spans="1:17" ht="14.4" customHeight="1" x14ac:dyDescent="0.3">
      <c r="A12" s="478" t="s">
        <v>631</v>
      </c>
      <c r="B12" s="468" t="s">
        <v>632</v>
      </c>
      <c r="C12" s="468" t="s">
        <v>628</v>
      </c>
      <c r="D12" s="468" t="s">
        <v>643</v>
      </c>
      <c r="E12" s="468" t="s">
        <v>644</v>
      </c>
      <c r="F12" s="469">
        <v>8</v>
      </c>
      <c r="G12" s="469">
        <v>28688</v>
      </c>
      <c r="H12" s="468">
        <v>1</v>
      </c>
      <c r="I12" s="468">
        <v>3586</v>
      </c>
      <c r="J12" s="469">
        <v>1</v>
      </c>
      <c r="K12" s="469">
        <v>3586</v>
      </c>
      <c r="L12" s="468">
        <v>0.125</v>
      </c>
      <c r="M12" s="468">
        <v>3586</v>
      </c>
      <c r="N12" s="469"/>
      <c r="O12" s="469"/>
      <c r="P12" s="482"/>
      <c r="Q12" s="517"/>
    </row>
    <row r="13" spans="1:17" ht="14.4" customHeight="1" x14ac:dyDescent="0.3">
      <c r="A13" s="478" t="s">
        <v>631</v>
      </c>
      <c r="B13" s="468" t="s">
        <v>632</v>
      </c>
      <c r="C13" s="468" t="s">
        <v>299</v>
      </c>
      <c r="D13" s="468" t="s">
        <v>633</v>
      </c>
      <c r="E13" s="468" t="s">
        <v>634</v>
      </c>
      <c r="F13" s="469">
        <v>9</v>
      </c>
      <c r="G13" s="469">
        <v>2079</v>
      </c>
      <c r="H13" s="468">
        <v>1</v>
      </c>
      <c r="I13" s="468">
        <v>231</v>
      </c>
      <c r="J13" s="469">
        <v>5</v>
      </c>
      <c r="K13" s="469">
        <v>1160</v>
      </c>
      <c r="L13" s="468">
        <v>0.55796055796055799</v>
      </c>
      <c r="M13" s="468">
        <v>232</v>
      </c>
      <c r="N13" s="469">
        <v>5</v>
      </c>
      <c r="O13" s="469">
        <v>1170</v>
      </c>
      <c r="P13" s="482">
        <v>0.56277056277056281</v>
      </c>
      <c r="Q13" s="517">
        <v>234</v>
      </c>
    </row>
    <row r="14" spans="1:17" ht="14.4" customHeight="1" x14ac:dyDescent="0.3">
      <c r="A14" s="478" t="s">
        <v>631</v>
      </c>
      <c r="B14" s="468" t="s">
        <v>632</v>
      </c>
      <c r="C14" s="468" t="s">
        <v>299</v>
      </c>
      <c r="D14" s="468" t="s">
        <v>637</v>
      </c>
      <c r="E14" s="468" t="s">
        <v>638</v>
      </c>
      <c r="F14" s="469">
        <v>3</v>
      </c>
      <c r="G14" s="469">
        <v>0</v>
      </c>
      <c r="H14" s="468"/>
      <c r="I14" s="468">
        <v>0</v>
      </c>
      <c r="J14" s="469"/>
      <c r="K14" s="469"/>
      <c r="L14" s="468"/>
      <c r="M14" s="468"/>
      <c r="N14" s="469">
        <v>1</v>
      </c>
      <c r="O14" s="469">
        <v>0</v>
      </c>
      <c r="P14" s="482"/>
      <c r="Q14" s="517">
        <v>0</v>
      </c>
    </row>
    <row r="15" spans="1:17" ht="14.4" customHeight="1" x14ac:dyDescent="0.3">
      <c r="A15" s="478" t="s">
        <v>631</v>
      </c>
      <c r="B15" s="468" t="s">
        <v>632</v>
      </c>
      <c r="C15" s="468" t="s">
        <v>300</v>
      </c>
      <c r="D15" s="468" t="s">
        <v>633</v>
      </c>
      <c r="E15" s="468" t="s">
        <v>634</v>
      </c>
      <c r="F15" s="469">
        <v>105</v>
      </c>
      <c r="G15" s="469">
        <v>24255</v>
      </c>
      <c r="H15" s="468">
        <v>1</v>
      </c>
      <c r="I15" s="468">
        <v>231</v>
      </c>
      <c r="J15" s="469">
        <v>95</v>
      </c>
      <c r="K15" s="469">
        <v>22040</v>
      </c>
      <c r="L15" s="468">
        <v>0.90867862296433721</v>
      </c>
      <c r="M15" s="468">
        <v>232</v>
      </c>
      <c r="N15" s="469">
        <v>169</v>
      </c>
      <c r="O15" s="469">
        <v>39476</v>
      </c>
      <c r="P15" s="482">
        <v>1.627540713254999</v>
      </c>
      <c r="Q15" s="517">
        <v>233.58579881656806</v>
      </c>
    </row>
    <row r="16" spans="1:17" ht="14.4" customHeight="1" x14ac:dyDescent="0.3">
      <c r="A16" s="478" t="s">
        <v>631</v>
      </c>
      <c r="B16" s="468" t="s">
        <v>632</v>
      </c>
      <c r="C16" s="468" t="s">
        <v>300</v>
      </c>
      <c r="D16" s="468" t="s">
        <v>637</v>
      </c>
      <c r="E16" s="468" t="s">
        <v>638</v>
      </c>
      <c r="F16" s="469">
        <v>21</v>
      </c>
      <c r="G16" s="469">
        <v>0</v>
      </c>
      <c r="H16" s="468"/>
      <c r="I16" s="468">
        <v>0</v>
      </c>
      <c r="J16" s="469">
        <v>7</v>
      </c>
      <c r="K16" s="469">
        <v>0</v>
      </c>
      <c r="L16" s="468"/>
      <c r="M16" s="468">
        <v>0</v>
      </c>
      <c r="N16" s="469">
        <v>12</v>
      </c>
      <c r="O16" s="469">
        <v>0</v>
      </c>
      <c r="P16" s="482"/>
      <c r="Q16" s="517">
        <v>0</v>
      </c>
    </row>
    <row r="17" spans="1:17" ht="14.4" customHeight="1" x14ac:dyDescent="0.3">
      <c r="A17" s="478" t="s">
        <v>631</v>
      </c>
      <c r="B17" s="468" t="s">
        <v>632</v>
      </c>
      <c r="C17" s="468" t="s">
        <v>301</v>
      </c>
      <c r="D17" s="468" t="s">
        <v>645</v>
      </c>
      <c r="E17" s="468" t="s">
        <v>646</v>
      </c>
      <c r="F17" s="469">
        <v>81</v>
      </c>
      <c r="G17" s="469">
        <v>2754</v>
      </c>
      <c r="H17" s="468">
        <v>1</v>
      </c>
      <c r="I17" s="468">
        <v>34</v>
      </c>
      <c r="J17" s="469">
        <v>18</v>
      </c>
      <c r="K17" s="469">
        <v>612</v>
      </c>
      <c r="L17" s="468">
        <v>0.22222222222222221</v>
      </c>
      <c r="M17" s="468">
        <v>34</v>
      </c>
      <c r="N17" s="469">
        <v>3</v>
      </c>
      <c r="O17" s="469">
        <v>105</v>
      </c>
      <c r="P17" s="482">
        <v>3.8126361655773419E-2</v>
      </c>
      <c r="Q17" s="517">
        <v>35</v>
      </c>
    </row>
    <row r="18" spans="1:17" ht="14.4" customHeight="1" x14ac:dyDescent="0.3">
      <c r="A18" s="478" t="s">
        <v>631</v>
      </c>
      <c r="B18" s="468" t="s">
        <v>632</v>
      </c>
      <c r="C18" s="468" t="s">
        <v>301</v>
      </c>
      <c r="D18" s="468" t="s">
        <v>633</v>
      </c>
      <c r="E18" s="468" t="s">
        <v>634</v>
      </c>
      <c r="F18" s="469">
        <v>91</v>
      </c>
      <c r="G18" s="469">
        <v>21021</v>
      </c>
      <c r="H18" s="468">
        <v>1</v>
      </c>
      <c r="I18" s="468">
        <v>231</v>
      </c>
      <c r="J18" s="469">
        <v>27</v>
      </c>
      <c r="K18" s="469">
        <v>6264</v>
      </c>
      <c r="L18" s="468">
        <v>0.29798772655915512</v>
      </c>
      <c r="M18" s="468">
        <v>232</v>
      </c>
      <c r="N18" s="469">
        <v>17</v>
      </c>
      <c r="O18" s="469">
        <v>3970</v>
      </c>
      <c r="P18" s="482">
        <v>0.18885876028733173</v>
      </c>
      <c r="Q18" s="517">
        <v>233.52941176470588</v>
      </c>
    </row>
    <row r="19" spans="1:17" ht="14.4" customHeight="1" x14ac:dyDescent="0.3">
      <c r="A19" s="478" t="s">
        <v>631</v>
      </c>
      <c r="B19" s="468" t="s">
        <v>632</v>
      </c>
      <c r="C19" s="468" t="s">
        <v>301</v>
      </c>
      <c r="D19" s="468" t="s">
        <v>641</v>
      </c>
      <c r="E19" s="468" t="s">
        <v>642</v>
      </c>
      <c r="F19" s="469">
        <v>24</v>
      </c>
      <c r="G19" s="469">
        <v>6288</v>
      </c>
      <c r="H19" s="468">
        <v>1</v>
      </c>
      <c r="I19" s="468">
        <v>262</v>
      </c>
      <c r="J19" s="469">
        <v>133</v>
      </c>
      <c r="K19" s="469">
        <v>34846</v>
      </c>
      <c r="L19" s="468">
        <v>5.541666666666667</v>
      </c>
      <c r="M19" s="468">
        <v>262</v>
      </c>
      <c r="N19" s="469">
        <v>944</v>
      </c>
      <c r="O19" s="469">
        <v>247328</v>
      </c>
      <c r="P19" s="482">
        <v>39.333333333333336</v>
      </c>
      <c r="Q19" s="517">
        <v>262</v>
      </c>
    </row>
    <row r="20" spans="1:17" ht="14.4" customHeight="1" x14ac:dyDescent="0.3">
      <c r="A20" s="478" t="s">
        <v>631</v>
      </c>
      <c r="B20" s="468" t="s">
        <v>632</v>
      </c>
      <c r="C20" s="468" t="s">
        <v>301</v>
      </c>
      <c r="D20" s="468" t="s">
        <v>643</v>
      </c>
      <c r="E20" s="468" t="s">
        <v>644</v>
      </c>
      <c r="F20" s="469">
        <v>60</v>
      </c>
      <c r="G20" s="469">
        <v>215160</v>
      </c>
      <c r="H20" s="468">
        <v>1</v>
      </c>
      <c r="I20" s="468">
        <v>3586</v>
      </c>
      <c r="J20" s="469">
        <v>62</v>
      </c>
      <c r="K20" s="469">
        <v>222332</v>
      </c>
      <c r="L20" s="468">
        <v>1.0333333333333334</v>
      </c>
      <c r="M20" s="468">
        <v>3586</v>
      </c>
      <c r="N20" s="469">
        <v>63</v>
      </c>
      <c r="O20" s="469">
        <v>225918</v>
      </c>
      <c r="P20" s="482">
        <v>1.05</v>
      </c>
      <c r="Q20" s="517">
        <v>3586</v>
      </c>
    </row>
    <row r="21" spans="1:17" ht="14.4" customHeight="1" x14ac:dyDescent="0.3">
      <c r="A21" s="478" t="s">
        <v>631</v>
      </c>
      <c r="B21" s="468" t="s">
        <v>632</v>
      </c>
      <c r="C21" s="468" t="s">
        <v>302</v>
      </c>
      <c r="D21" s="468" t="s">
        <v>633</v>
      </c>
      <c r="E21" s="468" t="s">
        <v>634</v>
      </c>
      <c r="F21" s="469">
        <v>3</v>
      </c>
      <c r="G21" s="469">
        <v>693</v>
      </c>
      <c r="H21" s="468">
        <v>1</v>
      </c>
      <c r="I21" s="468">
        <v>231</v>
      </c>
      <c r="J21" s="469">
        <v>2</v>
      </c>
      <c r="K21" s="469">
        <v>464</v>
      </c>
      <c r="L21" s="468">
        <v>0.66955266955266957</v>
      </c>
      <c r="M21" s="468">
        <v>232</v>
      </c>
      <c r="N21" s="469"/>
      <c r="O21" s="469"/>
      <c r="P21" s="482"/>
      <c r="Q21" s="517"/>
    </row>
    <row r="22" spans="1:17" ht="14.4" customHeight="1" x14ac:dyDescent="0.3">
      <c r="A22" s="478" t="s">
        <v>631</v>
      </c>
      <c r="B22" s="468" t="s">
        <v>632</v>
      </c>
      <c r="C22" s="468" t="s">
        <v>302</v>
      </c>
      <c r="D22" s="468" t="s">
        <v>637</v>
      </c>
      <c r="E22" s="468" t="s">
        <v>638</v>
      </c>
      <c r="F22" s="469">
        <v>1</v>
      </c>
      <c r="G22" s="469">
        <v>0</v>
      </c>
      <c r="H22" s="468"/>
      <c r="I22" s="468">
        <v>0</v>
      </c>
      <c r="J22" s="469"/>
      <c r="K22" s="469"/>
      <c r="L22" s="468"/>
      <c r="M22" s="468"/>
      <c r="N22" s="469"/>
      <c r="O22" s="469"/>
      <c r="P22" s="482"/>
      <c r="Q22" s="517"/>
    </row>
    <row r="23" spans="1:17" ht="14.4" customHeight="1" x14ac:dyDescent="0.3">
      <c r="A23" s="478" t="s">
        <v>631</v>
      </c>
      <c r="B23" s="468" t="s">
        <v>632</v>
      </c>
      <c r="C23" s="468" t="s">
        <v>629</v>
      </c>
      <c r="D23" s="468" t="s">
        <v>633</v>
      </c>
      <c r="E23" s="468" t="s">
        <v>634</v>
      </c>
      <c r="F23" s="469">
        <v>1</v>
      </c>
      <c r="G23" s="469">
        <v>231</v>
      </c>
      <c r="H23" s="468">
        <v>1</v>
      </c>
      <c r="I23" s="468">
        <v>231</v>
      </c>
      <c r="J23" s="469"/>
      <c r="K23" s="469"/>
      <c r="L23" s="468"/>
      <c r="M23" s="468"/>
      <c r="N23" s="469"/>
      <c r="O23" s="469"/>
      <c r="P23" s="482"/>
      <c r="Q23" s="517"/>
    </row>
    <row r="24" spans="1:17" ht="14.4" customHeight="1" x14ac:dyDescent="0.3">
      <c r="A24" s="478" t="s">
        <v>631</v>
      </c>
      <c r="B24" s="468" t="s">
        <v>632</v>
      </c>
      <c r="C24" s="468" t="s">
        <v>303</v>
      </c>
      <c r="D24" s="468" t="s">
        <v>633</v>
      </c>
      <c r="E24" s="468" t="s">
        <v>634</v>
      </c>
      <c r="F24" s="469">
        <v>193</v>
      </c>
      <c r="G24" s="469">
        <v>44583</v>
      </c>
      <c r="H24" s="468">
        <v>1</v>
      </c>
      <c r="I24" s="468">
        <v>231</v>
      </c>
      <c r="J24" s="469">
        <v>234</v>
      </c>
      <c r="K24" s="469">
        <v>54288</v>
      </c>
      <c r="L24" s="468">
        <v>1.2176838705336115</v>
      </c>
      <c r="M24" s="468">
        <v>232</v>
      </c>
      <c r="N24" s="469">
        <v>86</v>
      </c>
      <c r="O24" s="469">
        <v>20058</v>
      </c>
      <c r="P24" s="482">
        <v>0.4499024291770406</v>
      </c>
      <c r="Q24" s="517">
        <v>233.23255813953489</v>
      </c>
    </row>
    <row r="25" spans="1:17" ht="14.4" customHeight="1" x14ac:dyDescent="0.3">
      <c r="A25" s="478" t="s">
        <v>631</v>
      </c>
      <c r="B25" s="468" t="s">
        <v>632</v>
      </c>
      <c r="C25" s="468" t="s">
        <v>303</v>
      </c>
      <c r="D25" s="468" t="s">
        <v>637</v>
      </c>
      <c r="E25" s="468" t="s">
        <v>638</v>
      </c>
      <c r="F25" s="469">
        <v>98</v>
      </c>
      <c r="G25" s="469">
        <v>0</v>
      </c>
      <c r="H25" s="468"/>
      <c r="I25" s="468">
        <v>0</v>
      </c>
      <c r="J25" s="469">
        <v>79</v>
      </c>
      <c r="K25" s="469">
        <v>0</v>
      </c>
      <c r="L25" s="468"/>
      <c r="M25" s="468">
        <v>0</v>
      </c>
      <c r="N25" s="469">
        <v>76</v>
      </c>
      <c r="O25" s="469">
        <v>0</v>
      </c>
      <c r="P25" s="482"/>
      <c r="Q25" s="517">
        <v>0</v>
      </c>
    </row>
    <row r="26" spans="1:17" ht="14.4" customHeight="1" x14ac:dyDescent="0.3">
      <c r="A26" s="478" t="s">
        <v>631</v>
      </c>
      <c r="B26" s="468" t="s">
        <v>632</v>
      </c>
      <c r="C26" s="468" t="s">
        <v>303</v>
      </c>
      <c r="D26" s="468" t="s">
        <v>641</v>
      </c>
      <c r="E26" s="468" t="s">
        <v>642</v>
      </c>
      <c r="F26" s="469">
        <v>141</v>
      </c>
      <c r="G26" s="469">
        <v>36942</v>
      </c>
      <c r="H26" s="468">
        <v>1</v>
      </c>
      <c r="I26" s="468">
        <v>262</v>
      </c>
      <c r="J26" s="469">
        <v>345</v>
      </c>
      <c r="K26" s="469">
        <v>90390</v>
      </c>
      <c r="L26" s="468">
        <v>2.4468085106382977</v>
      </c>
      <c r="M26" s="468">
        <v>262</v>
      </c>
      <c r="N26" s="469">
        <v>792</v>
      </c>
      <c r="O26" s="469">
        <v>207504</v>
      </c>
      <c r="P26" s="482">
        <v>5.6170212765957448</v>
      </c>
      <c r="Q26" s="517">
        <v>262</v>
      </c>
    </row>
    <row r="27" spans="1:17" ht="14.4" customHeight="1" thickBot="1" x14ac:dyDescent="0.35">
      <c r="A27" s="479" t="s">
        <v>631</v>
      </c>
      <c r="B27" s="471" t="s">
        <v>632</v>
      </c>
      <c r="C27" s="471" t="s">
        <v>303</v>
      </c>
      <c r="D27" s="471" t="s">
        <v>643</v>
      </c>
      <c r="E27" s="471" t="s">
        <v>644</v>
      </c>
      <c r="F27" s="472">
        <v>73</v>
      </c>
      <c r="G27" s="472">
        <v>261778</v>
      </c>
      <c r="H27" s="471">
        <v>1</v>
      </c>
      <c r="I27" s="471">
        <v>3586</v>
      </c>
      <c r="J27" s="472">
        <v>80</v>
      </c>
      <c r="K27" s="472">
        <v>286880</v>
      </c>
      <c r="L27" s="471">
        <v>1.095890410958904</v>
      </c>
      <c r="M27" s="471">
        <v>3586</v>
      </c>
      <c r="N27" s="472">
        <v>108</v>
      </c>
      <c r="O27" s="472">
        <v>387288</v>
      </c>
      <c r="P27" s="484">
        <v>1.4794520547945205</v>
      </c>
      <c r="Q27" s="518">
        <v>3586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0" t="s">
        <v>124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</row>
    <row r="2" spans="1:19" ht="14.4" customHeight="1" thickBot="1" x14ac:dyDescent="0.35">
      <c r="A2" s="231" t="s">
        <v>244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125</v>
      </c>
      <c r="B3" s="222">
        <f>SUBTOTAL(9,B6:B1048576)</f>
        <v>11815</v>
      </c>
      <c r="C3" s="223">
        <f t="shared" ref="C3:R3" si="0">SUBTOTAL(9,C6:C1048576)</f>
        <v>11</v>
      </c>
      <c r="D3" s="223">
        <f t="shared" si="0"/>
        <v>13920</v>
      </c>
      <c r="E3" s="223">
        <f t="shared" si="0"/>
        <v>7.285160954333886</v>
      </c>
      <c r="F3" s="223">
        <f t="shared" si="0"/>
        <v>15178</v>
      </c>
      <c r="G3" s="226">
        <f>IF(B3&lt;&gt;0,F3/B3,"")</f>
        <v>1.2846381718154889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410" t="s">
        <v>104</v>
      </c>
      <c r="B4" s="411" t="s">
        <v>98</v>
      </c>
      <c r="C4" s="412"/>
      <c r="D4" s="412"/>
      <c r="E4" s="412"/>
      <c r="F4" s="412"/>
      <c r="G4" s="413"/>
      <c r="H4" s="411" t="s">
        <v>99</v>
      </c>
      <c r="I4" s="412"/>
      <c r="J4" s="412"/>
      <c r="K4" s="412"/>
      <c r="L4" s="412"/>
      <c r="M4" s="413"/>
      <c r="N4" s="411" t="s">
        <v>100</v>
      </c>
      <c r="O4" s="412"/>
      <c r="P4" s="412"/>
      <c r="Q4" s="412"/>
      <c r="R4" s="412"/>
      <c r="S4" s="413"/>
    </row>
    <row r="5" spans="1:19" ht="14.4" customHeight="1" thickBot="1" x14ac:dyDescent="0.35">
      <c r="A5" s="543"/>
      <c r="B5" s="544">
        <v>2012</v>
      </c>
      <c r="C5" s="545"/>
      <c r="D5" s="545">
        <v>2013</v>
      </c>
      <c r="E5" s="545"/>
      <c r="F5" s="545">
        <v>2014</v>
      </c>
      <c r="G5" s="546" t="s">
        <v>2</v>
      </c>
      <c r="H5" s="544">
        <v>2012</v>
      </c>
      <c r="I5" s="545"/>
      <c r="J5" s="545">
        <v>2013</v>
      </c>
      <c r="K5" s="545"/>
      <c r="L5" s="545">
        <v>2014</v>
      </c>
      <c r="M5" s="546" t="s">
        <v>2</v>
      </c>
      <c r="N5" s="544">
        <v>2012</v>
      </c>
      <c r="O5" s="545"/>
      <c r="P5" s="545">
        <v>2013</v>
      </c>
      <c r="Q5" s="545"/>
      <c r="R5" s="545">
        <v>2014</v>
      </c>
      <c r="S5" s="546" t="s">
        <v>2</v>
      </c>
    </row>
    <row r="6" spans="1:19" ht="14.4" customHeight="1" x14ac:dyDescent="0.3">
      <c r="A6" s="526" t="s">
        <v>648</v>
      </c>
      <c r="B6" s="553">
        <v>462</v>
      </c>
      <c r="C6" s="498">
        <v>1</v>
      </c>
      <c r="D6" s="553">
        <v>696</v>
      </c>
      <c r="E6" s="498">
        <v>1.5064935064935066</v>
      </c>
      <c r="F6" s="553"/>
      <c r="G6" s="503"/>
      <c r="H6" s="553"/>
      <c r="I6" s="498"/>
      <c r="J6" s="553"/>
      <c r="K6" s="498"/>
      <c r="L6" s="553"/>
      <c r="M6" s="503"/>
      <c r="N6" s="553"/>
      <c r="O6" s="498"/>
      <c r="P6" s="553"/>
      <c r="Q6" s="498"/>
      <c r="R6" s="553"/>
      <c r="S6" s="122"/>
    </row>
    <row r="7" spans="1:19" ht="14.4" customHeight="1" x14ac:dyDescent="0.3">
      <c r="A7" s="527" t="s">
        <v>649</v>
      </c>
      <c r="B7" s="555">
        <v>1848</v>
      </c>
      <c r="C7" s="468">
        <v>1</v>
      </c>
      <c r="D7" s="555">
        <v>4176</v>
      </c>
      <c r="E7" s="468">
        <v>2.2597402597402598</v>
      </c>
      <c r="F7" s="555">
        <v>934</v>
      </c>
      <c r="G7" s="482">
        <v>0.50541125541125542</v>
      </c>
      <c r="H7" s="555"/>
      <c r="I7" s="468"/>
      <c r="J7" s="555"/>
      <c r="K7" s="468"/>
      <c r="L7" s="555"/>
      <c r="M7" s="482"/>
      <c r="N7" s="555"/>
      <c r="O7" s="468"/>
      <c r="P7" s="555"/>
      <c r="Q7" s="468"/>
      <c r="R7" s="555"/>
      <c r="S7" s="483"/>
    </row>
    <row r="8" spans="1:19" ht="14.4" customHeight="1" x14ac:dyDescent="0.3">
      <c r="A8" s="527" t="s">
        <v>650</v>
      </c>
      <c r="B8" s="555"/>
      <c r="C8" s="468"/>
      <c r="D8" s="555">
        <v>1392</v>
      </c>
      <c r="E8" s="468"/>
      <c r="F8" s="555">
        <v>698</v>
      </c>
      <c r="G8" s="482"/>
      <c r="H8" s="555"/>
      <c r="I8" s="468"/>
      <c r="J8" s="555"/>
      <c r="K8" s="468"/>
      <c r="L8" s="555"/>
      <c r="M8" s="482"/>
      <c r="N8" s="555"/>
      <c r="O8" s="468"/>
      <c r="P8" s="555"/>
      <c r="Q8" s="468"/>
      <c r="R8" s="555"/>
      <c r="S8" s="483"/>
    </row>
    <row r="9" spans="1:19" ht="14.4" customHeight="1" x14ac:dyDescent="0.3">
      <c r="A9" s="527" t="s">
        <v>651</v>
      </c>
      <c r="B9" s="555">
        <v>4389</v>
      </c>
      <c r="C9" s="468">
        <v>1</v>
      </c>
      <c r="D9" s="555">
        <v>3480</v>
      </c>
      <c r="E9" s="468">
        <v>0.79289131920710865</v>
      </c>
      <c r="F9" s="555">
        <v>5134</v>
      </c>
      <c r="G9" s="482">
        <v>1.1697425381635909</v>
      </c>
      <c r="H9" s="555"/>
      <c r="I9" s="468"/>
      <c r="J9" s="555"/>
      <c r="K9" s="468"/>
      <c r="L9" s="555"/>
      <c r="M9" s="482"/>
      <c r="N9" s="555"/>
      <c r="O9" s="468"/>
      <c r="P9" s="555"/>
      <c r="Q9" s="468"/>
      <c r="R9" s="555"/>
      <c r="S9" s="483"/>
    </row>
    <row r="10" spans="1:19" ht="14.4" customHeight="1" x14ac:dyDescent="0.3">
      <c r="A10" s="527" t="s">
        <v>652</v>
      </c>
      <c r="B10" s="555">
        <v>231</v>
      </c>
      <c r="C10" s="468">
        <v>1</v>
      </c>
      <c r="D10" s="555"/>
      <c r="E10" s="468"/>
      <c r="F10" s="555"/>
      <c r="G10" s="482"/>
      <c r="H10" s="555"/>
      <c r="I10" s="468"/>
      <c r="J10" s="555"/>
      <c r="K10" s="468"/>
      <c r="L10" s="555"/>
      <c r="M10" s="482"/>
      <c r="N10" s="555"/>
      <c r="O10" s="468"/>
      <c r="P10" s="555"/>
      <c r="Q10" s="468"/>
      <c r="R10" s="555"/>
      <c r="S10" s="483"/>
    </row>
    <row r="11" spans="1:19" ht="14.4" customHeight="1" x14ac:dyDescent="0.3">
      <c r="A11" s="527" t="s">
        <v>653</v>
      </c>
      <c r="B11" s="555"/>
      <c r="C11" s="468"/>
      <c r="D11" s="555">
        <v>232</v>
      </c>
      <c r="E11" s="468"/>
      <c r="F11" s="555">
        <v>232</v>
      </c>
      <c r="G11" s="482"/>
      <c r="H11" s="555"/>
      <c r="I11" s="468"/>
      <c r="J11" s="555"/>
      <c r="K11" s="468"/>
      <c r="L11" s="555"/>
      <c r="M11" s="482"/>
      <c r="N11" s="555"/>
      <c r="O11" s="468"/>
      <c r="P11" s="555"/>
      <c r="Q11" s="468"/>
      <c r="R11" s="555"/>
      <c r="S11" s="483"/>
    </row>
    <row r="12" spans="1:19" ht="14.4" customHeight="1" x14ac:dyDescent="0.3">
      <c r="A12" s="527" t="s">
        <v>654</v>
      </c>
      <c r="B12" s="555"/>
      <c r="C12" s="468"/>
      <c r="D12" s="555"/>
      <c r="E12" s="468"/>
      <c r="F12" s="555">
        <v>234</v>
      </c>
      <c r="G12" s="482"/>
      <c r="H12" s="555"/>
      <c r="I12" s="468"/>
      <c r="J12" s="555"/>
      <c r="K12" s="468"/>
      <c r="L12" s="555"/>
      <c r="M12" s="482"/>
      <c r="N12" s="555"/>
      <c r="O12" s="468"/>
      <c r="P12" s="555"/>
      <c r="Q12" s="468"/>
      <c r="R12" s="555"/>
      <c r="S12" s="483"/>
    </row>
    <row r="13" spans="1:19" ht="14.4" customHeight="1" x14ac:dyDescent="0.3">
      <c r="A13" s="527" t="s">
        <v>655</v>
      </c>
      <c r="B13" s="555"/>
      <c r="C13" s="468"/>
      <c r="D13" s="555">
        <v>232</v>
      </c>
      <c r="E13" s="468"/>
      <c r="F13" s="555"/>
      <c r="G13" s="482"/>
      <c r="H13" s="555"/>
      <c r="I13" s="468"/>
      <c r="J13" s="555"/>
      <c r="K13" s="468"/>
      <c r="L13" s="555"/>
      <c r="M13" s="482"/>
      <c r="N13" s="555"/>
      <c r="O13" s="468"/>
      <c r="P13" s="555"/>
      <c r="Q13" s="468"/>
      <c r="R13" s="555"/>
      <c r="S13" s="483"/>
    </row>
    <row r="14" spans="1:19" ht="14.4" customHeight="1" x14ac:dyDescent="0.3">
      <c r="A14" s="527" t="s">
        <v>656</v>
      </c>
      <c r="B14" s="555">
        <v>231</v>
      </c>
      <c r="C14" s="468">
        <v>1</v>
      </c>
      <c r="D14" s="555"/>
      <c r="E14" s="468"/>
      <c r="F14" s="555">
        <v>1404</v>
      </c>
      <c r="G14" s="482">
        <v>6.0779220779220777</v>
      </c>
      <c r="H14" s="555"/>
      <c r="I14" s="468"/>
      <c r="J14" s="555"/>
      <c r="K14" s="468"/>
      <c r="L14" s="555"/>
      <c r="M14" s="482"/>
      <c r="N14" s="555"/>
      <c r="O14" s="468"/>
      <c r="P14" s="555"/>
      <c r="Q14" s="468"/>
      <c r="R14" s="555"/>
      <c r="S14" s="483"/>
    </row>
    <row r="15" spans="1:19" ht="14.4" customHeight="1" x14ac:dyDescent="0.3">
      <c r="A15" s="527" t="s">
        <v>657</v>
      </c>
      <c r="B15" s="555">
        <v>462</v>
      </c>
      <c r="C15" s="468">
        <v>1</v>
      </c>
      <c r="D15" s="555">
        <v>464</v>
      </c>
      <c r="E15" s="468">
        <v>1.0043290043290043</v>
      </c>
      <c r="F15" s="555">
        <v>468</v>
      </c>
      <c r="G15" s="482">
        <v>1.0129870129870129</v>
      </c>
      <c r="H15" s="555"/>
      <c r="I15" s="468"/>
      <c r="J15" s="555"/>
      <c r="K15" s="468"/>
      <c r="L15" s="555"/>
      <c r="M15" s="482"/>
      <c r="N15" s="555"/>
      <c r="O15" s="468"/>
      <c r="P15" s="555"/>
      <c r="Q15" s="468"/>
      <c r="R15" s="555"/>
      <c r="S15" s="483"/>
    </row>
    <row r="16" spans="1:19" ht="14.4" customHeight="1" x14ac:dyDescent="0.3">
      <c r="A16" s="527" t="s">
        <v>658</v>
      </c>
      <c r="B16" s="555">
        <v>462</v>
      </c>
      <c r="C16" s="468">
        <v>1</v>
      </c>
      <c r="D16" s="555"/>
      <c r="E16" s="468"/>
      <c r="F16" s="555">
        <v>234</v>
      </c>
      <c r="G16" s="482">
        <v>0.50649350649350644</v>
      </c>
      <c r="H16" s="555"/>
      <c r="I16" s="468"/>
      <c r="J16" s="555"/>
      <c r="K16" s="468"/>
      <c r="L16" s="555"/>
      <c r="M16" s="482"/>
      <c r="N16" s="555"/>
      <c r="O16" s="468"/>
      <c r="P16" s="555"/>
      <c r="Q16" s="468"/>
      <c r="R16" s="555"/>
      <c r="S16" s="483"/>
    </row>
    <row r="17" spans="1:19" ht="14.4" customHeight="1" x14ac:dyDescent="0.3">
      <c r="A17" s="527" t="s">
        <v>659</v>
      </c>
      <c r="B17" s="555"/>
      <c r="C17" s="468"/>
      <c r="D17" s="555"/>
      <c r="E17" s="468"/>
      <c r="F17" s="555">
        <v>234</v>
      </c>
      <c r="G17" s="482"/>
      <c r="H17" s="555"/>
      <c r="I17" s="468"/>
      <c r="J17" s="555"/>
      <c r="K17" s="468"/>
      <c r="L17" s="555"/>
      <c r="M17" s="482"/>
      <c r="N17" s="555"/>
      <c r="O17" s="468"/>
      <c r="P17" s="555"/>
      <c r="Q17" s="468"/>
      <c r="R17" s="555"/>
      <c r="S17" s="483"/>
    </row>
    <row r="18" spans="1:19" ht="14.4" customHeight="1" x14ac:dyDescent="0.3">
      <c r="A18" s="527" t="s">
        <v>660</v>
      </c>
      <c r="B18" s="555">
        <v>1420</v>
      </c>
      <c r="C18" s="468">
        <v>1</v>
      </c>
      <c r="D18" s="555"/>
      <c r="E18" s="468"/>
      <c r="F18" s="555">
        <v>468</v>
      </c>
      <c r="G18" s="482">
        <v>0.3295774647887324</v>
      </c>
      <c r="H18" s="555"/>
      <c r="I18" s="468"/>
      <c r="J18" s="555"/>
      <c r="K18" s="468"/>
      <c r="L18" s="555"/>
      <c r="M18" s="482"/>
      <c r="N18" s="555"/>
      <c r="O18" s="468"/>
      <c r="P18" s="555"/>
      <c r="Q18" s="468"/>
      <c r="R18" s="555"/>
      <c r="S18" s="483"/>
    </row>
    <row r="19" spans="1:19" ht="14.4" customHeight="1" x14ac:dyDescent="0.3">
      <c r="A19" s="527" t="s">
        <v>661</v>
      </c>
      <c r="B19" s="555"/>
      <c r="C19" s="468"/>
      <c r="D19" s="555">
        <v>1392</v>
      </c>
      <c r="E19" s="468"/>
      <c r="F19" s="555">
        <v>4202</v>
      </c>
      <c r="G19" s="482"/>
      <c r="H19" s="555"/>
      <c r="I19" s="468"/>
      <c r="J19" s="555"/>
      <c r="K19" s="468"/>
      <c r="L19" s="555"/>
      <c r="M19" s="482"/>
      <c r="N19" s="555"/>
      <c r="O19" s="468"/>
      <c r="P19" s="555"/>
      <c r="Q19" s="468"/>
      <c r="R19" s="555"/>
      <c r="S19" s="483"/>
    </row>
    <row r="20" spans="1:19" ht="14.4" customHeight="1" x14ac:dyDescent="0.3">
      <c r="A20" s="527" t="s">
        <v>662</v>
      </c>
      <c r="B20" s="555"/>
      <c r="C20" s="468"/>
      <c r="D20" s="555">
        <v>232</v>
      </c>
      <c r="E20" s="468"/>
      <c r="F20" s="555">
        <v>468</v>
      </c>
      <c r="G20" s="482"/>
      <c r="H20" s="555"/>
      <c r="I20" s="468"/>
      <c r="J20" s="555"/>
      <c r="K20" s="468"/>
      <c r="L20" s="555"/>
      <c r="M20" s="482"/>
      <c r="N20" s="555"/>
      <c r="O20" s="468"/>
      <c r="P20" s="555"/>
      <c r="Q20" s="468"/>
      <c r="R20" s="555"/>
      <c r="S20" s="483"/>
    </row>
    <row r="21" spans="1:19" ht="14.4" customHeight="1" x14ac:dyDescent="0.3">
      <c r="A21" s="527" t="s">
        <v>663</v>
      </c>
      <c r="B21" s="555">
        <v>1617</v>
      </c>
      <c r="C21" s="468">
        <v>1</v>
      </c>
      <c r="D21" s="555">
        <v>1160</v>
      </c>
      <c r="E21" s="468">
        <v>0.71737786023500305</v>
      </c>
      <c r="F21" s="555"/>
      <c r="G21" s="482"/>
      <c r="H21" s="555"/>
      <c r="I21" s="468"/>
      <c r="J21" s="555"/>
      <c r="K21" s="468"/>
      <c r="L21" s="555"/>
      <c r="M21" s="482"/>
      <c r="N21" s="555"/>
      <c r="O21" s="468"/>
      <c r="P21" s="555"/>
      <c r="Q21" s="468"/>
      <c r="R21" s="555"/>
      <c r="S21" s="483"/>
    </row>
    <row r="22" spans="1:19" ht="14.4" customHeight="1" x14ac:dyDescent="0.3">
      <c r="A22" s="527" t="s">
        <v>664</v>
      </c>
      <c r="B22" s="555">
        <v>462</v>
      </c>
      <c r="C22" s="468">
        <v>1</v>
      </c>
      <c r="D22" s="555"/>
      <c r="E22" s="468"/>
      <c r="F22" s="555">
        <v>468</v>
      </c>
      <c r="G22" s="482">
        <v>1.0129870129870129</v>
      </c>
      <c r="H22" s="555"/>
      <c r="I22" s="468"/>
      <c r="J22" s="555"/>
      <c r="K22" s="468"/>
      <c r="L22" s="555"/>
      <c r="M22" s="482"/>
      <c r="N22" s="555"/>
      <c r="O22" s="468"/>
      <c r="P22" s="555"/>
      <c r="Q22" s="468"/>
      <c r="R22" s="555"/>
      <c r="S22" s="483"/>
    </row>
    <row r="23" spans="1:19" ht="14.4" customHeight="1" x14ac:dyDescent="0.3">
      <c r="A23" s="527" t="s">
        <v>665</v>
      </c>
      <c r="B23" s="555">
        <v>231</v>
      </c>
      <c r="C23" s="468">
        <v>1</v>
      </c>
      <c r="D23" s="555">
        <v>232</v>
      </c>
      <c r="E23" s="468">
        <v>1.0043290043290043</v>
      </c>
      <c r="F23" s="555"/>
      <c r="G23" s="482"/>
      <c r="H23" s="555"/>
      <c r="I23" s="468"/>
      <c r="J23" s="555"/>
      <c r="K23" s="468"/>
      <c r="L23" s="555"/>
      <c r="M23" s="482"/>
      <c r="N23" s="555"/>
      <c r="O23" s="468"/>
      <c r="P23" s="555"/>
      <c r="Q23" s="468"/>
      <c r="R23" s="555"/>
      <c r="S23" s="483"/>
    </row>
    <row r="24" spans="1:19" ht="14.4" customHeight="1" thickBot="1" x14ac:dyDescent="0.35">
      <c r="A24" s="559" t="s">
        <v>666</v>
      </c>
      <c r="B24" s="557"/>
      <c r="C24" s="471"/>
      <c r="D24" s="557">
        <v>232</v>
      </c>
      <c r="E24" s="471"/>
      <c r="F24" s="557"/>
      <c r="G24" s="484"/>
      <c r="H24" s="557"/>
      <c r="I24" s="471"/>
      <c r="J24" s="557"/>
      <c r="K24" s="471"/>
      <c r="L24" s="557"/>
      <c r="M24" s="484"/>
      <c r="N24" s="557"/>
      <c r="O24" s="471"/>
      <c r="P24" s="557"/>
      <c r="Q24" s="471"/>
      <c r="R24" s="557"/>
      <c r="S24" s="48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1" t="s">
        <v>686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</row>
    <row r="2" spans="1:17" ht="14.4" customHeight="1" thickBot="1" x14ac:dyDescent="0.35">
      <c r="A2" s="231" t="s">
        <v>244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125</v>
      </c>
      <c r="F3" s="102">
        <f t="shared" ref="F3:O3" si="0">SUBTOTAL(9,F6:F1048576)</f>
        <v>53</v>
      </c>
      <c r="G3" s="103">
        <f t="shared" si="0"/>
        <v>11815</v>
      </c>
      <c r="H3" s="103"/>
      <c r="I3" s="103"/>
      <c r="J3" s="103">
        <f t="shared" si="0"/>
        <v>60</v>
      </c>
      <c r="K3" s="103">
        <f t="shared" si="0"/>
        <v>13920</v>
      </c>
      <c r="L3" s="103"/>
      <c r="M3" s="103"/>
      <c r="N3" s="103">
        <f t="shared" si="0"/>
        <v>65</v>
      </c>
      <c r="O3" s="103">
        <f t="shared" si="0"/>
        <v>15178</v>
      </c>
      <c r="P3" s="75">
        <f>IF(G3=0,0,O3/G3)</f>
        <v>1.2846381718154889</v>
      </c>
      <c r="Q3" s="104">
        <f>IF(N3=0,0,O3/N3)</f>
        <v>233.50769230769231</v>
      </c>
    </row>
    <row r="4" spans="1:17" ht="14.4" customHeight="1" x14ac:dyDescent="0.3">
      <c r="A4" s="419" t="s">
        <v>67</v>
      </c>
      <c r="B4" s="418" t="s">
        <v>93</v>
      </c>
      <c r="C4" s="419" t="s">
        <v>94</v>
      </c>
      <c r="D4" s="420" t="s">
        <v>95</v>
      </c>
      <c r="E4" s="421" t="s">
        <v>68</v>
      </c>
      <c r="F4" s="426">
        <v>2012</v>
      </c>
      <c r="G4" s="427"/>
      <c r="H4" s="105"/>
      <c r="I4" s="105"/>
      <c r="J4" s="426">
        <v>2013</v>
      </c>
      <c r="K4" s="427"/>
      <c r="L4" s="105"/>
      <c r="M4" s="105"/>
      <c r="N4" s="426">
        <v>2014</v>
      </c>
      <c r="O4" s="427"/>
      <c r="P4" s="428" t="s">
        <v>2</v>
      </c>
      <c r="Q4" s="417" t="s">
        <v>96</v>
      </c>
    </row>
    <row r="5" spans="1:17" ht="14.4" customHeight="1" thickBot="1" x14ac:dyDescent="0.35">
      <c r="A5" s="561"/>
      <c r="B5" s="560"/>
      <c r="C5" s="561"/>
      <c r="D5" s="562"/>
      <c r="E5" s="564"/>
      <c r="F5" s="570" t="s">
        <v>70</v>
      </c>
      <c r="G5" s="571" t="s">
        <v>13</v>
      </c>
      <c r="H5" s="572"/>
      <c r="I5" s="572"/>
      <c r="J5" s="570" t="s">
        <v>70</v>
      </c>
      <c r="K5" s="571" t="s">
        <v>13</v>
      </c>
      <c r="L5" s="572"/>
      <c r="M5" s="572"/>
      <c r="N5" s="570" t="s">
        <v>70</v>
      </c>
      <c r="O5" s="571" t="s">
        <v>13</v>
      </c>
      <c r="P5" s="573"/>
      <c r="Q5" s="569"/>
    </row>
    <row r="6" spans="1:17" ht="14.4" customHeight="1" x14ac:dyDescent="0.3">
      <c r="A6" s="497" t="s">
        <v>667</v>
      </c>
      <c r="B6" s="498" t="s">
        <v>631</v>
      </c>
      <c r="C6" s="498" t="s">
        <v>632</v>
      </c>
      <c r="D6" s="498" t="s">
        <v>633</v>
      </c>
      <c r="E6" s="498" t="s">
        <v>634</v>
      </c>
      <c r="F6" s="116">
        <v>2</v>
      </c>
      <c r="G6" s="116">
        <v>462</v>
      </c>
      <c r="H6" s="116">
        <v>1</v>
      </c>
      <c r="I6" s="116">
        <v>231</v>
      </c>
      <c r="J6" s="116">
        <v>3</v>
      </c>
      <c r="K6" s="116">
        <v>696</v>
      </c>
      <c r="L6" s="116">
        <v>1.5064935064935066</v>
      </c>
      <c r="M6" s="116">
        <v>232</v>
      </c>
      <c r="N6" s="116"/>
      <c r="O6" s="116"/>
      <c r="P6" s="503"/>
      <c r="Q6" s="516"/>
    </row>
    <row r="7" spans="1:17" ht="14.4" customHeight="1" x14ac:dyDescent="0.3">
      <c r="A7" s="478" t="s">
        <v>668</v>
      </c>
      <c r="B7" s="468" t="s">
        <v>631</v>
      </c>
      <c r="C7" s="468" t="s">
        <v>632</v>
      </c>
      <c r="D7" s="468" t="s">
        <v>633</v>
      </c>
      <c r="E7" s="468" t="s">
        <v>634</v>
      </c>
      <c r="F7" s="469">
        <v>8</v>
      </c>
      <c r="G7" s="469">
        <v>1848</v>
      </c>
      <c r="H7" s="469">
        <v>1</v>
      </c>
      <c r="I7" s="469">
        <v>231</v>
      </c>
      <c r="J7" s="469">
        <v>18</v>
      </c>
      <c r="K7" s="469">
        <v>4176</v>
      </c>
      <c r="L7" s="469">
        <v>2.2597402597402598</v>
      </c>
      <c r="M7" s="469">
        <v>232</v>
      </c>
      <c r="N7" s="469">
        <v>4</v>
      </c>
      <c r="O7" s="469">
        <v>934</v>
      </c>
      <c r="P7" s="482">
        <v>0.50541125541125542</v>
      </c>
      <c r="Q7" s="517">
        <v>233.5</v>
      </c>
    </row>
    <row r="8" spans="1:17" ht="14.4" customHeight="1" x14ac:dyDescent="0.3">
      <c r="A8" s="478" t="s">
        <v>668</v>
      </c>
      <c r="B8" s="468" t="s">
        <v>631</v>
      </c>
      <c r="C8" s="468" t="s">
        <v>632</v>
      </c>
      <c r="D8" s="468" t="s">
        <v>637</v>
      </c>
      <c r="E8" s="468" t="s">
        <v>638</v>
      </c>
      <c r="F8" s="469">
        <v>1</v>
      </c>
      <c r="G8" s="469">
        <v>0</v>
      </c>
      <c r="H8" s="469"/>
      <c r="I8" s="469">
        <v>0</v>
      </c>
      <c r="J8" s="469"/>
      <c r="K8" s="469"/>
      <c r="L8" s="469"/>
      <c r="M8" s="469"/>
      <c r="N8" s="469"/>
      <c r="O8" s="469"/>
      <c r="P8" s="482"/>
      <c r="Q8" s="517"/>
    </row>
    <row r="9" spans="1:17" ht="14.4" customHeight="1" x14ac:dyDescent="0.3">
      <c r="A9" s="478" t="s">
        <v>669</v>
      </c>
      <c r="B9" s="468" t="s">
        <v>631</v>
      </c>
      <c r="C9" s="468" t="s">
        <v>632</v>
      </c>
      <c r="D9" s="468" t="s">
        <v>633</v>
      </c>
      <c r="E9" s="468" t="s">
        <v>634</v>
      </c>
      <c r="F9" s="469"/>
      <c r="G9" s="469"/>
      <c r="H9" s="469"/>
      <c r="I9" s="469"/>
      <c r="J9" s="469">
        <v>6</v>
      </c>
      <c r="K9" s="469">
        <v>1392</v>
      </c>
      <c r="L9" s="469"/>
      <c r="M9" s="469">
        <v>232</v>
      </c>
      <c r="N9" s="469">
        <v>3</v>
      </c>
      <c r="O9" s="469">
        <v>698</v>
      </c>
      <c r="P9" s="482"/>
      <c r="Q9" s="517">
        <v>232.66666666666666</v>
      </c>
    </row>
    <row r="10" spans="1:17" ht="14.4" customHeight="1" x14ac:dyDescent="0.3">
      <c r="A10" s="478" t="s">
        <v>670</v>
      </c>
      <c r="B10" s="468" t="s">
        <v>631</v>
      </c>
      <c r="C10" s="468" t="s">
        <v>632</v>
      </c>
      <c r="D10" s="468" t="s">
        <v>633</v>
      </c>
      <c r="E10" s="468" t="s">
        <v>634</v>
      </c>
      <c r="F10" s="469">
        <v>19</v>
      </c>
      <c r="G10" s="469">
        <v>4389</v>
      </c>
      <c r="H10" s="469">
        <v>1</v>
      </c>
      <c r="I10" s="469">
        <v>231</v>
      </c>
      <c r="J10" s="469">
        <v>15</v>
      </c>
      <c r="K10" s="469">
        <v>3480</v>
      </c>
      <c r="L10" s="469">
        <v>0.79289131920710865</v>
      </c>
      <c r="M10" s="469">
        <v>232</v>
      </c>
      <c r="N10" s="469">
        <v>22</v>
      </c>
      <c r="O10" s="469">
        <v>5134</v>
      </c>
      <c r="P10" s="482">
        <v>1.1697425381635909</v>
      </c>
      <c r="Q10" s="517">
        <v>233.36363636363637</v>
      </c>
    </row>
    <row r="11" spans="1:17" ht="14.4" customHeight="1" x14ac:dyDescent="0.3">
      <c r="A11" s="478" t="s">
        <v>671</v>
      </c>
      <c r="B11" s="468" t="s">
        <v>631</v>
      </c>
      <c r="C11" s="468" t="s">
        <v>632</v>
      </c>
      <c r="D11" s="468" t="s">
        <v>633</v>
      </c>
      <c r="E11" s="468" t="s">
        <v>634</v>
      </c>
      <c r="F11" s="469">
        <v>1</v>
      </c>
      <c r="G11" s="469">
        <v>231</v>
      </c>
      <c r="H11" s="469">
        <v>1</v>
      </c>
      <c r="I11" s="469">
        <v>231</v>
      </c>
      <c r="J11" s="469"/>
      <c r="K11" s="469"/>
      <c r="L11" s="469"/>
      <c r="M11" s="469"/>
      <c r="N11" s="469"/>
      <c r="O11" s="469"/>
      <c r="P11" s="482"/>
      <c r="Q11" s="517"/>
    </row>
    <row r="12" spans="1:17" ht="14.4" customHeight="1" x14ac:dyDescent="0.3">
      <c r="A12" s="478" t="s">
        <v>672</v>
      </c>
      <c r="B12" s="468" t="s">
        <v>631</v>
      </c>
      <c r="C12" s="468" t="s">
        <v>632</v>
      </c>
      <c r="D12" s="468" t="s">
        <v>633</v>
      </c>
      <c r="E12" s="468" t="s">
        <v>634</v>
      </c>
      <c r="F12" s="469"/>
      <c r="G12" s="469"/>
      <c r="H12" s="469"/>
      <c r="I12" s="469"/>
      <c r="J12" s="469">
        <v>1</v>
      </c>
      <c r="K12" s="469">
        <v>232</v>
      </c>
      <c r="L12" s="469"/>
      <c r="M12" s="469">
        <v>232</v>
      </c>
      <c r="N12" s="469">
        <v>1</v>
      </c>
      <c r="O12" s="469">
        <v>232</v>
      </c>
      <c r="P12" s="482"/>
      <c r="Q12" s="517">
        <v>232</v>
      </c>
    </row>
    <row r="13" spans="1:17" ht="14.4" customHeight="1" x14ac:dyDescent="0.3">
      <c r="A13" s="478" t="s">
        <v>673</v>
      </c>
      <c r="B13" s="468" t="s">
        <v>631</v>
      </c>
      <c r="C13" s="468" t="s">
        <v>632</v>
      </c>
      <c r="D13" s="468" t="s">
        <v>633</v>
      </c>
      <c r="E13" s="468" t="s">
        <v>634</v>
      </c>
      <c r="F13" s="469"/>
      <c r="G13" s="469"/>
      <c r="H13" s="469"/>
      <c r="I13" s="469"/>
      <c r="J13" s="469"/>
      <c r="K13" s="469"/>
      <c r="L13" s="469"/>
      <c r="M13" s="469"/>
      <c r="N13" s="469">
        <v>1</v>
      </c>
      <c r="O13" s="469">
        <v>234</v>
      </c>
      <c r="P13" s="482"/>
      <c r="Q13" s="517">
        <v>234</v>
      </c>
    </row>
    <row r="14" spans="1:17" ht="14.4" customHeight="1" x14ac:dyDescent="0.3">
      <c r="A14" s="478" t="s">
        <v>674</v>
      </c>
      <c r="B14" s="468" t="s">
        <v>631</v>
      </c>
      <c r="C14" s="468" t="s">
        <v>632</v>
      </c>
      <c r="D14" s="468" t="s">
        <v>633</v>
      </c>
      <c r="E14" s="468" t="s">
        <v>634</v>
      </c>
      <c r="F14" s="469"/>
      <c r="G14" s="469"/>
      <c r="H14" s="469"/>
      <c r="I14" s="469"/>
      <c r="J14" s="469">
        <v>1</v>
      </c>
      <c r="K14" s="469">
        <v>232</v>
      </c>
      <c r="L14" s="469"/>
      <c r="M14" s="469">
        <v>232</v>
      </c>
      <c r="N14" s="469"/>
      <c r="O14" s="469"/>
      <c r="P14" s="482"/>
      <c r="Q14" s="517"/>
    </row>
    <row r="15" spans="1:17" ht="14.4" customHeight="1" x14ac:dyDescent="0.3">
      <c r="A15" s="478" t="s">
        <v>675</v>
      </c>
      <c r="B15" s="468" t="s">
        <v>631</v>
      </c>
      <c r="C15" s="468" t="s">
        <v>632</v>
      </c>
      <c r="D15" s="468" t="s">
        <v>633</v>
      </c>
      <c r="E15" s="468" t="s">
        <v>634</v>
      </c>
      <c r="F15" s="469">
        <v>1</v>
      </c>
      <c r="G15" s="469">
        <v>231</v>
      </c>
      <c r="H15" s="469">
        <v>1</v>
      </c>
      <c r="I15" s="469">
        <v>231</v>
      </c>
      <c r="J15" s="469"/>
      <c r="K15" s="469"/>
      <c r="L15" s="469"/>
      <c r="M15" s="469"/>
      <c r="N15" s="469">
        <v>6</v>
      </c>
      <c r="O15" s="469">
        <v>1404</v>
      </c>
      <c r="P15" s="482">
        <v>6.0779220779220777</v>
      </c>
      <c r="Q15" s="517">
        <v>234</v>
      </c>
    </row>
    <row r="16" spans="1:17" ht="14.4" customHeight="1" x14ac:dyDescent="0.3">
      <c r="A16" s="478" t="s">
        <v>676</v>
      </c>
      <c r="B16" s="468" t="s">
        <v>631</v>
      </c>
      <c r="C16" s="468" t="s">
        <v>632</v>
      </c>
      <c r="D16" s="468" t="s">
        <v>633</v>
      </c>
      <c r="E16" s="468" t="s">
        <v>634</v>
      </c>
      <c r="F16" s="469">
        <v>2</v>
      </c>
      <c r="G16" s="469">
        <v>462</v>
      </c>
      <c r="H16" s="469">
        <v>1</v>
      </c>
      <c r="I16" s="469">
        <v>231</v>
      </c>
      <c r="J16" s="469">
        <v>2</v>
      </c>
      <c r="K16" s="469">
        <v>464</v>
      </c>
      <c r="L16" s="469">
        <v>1.0043290043290043</v>
      </c>
      <c r="M16" s="469">
        <v>232</v>
      </c>
      <c r="N16" s="469">
        <v>2</v>
      </c>
      <c r="O16" s="469">
        <v>468</v>
      </c>
      <c r="P16" s="482">
        <v>1.0129870129870129</v>
      </c>
      <c r="Q16" s="517">
        <v>234</v>
      </c>
    </row>
    <row r="17" spans="1:17" ht="14.4" customHeight="1" x14ac:dyDescent="0.3">
      <c r="A17" s="478" t="s">
        <v>677</v>
      </c>
      <c r="B17" s="468" t="s">
        <v>631</v>
      </c>
      <c r="C17" s="468" t="s">
        <v>632</v>
      </c>
      <c r="D17" s="468" t="s">
        <v>633</v>
      </c>
      <c r="E17" s="468" t="s">
        <v>634</v>
      </c>
      <c r="F17" s="469">
        <v>2</v>
      </c>
      <c r="G17" s="469">
        <v>462</v>
      </c>
      <c r="H17" s="469">
        <v>1</v>
      </c>
      <c r="I17" s="469">
        <v>231</v>
      </c>
      <c r="J17" s="469"/>
      <c r="K17" s="469"/>
      <c r="L17" s="469"/>
      <c r="M17" s="469"/>
      <c r="N17" s="469">
        <v>1</v>
      </c>
      <c r="O17" s="469">
        <v>234</v>
      </c>
      <c r="P17" s="482">
        <v>0.50649350649350644</v>
      </c>
      <c r="Q17" s="517">
        <v>234</v>
      </c>
    </row>
    <row r="18" spans="1:17" ht="14.4" customHeight="1" x14ac:dyDescent="0.3">
      <c r="A18" s="478" t="s">
        <v>678</v>
      </c>
      <c r="B18" s="468" t="s">
        <v>631</v>
      </c>
      <c r="C18" s="468" t="s">
        <v>632</v>
      </c>
      <c r="D18" s="468" t="s">
        <v>633</v>
      </c>
      <c r="E18" s="468" t="s">
        <v>634</v>
      </c>
      <c r="F18" s="469"/>
      <c r="G18" s="469"/>
      <c r="H18" s="469"/>
      <c r="I18" s="469"/>
      <c r="J18" s="469"/>
      <c r="K18" s="469"/>
      <c r="L18" s="469"/>
      <c r="M18" s="469"/>
      <c r="N18" s="469">
        <v>1</v>
      </c>
      <c r="O18" s="469">
        <v>234</v>
      </c>
      <c r="P18" s="482"/>
      <c r="Q18" s="517">
        <v>234</v>
      </c>
    </row>
    <row r="19" spans="1:17" ht="14.4" customHeight="1" x14ac:dyDescent="0.3">
      <c r="A19" s="478" t="s">
        <v>679</v>
      </c>
      <c r="B19" s="468" t="s">
        <v>631</v>
      </c>
      <c r="C19" s="468" t="s">
        <v>632</v>
      </c>
      <c r="D19" s="468" t="s">
        <v>645</v>
      </c>
      <c r="E19" s="468" t="s">
        <v>646</v>
      </c>
      <c r="F19" s="469">
        <v>1</v>
      </c>
      <c r="G19" s="469">
        <v>34</v>
      </c>
      <c r="H19" s="469">
        <v>1</v>
      </c>
      <c r="I19" s="469">
        <v>34</v>
      </c>
      <c r="J19" s="469"/>
      <c r="K19" s="469"/>
      <c r="L19" s="469"/>
      <c r="M19" s="469"/>
      <c r="N19" s="469"/>
      <c r="O19" s="469"/>
      <c r="P19" s="482"/>
      <c r="Q19" s="517"/>
    </row>
    <row r="20" spans="1:17" ht="14.4" customHeight="1" x14ac:dyDescent="0.3">
      <c r="A20" s="478" t="s">
        <v>679</v>
      </c>
      <c r="B20" s="468" t="s">
        <v>631</v>
      </c>
      <c r="C20" s="468" t="s">
        <v>632</v>
      </c>
      <c r="D20" s="468" t="s">
        <v>633</v>
      </c>
      <c r="E20" s="468" t="s">
        <v>634</v>
      </c>
      <c r="F20" s="469">
        <v>6</v>
      </c>
      <c r="G20" s="469">
        <v>1386</v>
      </c>
      <c r="H20" s="469">
        <v>1</v>
      </c>
      <c r="I20" s="469">
        <v>231</v>
      </c>
      <c r="J20" s="469"/>
      <c r="K20" s="469"/>
      <c r="L20" s="469"/>
      <c r="M20" s="469"/>
      <c r="N20" s="469">
        <v>2</v>
      </c>
      <c r="O20" s="469">
        <v>468</v>
      </c>
      <c r="P20" s="482">
        <v>0.33766233766233766</v>
      </c>
      <c r="Q20" s="517">
        <v>234</v>
      </c>
    </row>
    <row r="21" spans="1:17" ht="14.4" customHeight="1" x14ac:dyDescent="0.3">
      <c r="A21" s="478" t="s">
        <v>680</v>
      </c>
      <c r="B21" s="468" t="s">
        <v>631</v>
      </c>
      <c r="C21" s="468" t="s">
        <v>632</v>
      </c>
      <c r="D21" s="468" t="s">
        <v>633</v>
      </c>
      <c r="E21" s="468" t="s">
        <v>634</v>
      </c>
      <c r="F21" s="469"/>
      <c r="G21" s="469"/>
      <c r="H21" s="469"/>
      <c r="I21" s="469"/>
      <c r="J21" s="469">
        <v>6</v>
      </c>
      <c r="K21" s="469">
        <v>1392</v>
      </c>
      <c r="L21" s="469"/>
      <c r="M21" s="469">
        <v>232</v>
      </c>
      <c r="N21" s="469">
        <v>18</v>
      </c>
      <c r="O21" s="469">
        <v>4202</v>
      </c>
      <c r="P21" s="482"/>
      <c r="Q21" s="517">
        <v>233.44444444444446</v>
      </c>
    </row>
    <row r="22" spans="1:17" ht="14.4" customHeight="1" x14ac:dyDescent="0.3">
      <c r="A22" s="478" t="s">
        <v>681</v>
      </c>
      <c r="B22" s="468" t="s">
        <v>631</v>
      </c>
      <c r="C22" s="468" t="s">
        <v>632</v>
      </c>
      <c r="D22" s="468" t="s">
        <v>633</v>
      </c>
      <c r="E22" s="468" t="s">
        <v>634</v>
      </c>
      <c r="F22" s="469"/>
      <c r="G22" s="469"/>
      <c r="H22" s="469"/>
      <c r="I22" s="469"/>
      <c r="J22" s="469">
        <v>1</v>
      </c>
      <c r="K22" s="469">
        <v>232</v>
      </c>
      <c r="L22" s="469"/>
      <c r="M22" s="469">
        <v>232</v>
      </c>
      <c r="N22" s="469">
        <v>2</v>
      </c>
      <c r="O22" s="469">
        <v>468</v>
      </c>
      <c r="P22" s="482"/>
      <c r="Q22" s="517">
        <v>234</v>
      </c>
    </row>
    <row r="23" spans="1:17" ht="14.4" customHeight="1" x14ac:dyDescent="0.3">
      <c r="A23" s="478" t="s">
        <v>682</v>
      </c>
      <c r="B23" s="468" t="s">
        <v>631</v>
      </c>
      <c r="C23" s="468" t="s">
        <v>632</v>
      </c>
      <c r="D23" s="468" t="s">
        <v>633</v>
      </c>
      <c r="E23" s="468" t="s">
        <v>634</v>
      </c>
      <c r="F23" s="469">
        <v>7</v>
      </c>
      <c r="G23" s="469">
        <v>1617</v>
      </c>
      <c r="H23" s="469">
        <v>1</v>
      </c>
      <c r="I23" s="469">
        <v>231</v>
      </c>
      <c r="J23" s="469">
        <v>5</v>
      </c>
      <c r="K23" s="469">
        <v>1160</v>
      </c>
      <c r="L23" s="469">
        <v>0.71737786023500305</v>
      </c>
      <c r="M23" s="469">
        <v>232</v>
      </c>
      <c r="N23" s="469"/>
      <c r="O23" s="469"/>
      <c r="P23" s="482"/>
      <c r="Q23" s="517"/>
    </row>
    <row r="24" spans="1:17" ht="14.4" customHeight="1" x14ac:dyDescent="0.3">
      <c r="A24" s="478" t="s">
        <v>683</v>
      </c>
      <c r="B24" s="468" t="s">
        <v>631</v>
      </c>
      <c r="C24" s="468" t="s">
        <v>632</v>
      </c>
      <c r="D24" s="468" t="s">
        <v>633</v>
      </c>
      <c r="E24" s="468" t="s">
        <v>634</v>
      </c>
      <c r="F24" s="469">
        <v>2</v>
      </c>
      <c r="G24" s="469">
        <v>462</v>
      </c>
      <c r="H24" s="469">
        <v>1</v>
      </c>
      <c r="I24" s="469">
        <v>231</v>
      </c>
      <c r="J24" s="469"/>
      <c r="K24" s="469"/>
      <c r="L24" s="469"/>
      <c r="M24" s="469"/>
      <c r="N24" s="469">
        <v>2</v>
      </c>
      <c r="O24" s="469">
        <v>468</v>
      </c>
      <c r="P24" s="482">
        <v>1.0129870129870129</v>
      </c>
      <c r="Q24" s="517">
        <v>234</v>
      </c>
    </row>
    <row r="25" spans="1:17" ht="14.4" customHeight="1" x14ac:dyDescent="0.3">
      <c r="A25" s="478" t="s">
        <v>684</v>
      </c>
      <c r="B25" s="468" t="s">
        <v>631</v>
      </c>
      <c r="C25" s="468" t="s">
        <v>632</v>
      </c>
      <c r="D25" s="468" t="s">
        <v>633</v>
      </c>
      <c r="E25" s="468" t="s">
        <v>634</v>
      </c>
      <c r="F25" s="469">
        <v>1</v>
      </c>
      <c r="G25" s="469">
        <v>231</v>
      </c>
      <c r="H25" s="469">
        <v>1</v>
      </c>
      <c r="I25" s="469">
        <v>231</v>
      </c>
      <c r="J25" s="469">
        <v>1</v>
      </c>
      <c r="K25" s="469">
        <v>232</v>
      </c>
      <c r="L25" s="469">
        <v>1.0043290043290043</v>
      </c>
      <c r="M25" s="469">
        <v>232</v>
      </c>
      <c r="N25" s="469"/>
      <c r="O25" s="469"/>
      <c r="P25" s="482"/>
      <c r="Q25" s="517"/>
    </row>
    <row r="26" spans="1:17" ht="14.4" customHeight="1" thickBot="1" x14ac:dyDescent="0.35">
      <c r="A26" s="479" t="s">
        <v>685</v>
      </c>
      <c r="B26" s="471" t="s">
        <v>631</v>
      </c>
      <c r="C26" s="471" t="s">
        <v>632</v>
      </c>
      <c r="D26" s="471" t="s">
        <v>633</v>
      </c>
      <c r="E26" s="471" t="s">
        <v>634</v>
      </c>
      <c r="F26" s="472"/>
      <c r="G26" s="472"/>
      <c r="H26" s="472"/>
      <c r="I26" s="472"/>
      <c r="J26" s="472">
        <v>1</v>
      </c>
      <c r="K26" s="472">
        <v>232</v>
      </c>
      <c r="L26" s="472"/>
      <c r="M26" s="472">
        <v>232</v>
      </c>
      <c r="N26" s="472"/>
      <c r="O26" s="472"/>
      <c r="P26" s="484"/>
      <c r="Q26" s="51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1" t="s">
        <v>118</v>
      </c>
      <c r="B1" s="321"/>
      <c r="C1" s="322"/>
      <c r="D1" s="322"/>
      <c r="E1" s="322"/>
    </row>
    <row r="2" spans="1:5" ht="14.4" customHeight="1" thickBot="1" x14ac:dyDescent="0.35">
      <c r="A2" s="231" t="s">
        <v>244</v>
      </c>
      <c r="B2" s="152"/>
    </row>
    <row r="3" spans="1:5" ht="14.4" customHeight="1" thickBot="1" x14ac:dyDescent="0.35">
      <c r="A3" s="155"/>
      <c r="C3" s="156" t="s">
        <v>106</v>
      </c>
      <c r="D3" s="157" t="s">
        <v>71</v>
      </c>
      <c r="E3" s="158" t="s">
        <v>73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430.96330974256267</v>
      </c>
      <c r="D4" s="161">
        <f ca="1">IF(ISERROR(VLOOKUP("Náklady celkem",INDIRECT("HI!$A:$G"),5,0)),0,VLOOKUP("Náklady celkem",INDIRECT("HI!$A:$G"),5,0))</f>
        <v>403.22038000000009</v>
      </c>
      <c r="E4" s="162">
        <f ca="1">IF(C4=0,0,D4/C4)</f>
        <v>0.93562577343501718</v>
      </c>
    </row>
    <row r="5" spans="1:5" ht="14.4" customHeight="1" x14ac:dyDescent="0.3">
      <c r="A5" s="163" t="s">
        <v>145</v>
      </c>
      <c r="B5" s="164"/>
      <c r="C5" s="165"/>
      <c r="D5" s="165"/>
      <c r="E5" s="166"/>
    </row>
    <row r="6" spans="1:5" ht="14.4" customHeight="1" x14ac:dyDescent="0.3">
      <c r="A6" s="167" t="s">
        <v>150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110</v>
      </c>
      <c r="C7" s="169">
        <f>IF(ISERROR(HI!F5),"",HI!F5)</f>
        <v>0</v>
      </c>
      <c r="D7" s="169">
        <f>IF(ISERROR(HI!E5),"",HI!E5)</f>
        <v>0</v>
      </c>
      <c r="E7" s="166">
        <f t="shared" ref="E7:E13" si="0">IF(C7=0,0,D7/C7)</f>
        <v>0</v>
      </c>
    </row>
    <row r="8" spans="1:5" ht="14.4" customHeight="1" x14ac:dyDescent="0.3">
      <c r="A8" s="172" t="s">
        <v>146</v>
      </c>
      <c r="B8" s="168"/>
      <c r="C8" s="169"/>
      <c r="D8" s="169"/>
      <c r="E8" s="166"/>
    </row>
    <row r="9" spans="1:5" ht="14.4" customHeight="1" x14ac:dyDescent="0.3">
      <c r="A9" s="170" t="str">
        <f>HYPERLINK("#'Léky Recepty'!A1","% záchytu v lékárně (Úhrada Kč)")</f>
        <v>% záchytu v lékárně (Úhrada Kč)</v>
      </c>
      <c r="B9" s="168" t="s">
        <v>113</v>
      </c>
      <c r="C9" s="171">
        <v>0.6</v>
      </c>
      <c r="D9" s="171">
        <f>IF(ISERROR(VLOOKUP("Celkem",'Léky Recepty'!B:H,5,0)),0,VLOOKUP("Celkem",'Léky Recepty'!B:H,5,0))</f>
        <v>0.6143175677483933</v>
      </c>
      <c r="E9" s="166">
        <f t="shared" si="0"/>
        <v>1.0238626129139889</v>
      </c>
    </row>
    <row r="10" spans="1:5" ht="14.4" customHeight="1" x14ac:dyDescent="0.3">
      <c r="A10" s="170" t="str">
        <f>HYPERLINK("#'LRp PL'!A1","% plnění pozitivního listu")</f>
        <v>% plnění pozitivního listu</v>
      </c>
      <c r="B10" s="168" t="s">
        <v>139</v>
      </c>
      <c r="C10" s="171">
        <v>0.8</v>
      </c>
      <c r="D10" s="171">
        <f>IF(ISERROR(VLOOKUP("Celkem",'LRp PL'!A:F,5,0)),0,VLOOKUP("Celkem",'LRp PL'!A:F,5,0))</f>
        <v>0.9518655251637641</v>
      </c>
      <c r="E10" s="166">
        <f t="shared" si="0"/>
        <v>1.1898319064547052</v>
      </c>
    </row>
    <row r="11" spans="1:5" ht="14.4" customHeight="1" x14ac:dyDescent="0.3">
      <c r="A11" s="172" t="s">
        <v>147</v>
      </c>
      <c r="B11" s="168"/>
      <c r="C11" s="169"/>
      <c r="D11" s="169"/>
      <c r="E11" s="166"/>
    </row>
    <row r="12" spans="1:5" ht="14.4" customHeight="1" x14ac:dyDescent="0.3">
      <c r="A12" s="173" t="s">
        <v>151</v>
      </c>
      <c r="B12" s="168"/>
      <c r="C12" s="165"/>
      <c r="D12" s="165"/>
      <c r="E12" s="166"/>
    </row>
    <row r="13" spans="1:5" ht="14.4" customHeight="1" x14ac:dyDescent="0.3">
      <c r="A13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8" t="s">
        <v>110</v>
      </c>
      <c r="C13" s="169">
        <f>IF(ISERROR(HI!F6),"",HI!F6)</f>
        <v>407.74534314381447</v>
      </c>
      <c r="D13" s="169">
        <f>IF(ISERROR(HI!E6),"",HI!E6)</f>
        <v>379.71943999999996</v>
      </c>
      <c r="E13" s="166">
        <f t="shared" si="0"/>
        <v>0.93126616007989682</v>
      </c>
    </row>
    <row r="14" spans="1:5" ht="14.4" customHeight="1" thickBot="1" x14ac:dyDescent="0.35">
      <c r="A14" s="175" t="str">
        <f>HYPERLINK("#HI!A1","Osobní náklady")</f>
        <v>Osobní náklady</v>
      </c>
      <c r="B14" s="168"/>
      <c r="C14" s="165">
        <f ca="1">IF(ISERROR(VLOOKUP("Osobní náklady (Kč) *",INDIRECT("HI!$A:$G"),6,0)),0,VLOOKUP("Osobní náklady (Kč) *",INDIRECT("HI!$A:$G"),6,0))</f>
        <v>0</v>
      </c>
      <c r="D14" s="165">
        <f ca="1">IF(ISERROR(VLOOKUP("Osobní náklady (Kč) *",INDIRECT("HI!$A:$G"),5,0)),0,VLOOKUP("Osobní náklady (Kč) *",INDIRECT("HI!$A:$G"),5,0))</f>
        <v>0</v>
      </c>
      <c r="E14" s="166">
        <f ca="1">IF(C14=0,0,D14/C14)</f>
        <v>0</v>
      </c>
    </row>
    <row r="15" spans="1:5" ht="14.4" customHeight="1" thickBot="1" x14ac:dyDescent="0.35">
      <c r="A15" s="179"/>
      <c r="B15" s="180"/>
      <c r="C15" s="181"/>
      <c r="D15" s="181"/>
      <c r="E15" s="182"/>
    </row>
    <row r="16" spans="1:5" ht="14.4" customHeight="1" thickBot="1" x14ac:dyDescent="0.35">
      <c r="A16" s="183" t="str">
        <f>HYPERLINK("#HI!A1","VÝNOSY CELKEM (v tisících)")</f>
        <v>VÝNOSY CELKEM (v tisících)</v>
      </c>
      <c r="B16" s="184"/>
      <c r="C16" s="185">
        <f ca="1">IF(ISERROR(VLOOKUP("Výnosy celkem",INDIRECT("HI!$A:$G"),6,0)),0,VLOOKUP("Výnosy celkem",INDIRECT("HI!$A:$G"),6,0))</f>
        <v>705.10199999999998</v>
      </c>
      <c r="D16" s="185">
        <f ca="1">IF(ISERROR(VLOOKUP("Výnosy celkem",INDIRECT("HI!$A:$G"),5,0)),0,VLOOKUP("Výnosy celkem",INDIRECT("HI!$A:$G"),5,0))</f>
        <v>1192.105</v>
      </c>
      <c r="E16" s="186">
        <f t="shared" ref="E16:E19" ca="1" si="1">IF(C16=0,0,D16/C16)</f>
        <v>1.6906844683464237</v>
      </c>
    </row>
    <row r="17" spans="1:5" ht="14.4" customHeight="1" x14ac:dyDescent="0.3">
      <c r="A17" s="187" t="str">
        <f>HYPERLINK("#HI!A1","Ambulance (body za výkony + Kč za ZUM a ZULP)")</f>
        <v>Ambulance (body za výkony + Kč za ZUM a ZULP)</v>
      </c>
      <c r="B17" s="164"/>
      <c r="C17" s="165">
        <f ca="1">IF(ISERROR(VLOOKUP("Ambulance *",INDIRECT("HI!$A:$G"),6,0)),0,VLOOKUP("Ambulance *",INDIRECT("HI!$A:$G"),6,0))</f>
        <v>705.10199999999998</v>
      </c>
      <c r="D17" s="165">
        <f ca="1">IF(ISERROR(VLOOKUP("Ambulance *",INDIRECT("HI!$A:$G"),5,0)),0,VLOOKUP("Ambulance *",INDIRECT("HI!$A:$G"),5,0))</f>
        <v>1192.105</v>
      </c>
      <c r="E17" s="166">
        <f t="shared" ca="1" si="1"/>
        <v>1.6906844683464237</v>
      </c>
    </row>
    <row r="18" spans="1:5" ht="14.4" customHeight="1" x14ac:dyDescent="0.3">
      <c r="A18" s="188" t="str">
        <f>HYPERLINK("#'ZV Vykáz.-A'!A1","Zdravotní výkony vykázané u ambulantních pacientů (min. 100 %)")</f>
        <v>Zdravotní výkony vykázané u ambulantních pacientů (min. 100 %)</v>
      </c>
      <c r="B18" s="151" t="s">
        <v>120</v>
      </c>
      <c r="C18" s="171">
        <v>1</v>
      </c>
      <c r="D18" s="171">
        <f>IF(ISERROR(VLOOKUP("Celkem:",'ZV Vykáz.-A'!$A:$S,7,0)),"",VLOOKUP("Celkem:",'ZV Vykáz.-A'!$A:$S,7,0))</f>
        <v>1.6906844683464237</v>
      </c>
      <c r="E18" s="166">
        <f t="shared" si="1"/>
        <v>1.6906844683464237</v>
      </c>
    </row>
    <row r="19" spans="1:5" ht="14.4" customHeight="1" x14ac:dyDescent="0.3">
      <c r="A19" s="188" t="str">
        <f>HYPERLINK("#'ZV Vykáz.-H'!A1","Zdravotní výkony vykázané u hospitalizovaných pacientů (max. 85 %)")</f>
        <v>Zdravotní výkony vykázané u hospitalizovaných pacientů (max. 85 %)</v>
      </c>
      <c r="B19" s="151" t="s">
        <v>122</v>
      </c>
      <c r="C19" s="171">
        <v>0.85</v>
      </c>
      <c r="D19" s="171">
        <f>IF(ISERROR(VLOOKUP("Celkem:",'ZV Vykáz.-H'!$A:$S,7,0)),"",VLOOKUP("Celkem:",'ZV Vykáz.-H'!$A:$S,7,0))</f>
        <v>1.2846381718154889</v>
      </c>
      <c r="E19" s="166">
        <f t="shared" si="1"/>
        <v>1.511339025665281</v>
      </c>
    </row>
    <row r="20" spans="1:5" ht="14.4" customHeight="1" x14ac:dyDescent="0.3">
      <c r="A20" s="189" t="str">
        <f>HYPERLINK("#HI!A1","Hospitalizace (casemix * 30000)")</f>
        <v>Hospitalizace (casemix * 30000)</v>
      </c>
      <c r="B20" s="168"/>
      <c r="C20" s="165">
        <f ca="1">IF(ISERROR(VLOOKUP("Hospitalizace *",INDIRECT("HI!$A:$G"),6,0)),0,VLOOKUP("Hospitalizace *",INDIRECT("HI!$A:$G"),6,0))</f>
        <v>0</v>
      </c>
      <c r="D20" s="165">
        <f ca="1">IF(ISERROR(VLOOKUP("Hospitalizace *",INDIRECT("HI!$A:$G"),5,0)),0,VLOOKUP("Hospitalizace *",INDIRECT("HI!$A:$G"),5,0))</f>
        <v>0</v>
      </c>
      <c r="E20" s="166">
        <f ca="1">IF(C20=0,0,D20/C20)</f>
        <v>0</v>
      </c>
    </row>
    <row r="21" spans="1:5" ht="14.4" customHeight="1" thickBot="1" x14ac:dyDescent="0.35">
      <c r="A21" s="190" t="s">
        <v>148</v>
      </c>
      <c r="B21" s="176"/>
      <c r="C21" s="177"/>
      <c r="D21" s="177"/>
      <c r="E21" s="178"/>
    </row>
    <row r="22" spans="1:5" ht="14.4" customHeight="1" thickBot="1" x14ac:dyDescent="0.35">
      <c r="A22" s="191"/>
      <c r="B22" s="192"/>
      <c r="C22" s="193"/>
      <c r="D22" s="193"/>
      <c r="E22" s="194"/>
    </row>
    <row r="23" spans="1:5" ht="14.4" customHeight="1" thickBot="1" x14ac:dyDescent="0.35">
      <c r="A23" s="195" t="s">
        <v>149</v>
      </c>
      <c r="B23" s="196"/>
      <c r="C23" s="197"/>
      <c r="D23" s="197"/>
      <c r="E23" s="198"/>
    </row>
  </sheetData>
  <mergeCells count="1">
    <mergeCell ref="A1:E1"/>
  </mergeCells>
  <conditionalFormatting sqref="E5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41" priority="20" operator="lessThan">
      <formula>1</formula>
    </cfRule>
  </conditionalFormatting>
  <conditionalFormatting sqref="E16 E18 E9: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0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1" t="s">
        <v>133</v>
      </c>
      <c r="B1" s="321"/>
      <c r="C1" s="321"/>
      <c r="D1" s="321"/>
      <c r="E1" s="321"/>
      <c r="F1" s="321"/>
      <c r="G1" s="322"/>
      <c r="H1" s="322"/>
    </row>
    <row r="2" spans="1:8" ht="14.4" customHeight="1" thickBot="1" x14ac:dyDescent="0.35">
      <c r="A2" s="231" t="s">
        <v>244</v>
      </c>
      <c r="B2" s="111"/>
      <c r="C2" s="111"/>
      <c r="D2" s="111"/>
      <c r="E2" s="111"/>
      <c r="F2" s="111"/>
    </row>
    <row r="3" spans="1:8" ht="14.4" customHeight="1" x14ac:dyDescent="0.3">
      <c r="A3" s="323"/>
      <c r="B3" s="107">
        <v>2012</v>
      </c>
      <c r="C3" s="40">
        <v>2013</v>
      </c>
      <c r="D3" s="7"/>
      <c r="E3" s="327">
        <v>2014</v>
      </c>
      <c r="F3" s="328"/>
      <c r="G3" s="328"/>
      <c r="H3" s="329"/>
    </row>
    <row r="4" spans="1:8" ht="14.4" customHeight="1" thickBot="1" x14ac:dyDescent="0.35">
      <c r="A4" s="324"/>
      <c r="B4" s="325" t="s">
        <v>71</v>
      </c>
      <c r="C4" s="326"/>
      <c r="D4" s="7"/>
      <c r="E4" s="128" t="s">
        <v>71</v>
      </c>
      <c r="F4" s="109" t="s">
        <v>72</v>
      </c>
      <c r="G4" s="109" t="s">
        <v>66</v>
      </c>
      <c r="H4" s="110" t="s">
        <v>73</v>
      </c>
    </row>
    <row r="5" spans="1:8" ht="14.4" customHeight="1" x14ac:dyDescent="0.3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67.215149999999994</v>
      </c>
      <c r="C6" s="31">
        <v>260.69241</v>
      </c>
      <c r="D6" s="8"/>
      <c r="E6" s="118">
        <v>379.71943999999996</v>
      </c>
      <c r="F6" s="30">
        <v>407.74534314381447</v>
      </c>
      <c r="G6" s="119">
        <f>E6-F6</f>
        <v>-28.025903143814503</v>
      </c>
      <c r="H6" s="123">
        <f>IF(F6&lt;0.00000001,"",E6/F6)</f>
        <v>0.93126616007989682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8" ht="14.4" customHeight="1" thickBot="1" x14ac:dyDescent="0.35">
      <c r="A8" s="1" t="s">
        <v>74</v>
      </c>
      <c r="B8" s="11">
        <v>20.108710000000016</v>
      </c>
      <c r="C8" s="33">
        <v>421.82798000000014</v>
      </c>
      <c r="D8" s="8"/>
      <c r="E8" s="120">
        <v>23.500940000000128</v>
      </c>
      <c r="F8" s="32">
        <v>23.217966598748205</v>
      </c>
      <c r="G8" s="121">
        <f>E8-F8</f>
        <v>0.2829734012519225</v>
      </c>
      <c r="H8" s="124">
        <f>IF(F8&lt;0.00000001,"",E8/F8)</f>
        <v>1.0121876909439254</v>
      </c>
    </row>
    <row r="9" spans="1:8" ht="14.4" customHeight="1" thickBot="1" x14ac:dyDescent="0.35">
      <c r="A9" s="2" t="s">
        <v>75</v>
      </c>
      <c r="B9" s="3">
        <v>87.32386000000001</v>
      </c>
      <c r="C9" s="35">
        <v>682.52039000000013</v>
      </c>
      <c r="D9" s="8"/>
      <c r="E9" s="3">
        <v>403.22038000000009</v>
      </c>
      <c r="F9" s="34">
        <v>430.96330974256267</v>
      </c>
      <c r="G9" s="34">
        <f>E9-F9</f>
        <v>-27.74292974256258</v>
      </c>
      <c r="H9" s="125">
        <f>IF(F9&lt;0.00000001,"",E9/F9)</f>
        <v>0.93562577343501718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705.10199999999998</v>
      </c>
      <c r="C11" s="29">
        <f>IF(ISERROR(VLOOKUP("Celkem:",'ZV Vykáz.-A'!A:F,4,0)),0,VLOOKUP("Celkem:",'ZV Vykáz.-A'!A:F,4,0)/1000)</f>
        <v>752.82</v>
      </c>
      <c r="D11" s="8"/>
      <c r="E11" s="117">
        <f>IF(ISERROR(VLOOKUP("Celkem:",'ZV Vykáz.-A'!A:F,6,0)),0,VLOOKUP("Celkem:",'ZV Vykáz.-A'!A:F,6,0)/1000)</f>
        <v>1192.105</v>
      </c>
      <c r="F11" s="28">
        <f>B11</f>
        <v>705.10199999999998</v>
      </c>
      <c r="G11" s="116">
        <f>E11-F11</f>
        <v>487.00300000000004</v>
      </c>
      <c r="H11" s="122">
        <f>IF(F11&lt;0.00000001,"",E11/F11)</f>
        <v>1.6906844683464237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78</v>
      </c>
      <c r="B13" s="5">
        <f>SUM(B11:B12)</f>
        <v>705.10199999999998</v>
      </c>
      <c r="C13" s="37">
        <f>SUM(C11:C12)</f>
        <v>752.82</v>
      </c>
      <c r="D13" s="8"/>
      <c r="E13" s="5">
        <f>SUM(E11:E12)</f>
        <v>1192.105</v>
      </c>
      <c r="F13" s="36">
        <f>SUM(F11:F12)</f>
        <v>705.10199999999998</v>
      </c>
      <c r="G13" s="36">
        <f>E13-F13</f>
        <v>487.00300000000004</v>
      </c>
      <c r="H13" s="126">
        <f>IF(F13&lt;0.00000001,"",E13/F13)</f>
        <v>1.6906844683464237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8.074562897242517</v>
      </c>
      <c r="C15" s="39">
        <f>IF(C9=0,"",C13/C9)</f>
        <v>1.1030000144025001</v>
      </c>
      <c r="D15" s="8"/>
      <c r="E15" s="6">
        <f>IF(E9=0,"",E13/E9)</f>
        <v>2.9564601868586102</v>
      </c>
      <c r="F15" s="38">
        <f>IF(F9=0,"",F13/F9)</f>
        <v>1.6361067962402529</v>
      </c>
      <c r="G15" s="38">
        <f>IF(ISERROR(F15-E15),"",E15-F15)</f>
        <v>1.3203533906183573</v>
      </c>
      <c r="H15" s="127">
        <f>IF(ISERROR(F15-E15),"",IF(F15&lt;0.00000001,"",E15/F15))</f>
        <v>1.8070092940463962</v>
      </c>
    </row>
    <row r="17" spans="1:8" ht="14.4" customHeight="1" x14ac:dyDescent="0.3">
      <c r="A17" s="113" t="s">
        <v>153</v>
      </c>
    </row>
    <row r="18" spans="1:8" ht="14.4" customHeight="1" x14ac:dyDescent="0.3">
      <c r="A18" s="294" t="s">
        <v>197</v>
      </c>
      <c r="B18" s="295"/>
      <c r="C18" s="295"/>
      <c r="D18" s="295"/>
      <c r="E18" s="295"/>
      <c r="F18" s="295"/>
      <c r="G18" s="295"/>
      <c r="H18" s="295"/>
    </row>
    <row r="19" spans="1:8" x14ac:dyDescent="0.3">
      <c r="A19" s="293" t="s">
        <v>196</v>
      </c>
      <c r="B19" s="295"/>
      <c r="C19" s="295"/>
      <c r="D19" s="295"/>
      <c r="E19" s="295"/>
      <c r="F19" s="295"/>
      <c r="G19" s="295"/>
      <c r="H19" s="295"/>
    </row>
    <row r="20" spans="1:8" ht="14.4" customHeight="1" x14ac:dyDescent="0.3">
      <c r="A20" s="114" t="s">
        <v>241</v>
      </c>
    </row>
    <row r="21" spans="1:8" ht="14.4" customHeight="1" x14ac:dyDescent="0.3">
      <c r="A21" s="114" t="s">
        <v>154</v>
      </c>
    </row>
    <row r="22" spans="1:8" ht="14.4" customHeight="1" x14ac:dyDescent="0.3">
      <c r="A22" s="115" t="s">
        <v>155</v>
      </c>
    </row>
    <row r="23" spans="1:8" ht="14.4" customHeight="1" x14ac:dyDescent="0.3">
      <c r="A23" s="115" t="s">
        <v>156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9" priority="4" operator="greaterThan">
      <formula>0</formula>
    </cfRule>
  </conditionalFormatting>
  <conditionalFormatting sqref="G11:G13 G15">
    <cfRule type="cellIs" dxfId="38" priority="3" operator="lessThan">
      <formula>0</formula>
    </cfRule>
  </conditionalFormatting>
  <conditionalFormatting sqref="H5:H9">
    <cfRule type="cellIs" dxfId="37" priority="2" operator="greaterThan">
      <formula>1</formula>
    </cfRule>
  </conditionalFormatting>
  <conditionalFormatting sqref="H11:H13 H15">
    <cfRule type="cellIs" dxfId="3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1" t="s">
        <v>103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</row>
    <row r="2" spans="1:13" ht="14.4" customHeight="1" x14ac:dyDescent="0.3">
      <c r="A2" s="231" t="s">
        <v>244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80</v>
      </c>
      <c r="C3" s="201" t="s">
        <v>81</v>
      </c>
      <c r="D3" s="201" t="s">
        <v>82</v>
      </c>
      <c r="E3" s="200" t="s">
        <v>83</v>
      </c>
      <c r="F3" s="201" t="s">
        <v>84</v>
      </c>
      <c r="G3" s="201" t="s">
        <v>85</v>
      </c>
      <c r="H3" s="201" t="s">
        <v>86</v>
      </c>
      <c r="I3" s="201" t="s">
        <v>87</v>
      </c>
      <c r="J3" s="201" t="s">
        <v>88</v>
      </c>
      <c r="K3" s="201" t="s">
        <v>89</v>
      </c>
      <c r="L3" s="201" t="s">
        <v>90</v>
      </c>
      <c r="M3" s="201" t="s">
        <v>91</v>
      </c>
    </row>
    <row r="4" spans="1:13" ht="14.4" customHeight="1" x14ac:dyDescent="0.3">
      <c r="A4" s="199" t="s">
        <v>79</v>
      </c>
      <c r="B4" s="202">
        <f>(B10+B8)/B6</f>
        <v>2.6957118229579042</v>
      </c>
      <c r="C4" s="202">
        <f t="shared" ref="C4:M4" si="0">(C10+C8)/C6</f>
        <v>3.1075004313637993</v>
      </c>
      <c r="D4" s="202">
        <f t="shared" si="0"/>
        <v>2.9992676245124694</v>
      </c>
      <c r="E4" s="202">
        <f t="shared" si="0"/>
        <v>3.1247901196023298</v>
      </c>
      <c r="F4" s="202">
        <f t="shared" si="0"/>
        <v>3.1992541470153908</v>
      </c>
      <c r="G4" s="202">
        <f t="shared" si="0"/>
        <v>2.7995271683091092</v>
      </c>
      <c r="H4" s="202">
        <f t="shared" si="0"/>
        <v>2.9788974010404603</v>
      </c>
      <c r="I4" s="202">
        <f t="shared" si="0"/>
        <v>3.0424951185962086</v>
      </c>
      <c r="J4" s="202">
        <f t="shared" si="0"/>
        <v>3.1240858750661258</v>
      </c>
      <c r="K4" s="202">
        <f t="shared" si="0"/>
        <v>2.9590976343546749</v>
      </c>
      <c r="L4" s="202">
        <f t="shared" si="0"/>
        <v>2.9564601868586102</v>
      </c>
      <c r="M4" s="202">
        <f t="shared" si="0"/>
        <v>2.9564601868586102</v>
      </c>
    </row>
    <row r="5" spans="1:13" ht="14.4" customHeight="1" x14ac:dyDescent="0.3">
      <c r="A5" s="203" t="s">
        <v>52</v>
      </c>
      <c r="B5" s="202">
        <f>IF(ISERROR(VLOOKUP($A5,'Man Tab'!$A:$Q,COLUMN()+2,0)),0,VLOOKUP($A5,'Man Tab'!$A:$Q,COLUMN()+2,0))</f>
        <v>41.022559999999999</v>
      </c>
      <c r="C5" s="202">
        <f>IF(ISERROR(VLOOKUP($A5,'Man Tab'!$A:$Q,COLUMN()+2,0)),0,VLOOKUP($A5,'Man Tab'!$A:$Q,COLUMN()+2,0))</f>
        <v>33.334629999999997</v>
      </c>
      <c r="D5" s="202">
        <f>IF(ISERROR(VLOOKUP($A5,'Man Tab'!$A:$Q,COLUMN()+2,0)),0,VLOOKUP($A5,'Man Tab'!$A:$Q,COLUMN()+2,0))</f>
        <v>41.430410000000002</v>
      </c>
      <c r="E5" s="202">
        <f>IF(ISERROR(VLOOKUP($A5,'Man Tab'!$A:$Q,COLUMN()+2,0)),0,VLOOKUP($A5,'Man Tab'!$A:$Q,COLUMN()+2,0))</f>
        <v>38.466920000000002</v>
      </c>
      <c r="F5" s="202">
        <f>IF(ISERROR(VLOOKUP($A5,'Man Tab'!$A:$Q,COLUMN()+2,0)),0,VLOOKUP($A5,'Man Tab'!$A:$Q,COLUMN()+2,0))</f>
        <v>41.633949999999999</v>
      </c>
      <c r="G5" s="202">
        <f>IF(ISERROR(VLOOKUP($A5,'Man Tab'!$A:$Q,COLUMN()+2,0)),0,VLOOKUP($A5,'Man Tab'!$A:$Q,COLUMN()+2,0))</f>
        <v>75.979939999999999</v>
      </c>
      <c r="H5" s="202">
        <f>IF(ISERROR(VLOOKUP($A5,'Man Tab'!$A:$Q,COLUMN()+2,0)),0,VLOOKUP($A5,'Man Tab'!$A:$Q,COLUMN()+2,0))</f>
        <v>27.427900000000001</v>
      </c>
      <c r="I5" s="202">
        <f>IF(ISERROR(VLOOKUP($A5,'Man Tab'!$A:$Q,COLUMN()+2,0)),0,VLOOKUP($A5,'Man Tab'!$A:$Q,COLUMN()+2,0))</f>
        <v>29.538399999999999</v>
      </c>
      <c r="J5" s="202">
        <f>IF(ISERROR(VLOOKUP($A5,'Man Tab'!$A:$Q,COLUMN()+2,0)),0,VLOOKUP($A5,'Man Tab'!$A:$Q,COLUMN()+2,0))</f>
        <v>20.269649999999999</v>
      </c>
      <c r="K5" s="202">
        <f>IF(ISERROR(VLOOKUP($A5,'Man Tab'!$A:$Q,COLUMN()+2,0)),0,VLOOKUP($A5,'Man Tab'!$A:$Q,COLUMN()+2,0))</f>
        <v>30.86046</v>
      </c>
      <c r="L5" s="202">
        <f>IF(ISERROR(VLOOKUP($A5,'Man Tab'!$A:$Q,COLUMN()+2,0)),0,VLOOKUP($A5,'Man Tab'!$A:$Q,COLUMN()+2,0))</f>
        <v>23.255559999999999</v>
      </c>
      <c r="M5" s="202">
        <f>IF(ISERROR(VLOOKUP($A5,'Man Tab'!$A:$Q,COLUMN()+2,0)),0,VLOOKUP($A5,'Man Tab'!$A:$Q,COLUMN()+2,0))</f>
        <v>4.9406564584124654E-324</v>
      </c>
    </row>
    <row r="6" spans="1:13" ht="14.4" customHeight="1" x14ac:dyDescent="0.3">
      <c r="A6" s="203" t="s">
        <v>75</v>
      </c>
      <c r="B6" s="204">
        <f>B5</f>
        <v>41.022559999999999</v>
      </c>
      <c r="C6" s="204">
        <f t="shared" ref="C6:M6" si="1">C5+B6</f>
        <v>74.357190000000003</v>
      </c>
      <c r="D6" s="204">
        <f t="shared" si="1"/>
        <v>115.7876</v>
      </c>
      <c r="E6" s="204">
        <f t="shared" si="1"/>
        <v>154.25452000000001</v>
      </c>
      <c r="F6" s="204">
        <f t="shared" si="1"/>
        <v>195.88847000000001</v>
      </c>
      <c r="G6" s="204">
        <f t="shared" si="1"/>
        <v>271.86841000000004</v>
      </c>
      <c r="H6" s="204">
        <f t="shared" si="1"/>
        <v>299.29631000000006</v>
      </c>
      <c r="I6" s="204">
        <f t="shared" si="1"/>
        <v>328.83471000000009</v>
      </c>
      <c r="J6" s="204">
        <f t="shared" si="1"/>
        <v>349.1043600000001</v>
      </c>
      <c r="K6" s="204">
        <f t="shared" si="1"/>
        <v>379.96482000000009</v>
      </c>
      <c r="L6" s="204">
        <f t="shared" si="1"/>
        <v>403.22038000000009</v>
      </c>
      <c r="M6" s="204">
        <f t="shared" si="1"/>
        <v>403.22038000000009</v>
      </c>
    </row>
    <row r="7" spans="1:13" ht="14.4" customHeight="1" x14ac:dyDescent="0.3">
      <c r="A7" s="203" t="s">
        <v>101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76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102</v>
      </c>
      <c r="B9" s="203">
        <v>110585</v>
      </c>
      <c r="C9" s="203">
        <v>120480</v>
      </c>
      <c r="D9" s="203">
        <v>116213</v>
      </c>
      <c r="E9" s="203">
        <v>134735</v>
      </c>
      <c r="F9" s="203">
        <v>144684</v>
      </c>
      <c r="G9" s="203">
        <v>134406</v>
      </c>
      <c r="H9" s="203">
        <v>130470</v>
      </c>
      <c r="I9" s="203">
        <v>108905</v>
      </c>
      <c r="J9" s="203">
        <v>90154</v>
      </c>
      <c r="K9" s="203">
        <v>33721</v>
      </c>
      <c r="L9" s="203">
        <v>67752</v>
      </c>
      <c r="M9" s="203">
        <v>0</v>
      </c>
    </row>
    <row r="10" spans="1:13" ht="14.4" customHeight="1" x14ac:dyDescent="0.3">
      <c r="A10" s="203" t="s">
        <v>77</v>
      </c>
      <c r="B10" s="204">
        <f>B9/1000</f>
        <v>110.58499999999999</v>
      </c>
      <c r="C10" s="204">
        <f t="shared" ref="C10:M10" si="3">C9/1000+B10</f>
        <v>231.065</v>
      </c>
      <c r="D10" s="204">
        <f t="shared" si="3"/>
        <v>347.27800000000002</v>
      </c>
      <c r="E10" s="204">
        <f t="shared" si="3"/>
        <v>482.01300000000003</v>
      </c>
      <c r="F10" s="204">
        <f t="shared" si="3"/>
        <v>626.697</v>
      </c>
      <c r="G10" s="204">
        <f t="shared" si="3"/>
        <v>761.10300000000007</v>
      </c>
      <c r="H10" s="204">
        <f t="shared" si="3"/>
        <v>891.57300000000009</v>
      </c>
      <c r="I10" s="204">
        <f t="shared" si="3"/>
        <v>1000.4780000000001</v>
      </c>
      <c r="J10" s="204">
        <f t="shared" si="3"/>
        <v>1090.6320000000001</v>
      </c>
      <c r="K10" s="204">
        <f t="shared" si="3"/>
        <v>1124.3530000000001</v>
      </c>
      <c r="L10" s="204">
        <f t="shared" si="3"/>
        <v>1192.105</v>
      </c>
      <c r="M10" s="204">
        <f t="shared" si="3"/>
        <v>1192.105</v>
      </c>
    </row>
    <row r="11" spans="1:13" ht="14.4" customHeight="1" x14ac:dyDescent="0.3">
      <c r="A11" s="199"/>
      <c r="B11" s="199" t="s">
        <v>92</v>
      </c>
      <c r="C11" s="199">
        <f ca="1">IF(MONTH(TODAY())=1,12,MONTH(TODAY())-1)</f>
        <v>11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1.6361067962402529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1.6361067962402529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0" t="s">
        <v>246</v>
      </c>
      <c r="B1" s="330"/>
      <c r="C1" s="330"/>
      <c r="D1" s="330"/>
      <c r="E1" s="330"/>
      <c r="F1" s="330"/>
      <c r="G1" s="330"/>
      <c r="H1" s="321"/>
      <c r="I1" s="321"/>
      <c r="J1" s="321"/>
      <c r="K1" s="321"/>
      <c r="L1" s="321"/>
      <c r="M1" s="321"/>
      <c r="N1" s="321"/>
      <c r="O1" s="321"/>
      <c r="P1" s="321"/>
      <c r="Q1" s="321"/>
    </row>
    <row r="2" spans="1:17" s="205" customFormat="1" ht="14.4" customHeight="1" thickBot="1" x14ac:dyDescent="0.3">
      <c r="A2" s="231" t="s">
        <v>244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1" t="s">
        <v>28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138"/>
      <c r="Q3" s="140"/>
    </row>
    <row r="4" spans="1:17" ht="14.4" customHeight="1" x14ac:dyDescent="0.3">
      <c r="A4" s="77"/>
      <c r="B4" s="20">
        <v>2014</v>
      </c>
      <c r="C4" s="139" t="s">
        <v>29</v>
      </c>
      <c r="D4" s="129" t="s">
        <v>157</v>
      </c>
      <c r="E4" s="129" t="s">
        <v>158</v>
      </c>
      <c r="F4" s="129" t="s">
        <v>159</v>
      </c>
      <c r="G4" s="129" t="s">
        <v>160</v>
      </c>
      <c r="H4" s="129" t="s">
        <v>161</v>
      </c>
      <c r="I4" s="129" t="s">
        <v>162</v>
      </c>
      <c r="J4" s="129" t="s">
        <v>163</v>
      </c>
      <c r="K4" s="129" t="s">
        <v>164</v>
      </c>
      <c r="L4" s="129" t="s">
        <v>165</v>
      </c>
      <c r="M4" s="129" t="s">
        <v>166</v>
      </c>
      <c r="N4" s="129" t="s">
        <v>167</v>
      </c>
      <c r="O4" s="129" t="s">
        <v>168</v>
      </c>
      <c r="P4" s="333" t="s">
        <v>3</v>
      </c>
      <c r="Q4" s="334"/>
    </row>
    <row r="5" spans="1:17" ht="14.4" customHeight="1" thickBot="1" x14ac:dyDescent="0.3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" customHeight="1" x14ac:dyDescent="0.3">
      <c r="A6" s="14" t="s">
        <v>33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5.434722104253712E-323</v>
      </c>
      <c r="Q6" s="94" t="s">
        <v>245</v>
      </c>
    </row>
    <row r="7" spans="1:17" ht="14.4" customHeight="1" x14ac:dyDescent="0.3">
      <c r="A7" s="15" t="s">
        <v>34</v>
      </c>
      <c r="B7" s="51">
        <v>4.9406564584124654E-324</v>
      </c>
      <c r="C7" s="52">
        <v>0</v>
      </c>
      <c r="D7" s="52">
        <v>4.9406564584124654E-324</v>
      </c>
      <c r="E7" s="52">
        <v>4.9406564584124654E-324</v>
      </c>
      <c r="F7" s="52">
        <v>4.9406564584124654E-324</v>
      </c>
      <c r="G7" s="52">
        <v>4.9406564584124654E-324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5.434722104253712E-323</v>
      </c>
      <c r="Q7" s="95" t="s">
        <v>245</v>
      </c>
    </row>
    <row r="8" spans="1:17" ht="14.4" customHeight="1" x14ac:dyDescent="0.3">
      <c r="A8" s="15" t="s">
        <v>35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5.434722104253712E-323</v>
      </c>
      <c r="Q8" s="95" t="s">
        <v>245</v>
      </c>
    </row>
    <row r="9" spans="1:17" ht="14.4" customHeight="1" x14ac:dyDescent="0.3">
      <c r="A9" s="15" t="s">
        <v>36</v>
      </c>
      <c r="B9" s="51">
        <v>444.81310161143398</v>
      </c>
      <c r="C9" s="52">
        <v>37.067758467619001</v>
      </c>
      <c r="D9" s="52">
        <v>38.325699999999998</v>
      </c>
      <c r="E9" s="52">
        <v>30.810030000000001</v>
      </c>
      <c r="F9" s="52">
        <v>38.677720000000001</v>
      </c>
      <c r="G9" s="52">
        <v>36.784289999999999</v>
      </c>
      <c r="H9" s="52">
        <v>40.630949999999999</v>
      </c>
      <c r="I9" s="52">
        <v>74.881320000000002</v>
      </c>
      <c r="J9" s="52">
        <v>16.68093</v>
      </c>
      <c r="K9" s="52">
        <v>28.950399999999998</v>
      </c>
      <c r="L9" s="52">
        <v>24.059660000000001</v>
      </c>
      <c r="M9" s="52">
        <v>28.788709999999998</v>
      </c>
      <c r="N9" s="52">
        <v>21.129729999999999</v>
      </c>
      <c r="O9" s="52">
        <v>4.9406564584124654E-324</v>
      </c>
      <c r="P9" s="53">
        <v>379.71944000000002</v>
      </c>
      <c r="Q9" s="95">
        <v>0.93126616007899998</v>
      </c>
    </row>
    <row r="10" spans="1:17" ht="14.4" customHeight="1" x14ac:dyDescent="0.3">
      <c r="A10" s="15" t="s">
        <v>37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5.434722104253712E-323</v>
      </c>
      <c r="Q10" s="95" t="s">
        <v>245</v>
      </c>
    </row>
    <row r="11" spans="1:17" ht="14.4" customHeight="1" x14ac:dyDescent="0.3">
      <c r="A11" s="15" t="s">
        <v>38</v>
      </c>
      <c r="B11" s="51">
        <v>4.9406564584124654E-324</v>
      </c>
      <c r="C11" s="52">
        <v>0</v>
      </c>
      <c r="D11" s="52">
        <v>4.9406564584124654E-324</v>
      </c>
      <c r="E11" s="52">
        <v>4.9406564584124654E-324</v>
      </c>
      <c r="F11" s="52">
        <v>4.9406564584124654E-324</v>
      </c>
      <c r="G11" s="52">
        <v>4.9406564584124654E-324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5.434722104253712E-323</v>
      </c>
      <c r="Q11" s="95" t="s">
        <v>245</v>
      </c>
    </row>
    <row r="12" spans="1:17" ht="14.4" customHeight="1" x14ac:dyDescent="0.3">
      <c r="A12" s="15" t="s">
        <v>39</v>
      </c>
      <c r="B12" s="51">
        <v>4.9406564584124654E-324</v>
      </c>
      <c r="C12" s="52">
        <v>0</v>
      </c>
      <c r="D12" s="52">
        <v>4.9406564584124654E-324</v>
      </c>
      <c r="E12" s="52">
        <v>4.9406564584124654E-324</v>
      </c>
      <c r="F12" s="52">
        <v>4.9406564584124654E-324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5.434722104253712E-323</v>
      </c>
      <c r="Q12" s="95" t="s">
        <v>245</v>
      </c>
    </row>
    <row r="13" spans="1:17" ht="14.4" customHeight="1" x14ac:dyDescent="0.3">
      <c r="A13" s="15" t="s">
        <v>40</v>
      </c>
      <c r="B13" s="51">
        <v>6.9999611650729996</v>
      </c>
      <c r="C13" s="52">
        <v>0.58333009708899997</v>
      </c>
      <c r="D13" s="52">
        <v>0.12886</v>
      </c>
      <c r="E13" s="52">
        <v>0.3866</v>
      </c>
      <c r="F13" s="52">
        <v>0.85319</v>
      </c>
      <c r="G13" s="52">
        <v>0.38662999999999997</v>
      </c>
      <c r="H13" s="52">
        <v>4.9406564584124654E-324</v>
      </c>
      <c r="I13" s="52">
        <v>0.38662000000000002</v>
      </c>
      <c r="J13" s="52">
        <v>4.9406564584124654E-324</v>
      </c>
      <c r="K13" s="52">
        <v>4.9406564584124654E-324</v>
      </c>
      <c r="L13" s="52">
        <v>4.9406564584124654E-324</v>
      </c>
      <c r="M13" s="52">
        <v>0.63797000000000004</v>
      </c>
      <c r="N13" s="52">
        <v>0.17183000000000001</v>
      </c>
      <c r="O13" s="52">
        <v>4.9406564584124654E-324</v>
      </c>
      <c r="P13" s="53">
        <v>2.9517000000000002</v>
      </c>
      <c r="Q13" s="95">
        <v>0.46000774685700002</v>
      </c>
    </row>
    <row r="14" spans="1:17" ht="14.4" customHeight="1" x14ac:dyDescent="0.3">
      <c r="A14" s="15" t="s">
        <v>41</v>
      </c>
      <c r="B14" s="51">
        <v>18.328729669924002</v>
      </c>
      <c r="C14" s="52">
        <v>1.5273941391600001</v>
      </c>
      <c r="D14" s="52">
        <v>2.5680000000000001</v>
      </c>
      <c r="E14" s="52">
        <v>2.1379999999999999</v>
      </c>
      <c r="F14" s="52">
        <v>1.796</v>
      </c>
      <c r="G14" s="52">
        <v>1.296</v>
      </c>
      <c r="H14" s="52">
        <v>1.0029999999999999</v>
      </c>
      <c r="I14" s="52">
        <v>0.60899999999999999</v>
      </c>
      <c r="J14" s="52">
        <v>0.54700000000000004</v>
      </c>
      <c r="K14" s="52">
        <v>0.58799999999999997</v>
      </c>
      <c r="L14" s="52">
        <v>0.68600000000000005</v>
      </c>
      <c r="M14" s="52">
        <v>1.4339999999999999</v>
      </c>
      <c r="N14" s="52">
        <v>1.85</v>
      </c>
      <c r="O14" s="52">
        <v>4.9406564584124654E-324</v>
      </c>
      <c r="P14" s="53">
        <v>14.515000000000001</v>
      </c>
      <c r="Q14" s="95">
        <v>0.86391941720400001</v>
      </c>
    </row>
    <row r="15" spans="1:17" ht="14.4" customHeight="1" x14ac:dyDescent="0.3">
      <c r="A15" s="15" t="s">
        <v>42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5.434722104253712E-323</v>
      </c>
      <c r="Q15" s="95" t="s">
        <v>245</v>
      </c>
    </row>
    <row r="16" spans="1:17" ht="14.4" customHeight="1" x14ac:dyDescent="0.3">
      <c r="A16" s="15" t="s">
        <v>43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5.434722104253712E-323</v>
      </c>
      <c r="Q16" s="95" t="s">
        <v>245</v>
      </c>
    </row>
    <row r="17" spans="1:17" ht="14.4" customHeight="1" x14ac:dyDescent="0.3">
      <c r="A17" s="15" t="s">
        <v>44</v>
      </c>
      <c r="B17" s="51">
        <v>4.9406564584124654E-324</v>
      </c>
      <c r="C17" s="52">
        <v>0</v>
      </c>
      <c r="D17" s="52">
        <v>4.9406564584124654E-324</v>
      </c>
      <c r="E17" s="52">
        <v>4.9406564584124654E-324</v>
      </c>
      <c r="F17" s="52">
        <v>4.9406564584124654E-324</v>
      </c>
      <c r="G17" s="52">
        <v>4.9406564584124654E-324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5.434722104253712E-323</v>
      </c>
      <c r="Q17" s="95" t="s">
        <v>245</v>
      </c>
    </row>
    <row r="18" spans="1:17" ht="14.4" customHeight="1" x14ac:dyDescent="0.3">
      <c r="A18" s="15" t="s">
        <v>45</v>
      </c>
      <c r="B18" s="51">
        <v>4.9406564584124654E-324</v>
      </c>
      <c r="C18" s="52">
        <v>0</v>
      </c>
      <c r="D18" s="52">
        <v>4.9406564584124654E-324</v>
      </c>
      <c r="E18" s="52">
        <v>4.9406564584124654E-324</v>
      </c>
      <c r="F18" s="52">
        <v>4.9406564584124654E-324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5.434722104253712E-323</v>
      </c>
      <c r="Q18" s="95" t="s">
        <v>245</v>
      </c>
    </row>
    <row r="19" spans="1:17" ht="14.4" customHeight="1" x14ac:dyDescent="0.3">
      <c r="A19" s="15" t="s">
        <v>46</v>
      </c>
      <c r="B19" s="51">
        <v>4.9406564584124654E-324</v>
      </c>
      <c r="C19" s="52">
        <v>0</v>
      </c>
      <c r="D19" s="52">
        <v>4.9406564584124654E-324</v>
      </c>
      <c r="E19" s="52">
        <v>4.9406564584124654E-324</v>
      </c>
      <c r="F19" s="52">
        <v>0.10299999999999999</v>
      </c>
      <c r="G19" s="52">
        <v>4.9406564584124654E-324</v>
      </c>
      <c r="H19" s="52">
        <v>4.9406564584124654E-324</v>
      </c>
      <c r="I19" s="52">
        <v>0.10299999999999999</v>
      </c>
      <c r="J19" s="52">
        <v>1.99197</v>
      </c>
      <c r="K19" s="52">
        <v>4.9406564584124654E-324</v>
      </c>
      <c r="L19" s="52">
        <v>4.9406564584124654E-324</v>
      </c>
      <c r="M19" s="52">
        <v>4.9406564584124654E-324</v>
      </c>
      <c r="N19" s="52">
        <v>0.104</v>
      </c>
      <c r="O19" s="52">
        <v>4.9406564584124654E-324</v>
      </c>
      <c r="P19" s="53">
        <v>2.3019699999999998</v>
      </c>
      <c r="Q19" s="95" t="s">
        <v>245</v>
      </c>
    </row>
    <row r="20" spans="1:17" ht="14.4" customHeight="1" x14ac:dyDescent="0.3">
      <c r="A20" s="15" t="s">
        <v>47</v>
      </c>
      <c r="B20" s="51">
        <v>4.9406564584124654E-324</v>
      </c>
      <c r="C20" s="52">
        <v>0</v>
      </c>
      <c r="D20" s="52">
        <v>4.9406564584124654E-324</v>
      </c>
      <c r="E20" s="52">
        <v>4.9406564584124654E-324</v>
      </c>
      <c r="F20" s="52">
        <v>4.9406564584124654E-324</v>
      </c>
      <c r="G20" s="52">
        <v>4.9406564584124654E-324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5.434722104253712E-323</v>
      </c>
      <c r="Q20" s="95" t="s">
        <v>245</v>
      </c>
    </row>
    <row r="21" spans="1:17" ht="14.4" customHeight="1" x14ac:dyDescent="0.3">
      <c r="A21" s="16" t="s">
        <v>48</v>
      </c>
      <c r="B21" s="51">
        <v>1.4821969375237396E-323</v>
      </c>
      <c r="C21" s="52">
        <v>0</v>
      </c>
      <c r="D21" s="52">
        <v>1.4821969375237396E-323</v>
      </c>
      <c r="E21" s="52">
        <v>1.4821969375237396E-323</v>
      </c>
      <c r="F21" s="52">
        <v>1.4821969375237396E-323</v>
      </c>
      <c r="G21" s="52">
        <v>1.4821969375237396E-323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1.6304166312761136E-322</v>
      </c>
      <c r="Q21" s="95" t="s">
        <v>245</v>
      </c>
    </row>
    <row r="22" spans="1:17" ht="14.4" customHeight="1" x14ac:dyDescent="0.3">
      <c r="A22" s="15" t="s">
        <v>49</v>
      </c>
      <c r="B22" s="51">
        <v>4.9406564584124654E-324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5.434722104253712E-323</v>
      </c>
      <c r="Q22" s="95" t="s">
        <v>245</v>
      </c>
    </row>
    <row r="23" spans="1:17" ht="14.4" customHeight="1" x14ac:dyDescent="0.3">
      <c r="A23" s="16" t="s">
        <v>50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2.1738888417014848E-322</v>
      </c>
      <c r="Q23" s="95" t="s">
        <v>245</v>
      </c>
    </row>
    <row r="24" spans="1:17" ht="14.4" customHeight="1" x14ac:dyDescent="0.3">
      <c r="A24" s="16" t="s">
        <v>51</v>
      </c>
      <c r="B24" s="51">
        <v>0</v>
      </c>
      <c r="C24" s="52">
        <v>0</v>
      </c>
      <c r="D24" s="52">
        <v>0</v>
      </c>
      <c r="E24" s="52">
        <v>0</v>
      </c>
      <c r="F24" s="52">
        <v>5.0000000000000001E-4</v>
      </c>
      <c r="G24" s="52">
        <v>0</v>
      </c>
      <c r="H24" s="52">
        <v>0</v>
      </c>
      <c r="I24" s="52">
        <v>0</v>
      </c>
      <c r="J24" s="52">
        <v>8.2080000000000002</v>
      </c>
      <c r="K24" s="52">
        <v>0</v>
      </c>
      <c r="L24" s="52">
        <v>-4.4760099999999996</v>
      </c>
      <c r="M24" s="52">
        <v>-2.2000000000000001E-4</v>
      </c>
      <c r="N24" s="52">
        <v>0</v>
      </c>
      <c r="O24" s="52">
        <v>-1.0869444208507424E-322</v>
      </c>
      <c r="P24" s="53">
        <v>3.7322700000000002</v>
      </c>
      <c r="Q24" s="95"/>
    </row>
    <row r="25" spans="1:17" ht="14.4" customHeight="1" x14ac:dyDescent="0.3">
      <c r="A25" s="17" t="s">
        <v>52</v>
      </c>
      <c r="B25" s="54">
        <v>470.14179244643202</v>
      </c>
      <c r="C25" s="55">
        <v>39.178482703869001</v>
      </c>
      <c r="D25" s="55">
        <v>41.022559999999999</v>
      </c>
      <c r="E25" s="55">
        <v>33.334629999999997</v>
      </c>
      <c r="F25" s="55">
        <v>41.430410000000002</v>
      </c>
      <c r="G25" s="55">
        <v>38.466920000000002</v>
      </c>
      <c r="H25" s="55">
        <v>41.633949999999999</v>
      </c>
      <c r="I25" s="55">
        <v>75.979939999999999</v>
      </c>
      <c r="J25" s="55">
        <v>27.427900000000001</v>
      </c>
      <c r="K25" s="55">
        <v>29.538399999999999</v>
      </c>
      <c r="L25" s="55">
        <v>20.269649999999999</v>
      </c>
      <c r="M25" s="55">
        <v>30.86046</v>
      </c>
      <c r="N25" s="55">
        <v>23.255559999999999</v>
      </c>
      <c r="O25" s="55">
        <v>4.9406564584124654E-324</v>
      </c>
      <c r="P25" s="56">
        <v>403.22037999999998</v>
      </c>
      <c r="Q25" s="96">
        <v>0.93562577343499997</v>
      </c>
    </row>
    <row r="26" spans="1:17" ht="14.4" customHeight="1" x14ac:dyDescent="0.3">
      <c r="A26" s="15" t="s">
        <v>53</v>
      </c>
      <c r="B26" s="51">
        <v>43</v>
      </c>
      <c r="C26" s="52">
        <v>3.583333333333</v>
      </c>
      <c r="D26" s="52">
        <v>2.7924500000000001</v>
      </c>
      <c r="E26" s="52">
        <v>1.87652</v>
      </c>
      <c r="F26" s="52">
        <v>2.4277899999999999</v>
      </c>
      <c r="G26" s="52">
        <v>3.0412599999999999</v>
      </c>
      <c r="H26" s="52">
        <v>2.8412199999999999</v>
      </c>
      <c r="I26" s="52">
        <v>2.6600299999999999</v>
      </c>
      <c r="J26" s="52">
        <v>6.2210000000000001</v>
      </c>
      <c r="K26" s="52">
        <v>2.8156300000000001</v>
      </c>
      <c r="L26" s="52">
        <v>2.5790799999999998</v>
      </c>
      <c r="M26" s="52">
        <v>3.0734300000000001</v>
      </c>
      <c r="N26" s="52">
        <v>3.0309900000000001</v>
      </c>
      <c r="O26" s="52">
        <v>4.9406564584124654E-324</v>
      </c>
      <c r="P26" s="53">
        <v>33.359400000000001</v>
      </c>
      <c r="Q26" s="95">
        <v>0.84632727272700004</v>
      </c>
    </row>
    <row r="27" spans="1:17" ht="14.4" customHeight="1" x14ac:dyDescent="0.3">
      <c r="A27" s="18" t="s">
        <v>54</v>
      </c>
      <c r="B27" s="54">
        <v>513.14179244643196</v>
      </c>
      <c r="C27" s="55">
        <v>42.761816037202003</v>
      </c>
      <c r="D27" s="55">
        <v>43.815010000000001</v>
      </c>
      <c r="E27" s="55">
        <v>35.211150000000004</v>
      </c>
      <c r="F27" s="55">
        <v>43.858199999999997</v>
      </c>
      <c r="G27" s="55">
        <v>41.508180000000003</v>
      </c>
      <c r="H27" s="55">
        <v>44.475169999999999</v>
      </c>
      <c r="I27" s="55">
        <v>78.639970000000005</v>
      </c>
      <c r="J27" s="55">
        <v>33.648899999999998</v>
      </c>
      <c r="K27" s="55">
        <v>32.354030000000002</v>
      </c>
      <c r="L27" s="55">
        <v>22.84873</v>
      </c>
      <c r="M27" s="55">
        <v>33.933889999999998</v>
      </c>
      <c r="N27" s="55">
        <v>26.286549999999998</v>
      </c>
      <c r="O27" s="55">
        <v>9.8813129168249309E-324</v>
      </c>
      <c r="P27" s="56">
        <v>436.57978000000003</v>
      </c>
      <c r="Q27" s="96">
        <v>0.92814278220900004</v>
      </c>
    </row>
    <row r="28" spans="1:17" ht="14.4" customHeight="1" x14ac:dyDescent="0.3">
      <c r="A28" s="16" t="s">
        <v>55</v>
      </c>
      <c r="B28" s="51">
        <v>1.2351641146031164E-322</v>
      </c>
      <c r="C28" s="52">
        <v>0</v>
      </c>
      <c r="D28" s="52">
        <v>1.2351641146031164E-322</v>
      </c>
      <c r="E28" s="52">
        <v>1.2351641146031164E-322</v>
      </c>
      <c r="F28" s="52">
        <v>1.2351641146031164E-322</v>
      </c>
      <c r="G28" s="52">
        <v>1.2351641146031164E-322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1.358680526063428E-321</v>
      </c>
      <c r="Q28" s="95">
        <v>0</v>
      </c>
    </row>
    <row r="29" spans="1:17" ht="14.4" customHeight="1" x14ac:dyDescent="0.3">
      <c r="A29" s="16" t="s">
        <v>56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1.0869444208507424E-322</v>
      </c>
      <c r="Q29" s="95" t="s">
        <v>245</v>
      </c>
    </row>
    <row r="30" spans="1:17" ht="14.4" customHeight="1" x14ac:dyDescent="0.3">
      <c r="A30" s="16" t="s">
        <v>57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5.434722104253712E-322</v>
      </c>
      <c r="Q30" s="95">
        <v>0</v>
      </c>
    </row>
    <row r="31" spans="1:17" ht="14.4" customHeight="1" thickBot="1" x14ac:dyDescent="0.35">
      <c r="A31" s="19" t="s">
        <v>58</v>
      </c>
      <c r="B31" s="57">
        <v>2.4703282292062327E-323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2.717361052126856E-322</v>
      </c>
      <c r="Q31" s="97" t="s">
        <v>245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153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177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59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5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0" t="s">
        <v>60</v>
      </c>
      <c r="B1" s="330"/>
      <c r="C1" s="330"/>
      <c r="D1" s="330"/>
      <c r="E1" s="330"/>
      <c r="F1" s="330"/>
      <c r="G1" s="330"/>
      <c r="H1" s="335"/>
      <c r="I1" s="335"/>
      <c r="J1" s="335"/>
      <c r="K1" s="335"/>
    </row>
    <row r="2" spans="1:11" s="60" customFormat="1" ht="14.4" customHeight="1" thickBot="1" x14ac:dyDescent="0.35">
      <c r="A2" s="231" t="s">
        <v>244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1" t="s">
        <v>61</v>
      </c>
      <c r="C3" s="332"/>
      <c r="D3" s="332"/>
      <c r="E3" s="332"/>
      <c r="F3" s="338" t="s">
        <v>62</v>
      </c>
      <c r="G3" s="332"/>
      <c r="H3" s="332"/>
      <c r="I3" s="332"/>
      <c r="J3" s="332"/>
      <c r="K3" s="339"/>
    </row>
    <row r="4" spans="1:11" ht="14.4" customHeight="1" x14ac:dyDescent="0.3">
      <c r="A4" s="77"/>
      <c r="B4" s="336"/>
      <c r="C4" s="337"/>
      <c r="D4" s="337"/>
      <c r="E4" s="337"/>
      <c r="F4" s="340" t="s">
        <v>173</v>
      </c>
      <c r="G4" s="342" t="s">
        <v>63</v>
      </c>
      <c r="H4" s="141" t="s">
        <v>137</v>
      </c>
      <c r="I4" s="340" t="s">
        <v>64</v>
      </c>
      <c r="J4" s="342" t="s">
        <v>175</v>
      </c>
      <c r="K4" s="343" t="s">
        <v>176</v>
      </c>
    </row>
    <row r="5" spans="1:11" ht="42" thickBot="1" x14ac:dyDescent="0.35">
      <c r="A5" s="78"/>
      <c r="B5" s="24" t="s">
        <v>169</v>
      </c>
      <c r="C5" s="25" t="s">
        <v>170</v>
      </c>
      <c r="D5" s="26" t="s">
        <v>171</v>
      </c>
      <c r="E5" s="26" t="s">
        <v>172</v>
      </c>
      <c r="F5" s="341"/>
      <c r="G5" s="341"/>
      <c r="H5" s="25" t="s">
        <v>174</v>
      </c>
      <c r="I5" s="341"/>
      <c r="J5" s="341"/>
      <c r="K5" s="344"/>
    </row>
    <row r="6" spans="1:11" ht="14.4" customHeight="1" thickBot="1" x14ac:dyDescent="0.35">
      <c r="A6" s="445" t="s">
        <v>247</v>
      </c>
      <c r="B6" s="429">
        <v>4.9406564584124654E-324</v>
      </c>
      <c r="C6" s="429">
        <v>4.9406564584124654E-324</v>
      </c>
      <c r="D6" s="430">
        <v>0</v>
      </c>
      <c r="E6" s="431">
        <v>1</v>
      </c>
      <c r="F6" s="429">
        <v>470.14179244643202</v>
      </c>
      <c r="G6" s="430">
        <v>430.96330974256301</v>
      </c>
      <c r="H6" s="432">
        <v>23.255559999999999</v>
      </c>
      <c r="I6" s="429">
        <v>403.22037999999998</v>
      </c>
      <c r="J6" s="430">
        <v>-27.742929742562001</v>
      </c>
      <c r="K6" s="433">
        <v>0.85765695898200001</v>
      </c>
    </row>
    <row r="7" spans="1:11" ht="14.4" customHeight="1" thickBot="1" x14ac:dyDescent="0.35">
      <c r="A7" s="446" t="s">
        <v>248</v>
      </c>
      <c r="B7" s="429">
        <v>4.9406564584124654E-324</v>
      </c>
      <c r="C7" s="429">
        <v>4.9406564584124654E-324</v>
      </c>
      <c r="D7" s="430">
        <v>0</v>
      </c>
      <c r="E7" s="431">
        <v>1</v>
      </c>
      <c r="F7" s="429">
        <v>470.14179244643202</v>
      </c>
      <c r="G7" s="430">
        <v>430.96330974256301</v>
      </c>
      <c r="H7" s="432">
        <v>23.15156</v>
      </c>
      <c r="I7" s="429">
        <v>397.18642</v>
      </c>
      <c r="J7" s="430">
        <v>-33.776889742561998</v>
      </c>
      <c r="K7" s="433">
        <v>0.84482261815699999</v>
      </c>
    </row>
    <row r="8" spans="1:11" ht="14.4" customHeight="1" thickBot="1" x14ac:dyDescent="0.35">
      <c r="A8" s="447" t="s">
        <v>249</v>
      </c>
      <c r="B8" s="429">
        <v>4.9406564584124654E-324</v>
      </c>
      <c r="C8" s="429">
        <v>4.9406564584124654E-324</v>
      </c>
      <c r="D8" s="430">
        <v>0</v>
      </c>
      <c r="E8" s="431">
        <v>1</v>
      </c>
      <c r="F8" s="429">
        <v>451.81306277650702</v>
      </c>
      <c r="G8" s="430">
        <v>414.161974211798</v>
      </c>
      <c r="H8" s="432">
        <v>21.301559999999998</v>
      </c>
      <c r="I8" s="429">
        <v>382.67142000000001</v>
      </c>
      <c r="J8" s="430">
        <v>-31.490554211797001</v>
      </c>
      <c r="K8" s="433">
        <v>0.84696847330699998</v>
      </c>
    </row>
    <row r="9" spans="1:11" ht="14.4" customHeight="1" thickBot="1" x14ac:dyDescent="0.35">
      <c r="A9" s="448" t="s">
        <v>250</v>
      </c>
      <c r="B9" s="434">
        <v>4.9406564584124654E-324</v>
      </c>
      <c r="C9" s="434">
        <v>4.9406564584124654E-324</v>
      </c>
      <c r="D9" s="435">
        <v>0</v>
      </c>
      <c r="E9" s="436">
        <v>1</v>
      </c>
      <c r="F9" s="434">
        <v>4.9406564584124654E-324</v>
      </c>
      <c r="G9" s="435">
        <v>0</v>
      </c>
      <c r="H9" s="437">
        <v>4.9406564584124654E-324</v>
      </c>
      <c r="I9" s="434">
        <v>2.7999999999999998E-4</v>
      </c>
      <c r="J9" s="435">
        <v>2.7999999999999998E-4</v>
      </c>
      <c r="K9" s="438" t="s">
        <v>251</v>
      </c>
    </row>
    <row r="10" spans="1:11" ht="14.4" customHeight="1" thickBot="1" x14ac:dyDescent="0.35">
      <c r="A10" s="449" t="s">
        <v>252</v>
      </c>
      <c r="B10" s="429">
        <v>4.9406564584124654E-324</v>
      </c>
      <c r="C10" s="429">
        <v>4.9406564584124654E-324</v>
      </c>
      <c r="D10" s="430">
        <v>0</v>
      </c>
      <c r="E10" s="431">
        <v>1</v>
      </c>
      <c r="F10" s="429">
        <v>4.9406564584124654E-324</v>
      </c>
      <c r="G10" s="430">
        <v>0</v>
      </c>
      <c r="H10" s="432">
        <v>4.9406564584124654E-324</v>
      </c>
      <c r="I10" s="429">
        <v>2.7999999999999998E-4</v>
      </c>
      <c r="J10" s="430">
        <v>2.7999999999999998E-4</v>
      </c>
      <c r="K10" s="439" t="s">
        <v>251</v>
      </c>
    </row>
    <row r="11" spans="1:11" ht="14.4" customHeight="1" thickBot="1" x14ac:dyDescent="0.35">
      <c r="A11" s="448" t="s">
        <v>253</v>
      </c>
      <c r="B11" s="434">
        <v>4.9406564584124654E-324</v>
      </c>
      <c r="C11" s="434">
        <v>4.9406564584124654E-324</v>
      </c>
      <c r="D11" s="435">
        <v>0</v>
      </c>
      <c r="E11" s="436">
        <v>1</v>
      </c>
      <c r="F11" s="434">
        <v>444.81310161143398</v>
      </c>
      <c r="G11" s="435">
        <v>407.74534314381401</v>
      </c>
      <c r="H11" s="437">
        <v>21.129729999999999</v>
      </c>
      <c r="I11" s="434">
        <v>379.71944000000002</v>
      </c>
      <c r="J11" s="435">
        <v>-28.025903143813998</v>
      </c>
      <c r="K11" s="440">
        <v>0.853660646739</v>
      </c>
    </row>
    <row r="12" spans="1:11" ht="14.4" customHeight="1" thickBot="1" x14ac:dyDescent="0.35">
      <c r="A12" s="449" t="s">
        <v>254</v>
      </c>
      <c r="B12" s="429">
        <v>4.9406564584124654E-324</v>
      </c>
      <c r="C12" s="429">
        <v>4.9406564584124654E-324</v>
      </c>
      <c r="D12" s="430">
        <v>0</v>
      </c>
      <c r="E12" s="431">
        <v>1</v>
      </c>
      <c r="F12" s="429">
        <v>23.442229502671999</v>
      </c>
      <c r="G12" s="430">
        <v>21.488710377448999</v>
      </c>
      <c r="H12" s="432">
        <v>1.04145</v>
      </c>
      <c r="I12" s="429">
        <v>16.543959999999998</v>
      </c>
      <c r="J12" s="430">
        <v>-4.944750377449</v>
      </c>
      <c r="K12" s="433">
        <v>0.70573321526900001</v>
      </c>
    </row>
    <row r="13" spans="1:11" ht="14.4" customHeight="1" thickBot="1" x14ac:dyDescent="0.35">
      <c r="A13" s="449" t="s">
        <v>255</v>
      </c>
      <c r="B13" s="429">
        <v>4.9406564584124654E-324</v>
      </c>
      <c r="C13" s="429">
        <v>4.9406564584124654E-324</v>
      </c>
      <c r="D13" s="430">
        <v>0</v>
      </c>
      <c r="E13" s="431">
        <v>1</v>
      </c>
      <c r="F13" s="429">
        <v>316.76570576605297</v>
      </c>
      <c r="G13" s="430">
        <v>290.36856361888198</v>
      </c>
      <c r="H13" s="432">
        <v>12.771660000000001</v>
      </c>
      <c r="I13" s="429">
        <v>280.08735999999999</v>
      </c>
      <c r="J13" s="430">
        <v>-10.281203618880999</v>
      </c>
      <c r="K13" s="433">
        <v>0.88420985890000003</v>
      </c>
    </row>
    <row r="14" spans="1:11" ht="14.4" customHeight="1" thickBot="1" x14ac:dyDescent="0.35">
      <c r="A14" s="449" t="s">
        <v>256</v>
      </c>
      <c r="B14" s="429">
        <v>4.9406564584124654E-324</v>
      </c>
      <c r="C14" s="429">
        <v>4.9406564584124654E-324</v>
      </c>
      <c r="D14" s="430">
        <v>0</v>
      </c>
      <c r="E14" s="431">
        <v>1</v>
      </c>
      <c r="F14" s="429">
        <v>53.611599617282003</v>
      </c>
      <c r="G14" s="430">
        <v>49.143966315842</v>
      </c>
      <c r="H14" s="432">
        <v>5.2055199999999999</v>
      </c>
      <c r="I14" s="429">
        <v>45.231819999999999</v>
      </c>
      <c r="J14" s="430">
        <v>-3.9121463158409999</v>
      </c>
      <c r="K14" s="433">
        <v>0.84369465419599998</v>
      </c>
    </row>
    <row r="15" spans="1:11" ht="14.4" customHeight="1" thickBot="1" x14ac:dyDescent="0.35">
      <c r="A15" s="449" t="s">
        <v>257</v>
      </c>
      <c r="B15" s="429">
        <v>4.9406564584124654E-324</v>
      </c>
      <c r="C15" s="429">
        <v>4.9406564584124654E-324</v>
      </c>
      <c r="D15" s="430">
        <v>0</v>
      </c>
      <c r="E15" s="431">
        <v>1</v>
      </c>
      <c r="F15" s="429">
        <v>17.127162774807001</v>
      </c>
      <c r="G15" s="430">
        <v>15.699899210239</v>
      </c>
      <c r="H15" s="432">
        <v>7.6799999999999993E-2</v>
      </c>
      <c r="I15" s="429">
        <v>11.99492</v>
      </c>
      <c r="J15" s="430">
        <v>-3.7049792102389998</v>
      </c>
      <c r="K15" s="433">
        <v>0.70034483572700001</v>
      </c>
    </row>
    <row r="16" spans="1:11" ht="14.4" customHeight="1" thickBot="1" x14ac:dyDescent="0.35">
      <c r="A16" s="449" t="s">
        <v>258</v>
      </c>
      <c r="B16" s="429">
        <v>4.9406564584124654E-324</v>
      </c>
      <c r="C16" s="429">
        <v>4.9406564584124654E-324</v>
      </c>
      <c r="D16" s="430">
        <v>0</v>
      </c>
      <c r="E16" s="431">
        <v>1</v>
      </c>
      <c r="F16" s="429">
        <v>15.217297548743</v>
      </c>
      <c r="G16" s="430">
        <v>13.949189419681</v>
      </c>
      <c r="H16" s="432">
        <v>2.0343</v>
      </c>
      <c r="I16" s="429">
        <v>11.973599999999999</v>
      </c>
      <c r="J16" s="430">
        <v>-1.975589419681</v>
      </c>
      <c r="K16" s="433">
        <v>0.78684141922299999</v>
      </c>
    </row>
    <row r="17" spans="1:11" ht="14.4" customHeight="1" thickBot="1" x14ac:dyDescent="0.35">
      <c r="A17" s="449" t="s">
        <v>259</v>
      </c>
      <c r="B17" s="429">
        <v>4.9406564584124654E-324</v>
      </c>
      <c r="C17" s="429">
        <v>4.9406564584124654E-324</v>
      </c>
      <c r="D17" s="430">
        <v>0</v>
      </c>
      <c r="E17" s="431">
        <v>1</v>
      </c>
      <c r="F17" s="429">
        <v>18.649106401874</v>
      </c>
      <c r="G17" s="430">
        <v>17.095014201718001</v>
      </c>
      <c r="H17" s="432">
        <v>4.9406564584124654E-324</v>
      </c>
      <c r="I17" s="429">
        <v>13.887779999999999</v>
      </c>
      <c r="J17" s="430">
        <v>-3.2072342017180002</v>
      </c>
      <c r="K17" s="433">
        <v>0.74468876420800001</v>
      </c>
    </row>
    <row r="18" spans="1:11" ht="14.4" customHeight="1" thickBot="1" x14ac:dyDescent="0.35">
      <c r="A18" s="448" t="s">
        <v>260</v>
      </c>
      <c r="B18" s="434">
        <v>4.9406564584124654E-324</v>
      </c>
      <c r="C18" s="434">
        <v>4.9406564584124654E-324</v>
      </c>
      <c r="D18" s="435">
        <v>0</v>
      </c>
      <c r="E18" s="436">
        <v>1</v>
      </c>
      <c r="F18" s="434">
        <v>6.9999611650729996</v>
      </c>
      <c r="G18" s="435">
        <v>6.4166310679830003</v>
      </c>
      <c r="H18" s="437">
        <v>0.17183000000000001</v>
      </c>
      <c r="I18" s="434">
        <v>2.9517000000000002</v>
      </c>
      <c r="J18" s="435">
        <v>-3.4649310679830001</v>
      </c>
      <c r="K18" s="440">
        <v>0.42167376795200001</v>
      </c>
    </row>
    <row r="19" spans="1:11" ht="14.4" customHeight="1" thickBot="1" x14ac:dyDescent="0.35">
      <c r="A19" s="449" t="s">
        <v>261</v>
      </c>
      <c r="B19" s="429">
        <v>4.9406564584124654E-324</v>
      </c>
      <c r="C19" s="429">
        <v>4.9406564584124654E-324</v>
      </c>
      <c r="D19" s="430">
        <v>0</v>
      </c>
      <c r="E19" s="431">
        <v>1</v>
      </c>
      <c r="F19" s="429">
        <v>6.9999611650729996</v>
      </c>
      <c r="G19" s="430">
        <v>6.4166310679830003</v>
      </c>
      <c r="H19" s="432">
        <v>0.17183000000000001</v>
      </c>
      <c r="I19" s="429">
        <v>2.9517000000000002</v>
      </c>
      <c r="J19" s="430">
        <v>-3.4649310679830001</v>
      </c>
      <c r="K19" s="433">
        <v>0.42167376795200001</v>
      </c>
    </row>
    <row r="20" spans="1:11" ht="14.4" customHeight="1" thickBot="1" x14ac:dyDescent="0.35">
      <c r="A20" s="447" t="s">
        <v>41</v>
      </c>
      <c r="B20" s="429">
        <v>4.9406564584124654E-324</v>
      </c>
      <c r="C20" s="429">
        <v>4.9406564584124654E-324</v>
      </c>
      <c r="D20" s="430">
        <v>0</v>
      </c>
      <c r="E20" s="431">
        <v>1</v>
      </c>
      <c r="F20" s="429">
        <v>18.328729669924002</v>
      </c>
      <c r="G20" s="430">
        <v>16.801335530764</v>
      </c>
      <c r="H20" s="432">
        <v>1.85</v>
      </c>
      <c r="I20" s="429">
        <v>14.515000000000001</v>
      </c>
      <c r="J20" s="430">
        <v>-2.2863355307640001</v>
      </c>
      <c r="K20" s="433">
        <v>0.79192613243700005</v>
      </c>
    </row>
    <row r="21" spans="1:11" ht="14.4" customHeight="1" thickBot="1" x14ac:dyDescent="0.35">
      <c r="A21" s="448" t="s">
        <v>262</v>
      </c>
      <c r="B21" s="434">
        <v>4.9406564584124654E-324</v>
      </c>
      <c r="C21" s="434">
        <v>4.9406564584124654E-324</v>
      </c>
      <c r="D21" s="435">
        <v>0</v>
      </c>
      <c r="E21" s="436">
        <v>1</v>
      </c>
      <c r="F21" s="434">
        <v>18.328729669924002</v>
      </c>
      <c r="G21" s="435">
        <v>16.801335530764</v>
      </c>
      <c r="H21" s="437">
        <v>1.85</v>
      </c>
      <c r="I21" s="434">
        <v>14.515000000000001</v>
      </c>
      <c r="J21" s="435">
        <v>-2.2863355307640001</v>
      </c>
      <c r="K21" s="440">
        <v>0.79192613243700005</v>
      </c>
    </row>
    <row r="22" spans="1:11" ht="14.4" customHeight="1" thickBot="1" x14ac:dyDescent="0.35">
      <c r="A22" s="449" t="s">
        <v>263</v>
      </c>
      <c r="B22" s="429">
        <v>4.9406564584124654E-324</v>
      </c>
      <c r="C22" s="429">
        <v>4.9406564584124654E-324</v>
      </c>
      <c r="D22" s="430">
        <v>0</v>
      </c>
      <c r="E22" s="431">
        <v>1</v>
      </c>
      <c r="F22" s="429">
        <v>18.328729669924002</v>
      </c>
      <c r="G22" s="430">
        <v>16.801335530764</v>
      </c>
      <c r="H22" s="432">
        <v>1.85</v>
      </c>
      <c r="I22" s="429">
        <v>14.515000000000001</v>
      </c>
      <c r="J22" s="430">
        <v>-2.2863355307640001</v>
      </c>
      <c r="K22" s="433">
        <v>0.79192613243700005</v>
      </c>
    </row>
    <row r="23" spans="1:11" ht="14.4" customHeight="1" thickBot="1" x14ac:dyDescent="0.35">
      <c r="A23" s="450" t="s">
        <v>264</v>
      </c>
      <c r="B23" s="434">
        <v>4.9406564584124654E-324</v>
      </c>
      <c r="C23" s="434">
        <v>4.9406564584124654E-324</v>
      </c>
      <c r="D23" s="435">
        <v>0</v>
      </c>
      <c r="E23" s="436">
        <v>1</v>
      </c>
      <c r="F23" s="434">
        <v>4.9406564584124654E-324</v>
      </c>
      <c r="G23" s="435">
        <v>0</v>
      </c>
      <c r="H23" s="437">
        <v>0.104</v>
      </c>
      <c r="I23" s="434">
        <v>2.3019699999999998</v>
      </c>
      <c r="J23" s="435">
        <v>2.3019699999999998</v>
      </c>
      <c r="K23" s="438" t="s">
        <v>251</v>
      </c>
    </row>
    <row r="24" spans="1:11" ht="14.4" customHeight="1" thickBot="1" x14ac:dyDescent="0.35">
      <c r="A24" s="447" t="s">
        <v>46</v>
      </c>
      <c r="B24" s="429">
        <v>4.9406564584124654E-324</v>
      </c>
      <c r="C24" s="429">
        <v>4.9406564584124654E-324</v>
      </c>
      <c r="D24" s="430">
        <v>0</v>
      </c>
      <c r="E24" s="431">
        <v>1</v>
      </c>
      <c r="F24" s="429">
        <v>4.9406564584124654E-324</v>
      </c>
      <c r="G24" s="430">
        <v>0</v>
      </c>
      <c r="H24" s="432">
        <v>0.104</v>
      </c>
      <c r="I24" s="429">
        <v>2.3019699999999998</v>
      </c>
      <c r="J24" s="430">
        <v>2.3019699999999998</v>
      </c>
      <c r="K24" s="439" t="s">
        <v>251</v>
      </c>
    </row>
    <row r="25" spans="1:11" ht="14.4" customHeight="1" thickBot="1" x14ac:dyDescent="0.35">
      <c r="A25" s="448" t="s">
        <v>265</v>
      </c>
      <c r="B25" s="434">
        <v>4.9406564584124654E-324</v>
      </c>
      <c r="C25" s="434">
        <v>4.9406564584124654E-324</v>
      </c>
      <c r="D25" s="435">
        <v>0</v>
      </c>
      <c r="E25" s="436">
        <v>1</v>
      </c>
      <c r="F25" s="434">
        <v>4.9406564584124654E-324</v>
      </c>
      <c r="G25" s="435">
        <v>0</v>
      </c>
      <c r="H25" s="437">
        <v>0.104</v>
      </c>
      <c r="I25" s="434">
        <v>0.31</v>
      </c>
      <c r="J25" s="435">
        <v>0.31</v>
      </c>
      <c r="K25" s="438" t="s">
        <v>251</v>
      </c>
    </row>
    <row r="26" spans="1:11" ht="14.4" customHeight="1" thickBot="1" x14ac:dyDescent="0.35">
      <c r="A26" s="449" t="s">
        <v>266</v>
      </c>
      <c r="B26" s="429">
        <v>4.9406564584124654E-324</v>
      </c>
      <c r="C26" s="429">
        <v>4.9406564584124654E-324</v>
      </c>
      <c r="D26" s="430">
        <v>0</v>
      </c>
      <c r="E26" s="431">
        <v>1</v>
      </c>
      <c r="F26" s="429">
        <v>4.9406564584124654E-324</v>
      </c>
      <c r="G26" s="430">
        <v>0</v>
      </c>
      <c r="H26" s="432">
        <v>0.104</v>
      </c>
      <c r="I26" s="429">
        <v>0.31</v>
      </c>
      <c r="J26" s="430">
        <v>0.31</v>
      </c>
      <c r="K26" s="439" t="s">
        <v>251</v>
      </c>
    </row>
    <row r="27" spans="1:11" ht="14.4" customHeight="1" thickBot="1" x14ac:dyDescent="0.35">
      <c r="A27" s="448" t="s">
        <v>267</v>
      </c>
      <c r="B27" s="434">
        <v>4.9406564584124654E-324</v>
      </c>
      <c r="C27" s="434">
        <v>4.9406564584124654E-324</v>
      </c>
      <c r="D27" s="435">
        <v>0</v>
      </c>
      <c r="E27" s="436">
        <v>1</v>
      </c>
      <c r="F27" s="434">
        <v>4.9406564584124654E-324</v>
      </c>
      <c r="G27" s="435">
        <v>0</v>
      </c>
      <c r="H27" s="437">
        <v>4.9406564584124654E-324</v>
      </c>
      <c r="I27" s="434">
        <v>1.99197</v>
      </c>
      <c r="J27" s="435">
        <v>1.99197</v>
      </c>
      <c r="K27" s="438" t="s">
        <v>251</v>
      </c>
    </row>
    <row r="28" spans="1:11" ht="14.4" customHeight="1" thickBot="1" x14ac:dyDescent="0.35">
      <c r="A28" s="449" t="s">
        <v>268</v>
      </c>
      <c r="B28" s="429">
        <v>4.9406564584124654E-324</v>
      </c>
      <c r="C28" s="429">
        <v>4.9406564584124654E-324</v>
      </c>
      <c r="D28" s="430">
        <v>0</v>
      </c>
      <c r="E28" s="431">
        <v>1</v>
      </c>
      <c r="F28" s="429">
        <v>4.9406564584124654E-324</v>
      </c>
      <c r="G28" s="430">
        <v>0</v>
      </c>
      <c r="H28" s="432">
        <v>4.9406564584124654E-324</v>
      </c>
      <c r="I28" s="429">
        <v>1.99197</v>
      </c>
      <c r="J28" s="430">
        <v>1.99197</v>
      </c>
      <c r="K28" s="439" t="s">
        <v>251</v>
      </c>
    </row>
    <row r="29" spans="1:11" ht="14.4" customHeight="1" thickBot="1" x14ac:dyDescent="0.35">
      <c r="A29" s="446" t="s">
        <v>269</v>
      </c>
      <c r="B29" s="429">
        <v>4.9406564584124654E-324</v>
      </c>
      <c r="C29" s="429">
        <v>4.9406564584124654E-324</v>
      </c>
      <c r="D29" s="430">
        <v>0</v>
      </c>
      <c r="E29" s="431">
        <v>1</v>
      </c>
      <c r="F29" s="429">
        <v>4.9406564584124654E-324</v>
      </c>
      <c r="G29" s="430">
        <v>0</v>
      </c>
      <c r="H29" s="432">
        <v>4.9406564584124654E-324</v>
      </c>
      <c r="I29" s="429">
        <v>3.7319900000000001</v>
      </c>
      <c r="J29" s="430">
        <v>3.7319900000000001</v>
      </c>
      <c r="K29" s="439" t="s">
        <v>251</v>
      </c>
    </row>
    <row r="30" spans="1:11" ht="14.4" customHeight="1" thickBot="1" x14ac:dyDescent="0.35">
      <c r="A30" s="447" t="s">
        <v>270</v>
      </c>
      <c r="B30" s="429">
        <v>4.9406564584124654E-324</v>
      </c>
      <c r="C30" s="429">
        <v>4.9406564584124654E-324</v>
      </c>
      <c r="D30" s="430">
        <v>0</v>
      </c>
      <c r="E30" s="431">
        <v>1</v>
      </c>
      <c r="F30" s="429">
        <v>4.9406564584124654E-324</v>
      </c>
      <c r="G30" s="430">
        <v>0</v>
      </c>
      <c r="H30" s="432">
        <v>4.9406564584124654E-324</v>
      </c>
      <c r="I30" s="429">
        <v>3.7319900000000001</v>
      </c>
      <c r="J30" s="430">
        <v>3.7319900000000001</v>
      </c>
      <c r="K30" s="439" t="s">
        <v>251</v>
      </c>
    </row>
    <row r="31" spans="1:11" ht="14.4" customHeight="1" thickBot="1" x14ac:dyDescent="0.35">
      <c r="A31" s="448" t="s">
        <v>271</v>
      </c>
      <c r="B31" s="434">
        <v>4.9406564584124654E-324</v>
      </c>
      <c r="C31" s="434">
        <v>4.9406564584124654E-324</v>
      </c>
      <c r="D31" s="435">
        <v>0</v>
      </c>
      <c r="E31" s="436">
        <v>1</v>
      </c>
      <c r="F31" s="434">
        <v>4.9406564584124654E-324</v>
      </c>
      <c r="G31" s="435">
        <v>0</v>
      </c>
      <c r="H31" s="437">
        <v>4.9406564584124654E-324</v>
      </c>
      <c r="I31" s="434">
        <v>3.7319900000000001</v>
      </c>
      <c r="J31" s="435">
        <v>3.7319900000000001</v>
      </c>
      <c r="K31" s="438" t="s">
        <v>251</v>
      </c>
    </row>
    <row r="32" spans="1:11" ht="14.4" customHeight="1" thickBot="1" x14ac:dyDescent="0.35">
      <c r="A32" s="449" t="s">
        <v>272</v>
      </c>
      <c r="B32" s="429">
        <v>4.9406564584124654E-324</v>
      </c>
      <c r="C32" s="429">
        <v>4.9406564584124654E-324</v>
      </c>
      <c r="D32" s="430">
        <v>0</v>
      </c>
      <c r="E32" s="431">
        <v>1</v>
      </c>
      <c r="F32" s="429">
        <v>4.9406564584124654E-324</v>
      </c>
      <c r="G32" s="430">
        <v>0</v>
      </c>
      <c r="H32" s="432">
        <v>4.9406564584124654E-324</v>
      </c>
      <c r="I32" s="429">
        <v>3.7319900000000001</v>
      </c>
      <c r="J32" s="430">
        <v>3.7319900000000001</v>
      </c>
      <c r="K32" s="439" t="s">
        <v>251</v>
      </c>
    </row>
    <row r="33" spans="1:11" ht="14.4" customHeight="1" thickBot="1" x14ac:dyDescent="0.35">
      <c r="A33" s="445" t="s">
        <v>273</v>
      </c>
      <c r="B33" s="429">
        <v>4.9406564584124654E-324</v>
      </c>
      <c r="C33" s="429">
        <v>4.9406564584124654E-324</v>
      </c>
      <c r="D33" s="430">
        <v>0</v>
      </c>
      <c r="E33" s="431">
        <v>1</v>
      </c>
      <c r="F33" s="429">
        <v>4.9406564584124654E-324</v>
      </c>
      <c r="G33" s="430">
        <v>0</v>
      </c>
      <c r="H33" s="432">
        <v>93.801100000000005</v>
      </c>
      <c r="I33" s="429">
        <v>1123.4732200000001</v>
      </c>
      <c r="J33" s="430">
        <v>1123.4732200000001</v>
      </c>
      <c r="K33" s="439" t="s">
        <v>251</v>
      </c>
    </row>
    <row r="34" spans="1:11" ht="14.4" customHeight="1" thickBot="1" x14ac:dyDescent="0.35">
      <c r="A34" s="446" t="s">
        <v>274</v>
      </c>
      <c r="B34" s="429">
        <v>4.9406564584124654E-324</v>
      </c>
      <c r="C34" s="429">
        <v>4.9406564584124654E-324</v>
      </c>
      <c r="D34" s="430">
        <v>0</v>
      </c>
      <c r="E34" s="431">
        <v>1</v>
      </c>
      <c r="F34" s="429">
        <v>4.9406564584124654E-324</v>
      </c>
      <c r="G34" s="430">
        <v>0</v>
      </c>
      <c r="H34" s="432">
        <v>93.801100000000005</v>
      </c>
      <c r="I34" s="429">
        <v>1123.4732200000001</v>
      </c>
      <c r="J34" s="430">
        <v>1123.4732200000001</v>
      </c>
      <c r="K34" s="439" t="s">
        <v>251</v>
      </c>
    </row>
    <row r="35" spans="1:11" ht="14.4" customHeight="1" thickBot="1" x14ac:dyDescent="0.35">
      <c r="A35" s="447" t="s">
        <v>275</v>
      </c>
      <c r="B35" s="429">
        <v>4.9406564584124654E-324</v>
      </c>
      <c r="C35" s="429">
        <v>4.9406564584124654E-324</v>
      </c>
      <c r="D35" s="430">
        <v>0</v>
      </c>
      <c r="E35" s="431">
        <v>1</v>
      </c>
      <c r="F35" s="429">
        <v>4.9406564584124654E-324</v>
      </c>
      <c r="G35" s="430">
        <v>0</v>
      </c>
      <c r="H35" s="432">
        <v>93.801100000000005</v>
      </c>
      <c r="I35" s="429">
        <v>1123.4732200000001</v>
      </c>
      <c r="J35" s="430">
        <v>1123.4732200000001</v>
      </c>
      <c r="K35" s="439" t="s">
        <v>251</v>
      </c>
    </row>
    <row r="36" spans="1:11" ht="14.4" customHeight="1" thickBot="1" x14ac:dyDescent="0.35">
      <c r="A36" s="448" t="s">
        <v>276</v>
      </c>
      <c r="B36" s="434">
        <v>4.9406564584124654E-324</v>
      </c>
      <c r="C36" s="434">
        <v>4.9406564584124654E-324</v>
      </c>
      <c r="D36" s="435">
        <v>0</v>
      </c>
      <c r="E36" s="436">
        <v>1</v>
      </c>
      <c r="F36" s="434">
        <v>4.9406564584124654E-324</v>
      </c>
      <c r="G36" s="435">
        <v>0</v>
      </c>
      <c r="H36" s="437">
        <v>0.24790999999999999</v>
      </c>
      <c r="I36" s="434">
        <v>1.21783</v>
      </c>
      <c r="J36" s="435">
        <v>1.21783</v>
      </c>
      <c r="K36" s="438" t="s">
        <v>251</v>
      </c>
    </row>
    <row r="37" spans="1:11" ht="14.4" customHeight="1" thickBot="1" x14ac:dyDescent="0.35">
      <c r="A37" s="449" t="s">
        <v>277</v>
      </c>
      <c r="B37" s="429">
        <v>4.9406564584124654E-324</v>
      </c>
      <c r="C37" s="429">
        <v>4.9406564584124654E-324</v>
      </c>
      <c r="D37" s="430">
        <v>0</v>
      </c>
      <c r="E37" s="431">
        <v>1</v>
      </c>
      <c r="F37" s="429">
        <v>4.9406564584124654E-324</v>
      </c>
      <c r="G37" s="430">
        <v>0</v>
      </c>
      <c r="H37" s="432">
        <v>0.24790999999999999</v>
      </c>
      <c r="I37" s="429">
        <v>1.21783</v>
      </c>
      <c r="J37" s="430">
        <v>1.21783</v>
      </c>
      <c r="K37" s="439" t="s">
        <v>251</v>
      </c>
    </row>
    <row r="38" spans="1:11" ht="14.4" customHeight="1" thickBot="1" x14ac:dyDescent="0.35">
      <c r="A38" s="448" t="s">
        <v>278</v>
      </c>
      <c r="B38" s="434">
        <v>4.9406564584124654E-324</v>
      </c>
      <c r="C38" s="434">
        <v>4.9406564584124654E-324</v>
      </c>
      <c r="D38" s="435">
        <v>0</v>
      </c>
      <c r="E38" s="436">
        <v>1</v>
      </c>
      <c r="F38" s="434">
        <v>4.9406564584124654E-324</v>
      </c>
      <c r="G38" s="435">
        <v>0</v>
      </c>
      <c r="H38" s="437">
        <v>4.9406564584124654E-324</v>
      </c>
      <c r="I38" s="434">
        <v>0.44358999999999998</v>
      </c>
      <c r="J38" s="435">
        <v>0.44358999999999998</v>
      </c>
      <c r="K38" s="438" t="s">
        <v>251</v>
      </c>
    </row>
    <row r="39" spans="1:11" ht="14.4" customHeight="1" thickBot="1" x14ac:dyDescent="0.35">
      <c r="A39" s="449" t="s">
        <v>279</v>
      </c>
      <c r="B39" s="429">
        <v>4.9406564584124654E-324</v>
      </c>
      <c r="C39" s="429">
        <v>4.9406564584124654E-324</v>
      </c>
      <c r="D39" s="430">
        <v>0</v>
      </c>
      <c r="E39" s="431">
        <v>1</v>
      </c>
      <c r="F39" s="429">
        <v>4.9406564584124654E-324</v>
      </c>
      <c r="G39" s="430">
        <v>0</v>
      </c>
      <c r="H39" s="432">
        <v>4.9406564584124654E-324</v>
      </c>
      <c r="I39" s="429">
        <v>0.44358999999999998</v>
      </c>
      <c r="J39" s="430">
        <v>0.44358999999999998</v>
      </c>
      <c r="K39" s="439" t="s">
        <v>251</v>
      </c>
    </row>
    <row r="40" spans="1:11" ht="14.4" customHeight="1" thickBot="1" x14ac:dyDescent="0.35">
      <c r="A40" s="448" t="s">
        <v>280</v>
      </c>
      <c r="B40" s="434">
        <v>4.9406564584124654E-324</v>
      </c>
      <c r="C40" s="434">
        <v>4.9406564584124654E-324</v>
      </c>
      <c r="D40" s="435">
        <v>0</v>
      </c>
      <c r="E40" s="436">
        <v>1</v>
      </c>
      <c r="F40" s="434">
        <v>4.9406564584124654E-324</v>
      </c>
      <c r="G40" s="435">
        <v>0</v>
      </c>
      <c r="H40" s="437">
        <v>93.553190000000001</v>
      </c>
      <c r="I40" s="434">
        <v>1121.8117999999999</v>
      </c>
      <c r="J40" s="435">
        <v>1121.8117999999999</v>
      </c>
      <c r="K40" s="438" t="s">
        <v>251</v>
      </c>
    </row>
    <row r="41" spans="1:11" ht="14.4" customHeight="1" thickBot="1" x14ac:dyDescent="0.35">
      <c r="A41" s="449" t="s">
        <v>281</v>
      </c>
      <c r="B41" s="429">
        <v>4.9406564584124654E-324</v>
      </c>
      <c r="C41" s="429">
        <v>4.9406564584124654E-324</v>
      </c>
      <c r="D41" s="430">
        <v>0</v>
      </c>
      <c r="E41" s="431">
        <v>1</v>
      </c>
      <c r="F41" s="429">
        <v>4.9406564584124654E-324</v>
      </c>
      <c r="G41" s="430">
        <v>0</v>
      </c>
      <c r="H41" s="432">
        <v>24.609159999999999</v>
      </c>
      <c r="I41" s="429">
        <v>257.65451999999999</v>
      </c>
      <c r="J41" s="430">
        <v>257.65451999999999</v>
      </c>
      <c r="K41" s="439" t="s">
        <v>251</v>
      </c>
    </row>
    <row r="42" spans="1:11" ht="14.4" customHeight="1" thickBot="1" x14ac:dyDescent="0.35">
      <c r="A42" s="449" t="s">
        <v>282</v>
      </c>
      <c r="B42" s="429">
        <v>4.9406564584124654E-324</v>
      </c>
      <c r="C42" s="429">
        <v>4.9406564584124654E-324</v>
      </c>
      <c r="D42" s="430">
        <v>0</v>
      </c>
      <c r="E42" s="431">
        <v>1</v>
      </c>
      <c r="F42" s="429">
        <v>4.9406564584124654E-324</v>
      </c>
      <c r="G42" s="430">
        <v>0</v>
      </c>
      <c r="H42" s="432">
        <v>68.944029999999998</v>
      </c>
      <c r="I42" s="429">
        <v>864.15728000000001</v>
      </c>
      <c r="J42" s="430">
        <v>864.15728000000001</v>
      </c>
      <c r="K42" s="439" t="s">
        <v>251</v>
      </c>
    </row>
    <row r="43" spans="1:11" ht="14.4" customHeight="1" thickBot="1" x14ac:dyDescent="0.35">
      <c r="A43" s="445" t="s">
        <v>283</v>
      </c>
      <c r="B43" s="429">
        <v>4.9406564584124654E-324</v>
      </c>
      <c r="C43" s="429">
        <v>4.9406564584124654E-324</v>
      </c>
      <c r="D43" s="430">
        <v>0</v>
      </c>
      <c r="E43" s="431">
        <v>1</v>
      </c>
      <c r="F43" s="429">
        <v>43</v>
      </c>
      <c r="G43" s="430">
        <v>39.416666666666003</v>
      </c>
      <c r="H43" s="432">
        <v>3.0309900000000001</v>
      </c>
      <c r="I43" s="429">
        <v>33.359400000000001</v>
      </c>
      <c r="J43" s="430">
        <v>-6.057266666666</v>
      </c>
      <c r="K43" s="433">
        <v>0.77580000000000005</v>
      </c>
    </row>
    <row r="44" spans="1:11" ht="14.4" customHeight="1" thickBot="1" x14ac:dyDescent="0.35">
      <c r="A44" s="450" t="s">
        <v>284</v>
      </c>
      <c r="B44" s="434">
        <v>4.9406564584124654E-324</v>
      </c>
      <c r="C44" s="434">
        <v>4.9406564584124654E-324</v>
      </c>
      <c r="D44" s="435">
        <v>0</v>
      </c>
      <c r="E44" s="436">
        <v>1</v>
      </c>
      <c r="F44" s="434">
        <v>43</v>
      </c>
      <c r="G44" s="435">
        <v>39.416666666666003</v>
      </c>
      <c r="H44" s="437">
        <v>3.0309900000000001</v>
      </c>
      <c r="I44" s="434">
        <v>33.359400000000001</v>
      </c>
      <c r="J44" s="435">
        <v>-6.057266666666</v>
      </c>
      <c r="K44" s="440">
        <v>0.77580000000000005</v>
      </c>
    </row>
    <row r="45" spans="1:11" ht="14.4" customHeight="1" thickBot="1" x14ac:dyDescent="0.35">
      <c r="A45" s="451" t="s">
        <v>53</v>
      </c>
      <c r="B45" s="434">
        <v>4.9406564584124654E-324</v>
      </c>
      <c r="C45" s="434">
        <v>4.9406564584124654E-324</v>
      </c>
      <c r="D45" s="435">
        <v>0</v>
      </c>
      <c r="E45" s="436">
        <v>1</v>
      </c>
      <c r="F45" s="434">
        <v>43</v>
      </c>
      <c r="G45" s="435">
        <v>39.416666666666003</v>
      </c>
      <c r="H45" s="437">
        <v>3.0309900000000001</v>
      </c>
      <c r="I45" s="434">
        <v>33.359400000000001</v>
      </c>
      <c r="J45" s="435">
        <v>-6.057266666666</v>
      </c>
      <c r="K45" s="440">
        <v>0.77580000000000005</v>
      </c>
    </row>
    <row r="46" spans="1:11" ht="14.4" customHeight="1" thickBot="1" x14ac:dyDescent="0.35">
      <c r="A46" s="448" t="s">
        <v>285</v>
      </c>
      <c r="B46" s="434">
        <v>4.9406564584124654E-324</v>
      </c>
      <c r="C46" s="434">
        <v>4.9406564584124654E-324</v>
      </c>
      <c r="D46" s="435">
        <v>0</v>
      </c>
      <c r="E46" s="436">
        <v>1</v>
      </c>
      <c r="F46" s="434">
        <v>4.9406564584124654E-324</v>
      </c>
      <c r="G46" s="435">
        <v>0</v>
      </c>
      <c r="H46" s="437">
        <v>4.9406564584124654E-324</v>
      </c>
      <c r="I46" s="434">
        <v>0.31492999999999999</v>
      </c>
      <c r="J46" s="435">
        <v>0.31492999999999999</v>
      </c>
      <c r="K46" s="438" t="s">
        <v>251</v>
      </c>
    </row>
    <row r="47" spans="1:11" ht="14.4" customHeight="1" thickBot="1" x14ac:dyDescent="0.35">
      <c r="A47" s="449" t="s">
        <v>286</v>
      </c>
      <c r="B47" s="429">
        <v>4.9406564584124654E-324</v>
      </c>
      <c r="C47" s="429">
        <v>4.9406564584124654E-324</v>
      </c>
      <c r="D47" s="430">
        <v>0</v>
      </c>
      <c r="E47" s="431">
        <v>1</v>
      </c>
      <c r="F47" s="429">
        <v>4.9406564584124654E-324</v>
      </c>
      <c r="G47" s="430">
        <v>0</v>
      </c>
      <c r="H47" s="432">
        <v>4.9406564584124654E-324</v>
      </c>
      <c r="I47" s="429">
        <v>0.31492999999999999</v>
      </c>
      <c r="J47" s="430">
        <v>0.31492999999999999</v>
      </c>
      <c r="K47" s="439" t="s">
        <v>251</v>
      </c>
    </row>
    <row r="48" spans="1:11" ht="14.4" customHeight="1" thickBot="1" x14ac:dyDescent="0.35">
      <c r="A48" s="448" t="s">
        <v>287</v>
      </c>
      <c r="B48" s="434">
        <v>4.9406564584124654E-324</v>
      </c>
      <c r="C48" s="434">
        <v>4.9406564584124654E-324</v>
      </c>
      <c r="D48" s="435">
        <v>0</v>
      </c>
      <c r="E48" s="436">
        <v>1</v>
      </c>
      <c r="F48" s="434">
        <v>43</v>
      </c>
      <c r="G48" s="435">
        <v>39.416666666666003</v>
      </c>
      <c r="H48" s="437">
        <v>3.0309900000000001</v>
      </c>
      <c r="I48" s="434">
        <v>33.044469999999997</v>
      </c>
      <c r="J48" s="435">
        <v>-6.3721966666660004</v>
      </c>
      <c r="K48" s="440">
        <v>0.76847604651099999</v>
      </c>
    </row>
    <row r="49" spans="1:11" ht="14.4" customHeight="1" thickBot="1" x14ac:dyDescent="0.35">
      <c r="A49" s="449" t="s">
        <v>288</v>
      </c>
      <c r="B49" s="429">
        <v>4.9406564584124654E-324</v>
      </c>
      <c r="C49" s="429">
        <v>4.9406564584124654E-324</v>
      </c>
      <c r="D49" s="430">
        <v>0</v>
      </c>
      <c r="E49" s="431">
        <v>1</v>
      </c>
      <c r="F49" s="429">
        <v>43</v>
      </c>
      <c r="G49" s="430">
        <v>39.416666666666003</v>
      </c>
      <c r="H49" s="432">
        <v>3.0309900000000001</v>
      </c>
      <c r="I49" s="429">
        <v>33.044469999999997</v>
      </c>
      <c r="J49" s="430">
        <v>-6.3721966666660004</v>
      </c>
      <c r="K49" s="433">
        <v>0.76847604651099999</v>
      </c>
    </row>
    <row r="50" spans="1:11" ht="14.4" customHeight="1" thickBot="1" x14ac:dyDescent="0.35">
      <c r="A50" s="452"/>
      <c r="B50" s="429">
        <v>4.9406564584124654E-324</v>
      </c>
      <c r="C50" s="429">
        <v>4.9406564584124654E-324</v>
      </c>
      <c r="D50" s="430">
        <v>0</v>
      </c>
      <c r="E50" s="431">
        <v>1</v>
      </c>
      <c r="F50" s="429">
        <v>-513.14179244643196</v>
      </c>
      <c r="G50" s="430">
        <v>-470.37997640922902</v>
      </c>
      <c r="H50" s="432">
        <v>67.51455</v>
      </c>
      <c r="I50" s="429">
        <v>686.89344000000006</v>
      </c>
      <c r="J50" s="430">
        <v>1157.2734164092301</v>
      </c>
      <c r="K50" s="433">
        <v>-1.338603579188</v>
      </c>
    </row>
    <row r="51" spans="1:11" ht="14.4" customHeight="1" thickBot="1" x14ac:dyDescent="0.35">
      <c r="A51" s="453" t="s">
        <v>65</v>
      </c>
      <c r="B51" s="441">
        <v>-4.9406564584124654E-324</v>
      </c>
      <c r="C51" s="441">
        <v>-4.9406564584124654E-324</v>
      </c>
      <c r="D51" s="442">
        <v>0</v>
      </c>
      <c r="E51" s="443">
        <v>-1</v>
      </c>
      <c r="F51" s="441">
        <v>-513.14179244643196</v>
      </c>
      <c r="G51" s="442">
        <v>-470.37997640922902</v>
      </c>
      <c r="H51" s="441">
        <v>67.51455</v>
      </c>
      <c r="I51" s="441">
        <v>686.89344000000006</v>
      </c>
      <c r="J51" s="442">
        <v>1157.2734164092301</v>
      </c>
      <c r="K51" s="444">
        <v>-1.338603579188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57" t="s">
        <v>134</v>
      </c>
      <c r="B1" s="357"/>
      <c r="C1" s="357"/>
      <c r="D1" s="357"/>
      <c r="E1" s="357"/>
      <c r="F1" s="357"/>
      <c r="G1" s="357"/>
      <c r="H1" s="357"/>
      <c r="I1" s="322"/>
      <c r="J1" s="322"/>
      <c r="K1" s="322"/>
      <c r="L1" s="322"/>
    </row>
    <row r="2" spans="1:14" ht="14.4" customHeight="1" thickBot="1" x14ac:dyDescent="0.35">
      <c r="A2" s="231" t="s">
        <v>244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68" t="s">
        <v>14</v>
      </c>
      <c r="D3" s="367"/>
      <c r="E3" s="367" t="s">
        <v>15</v>
      </c>
      <c r="F3" s="367"/>
      <c r="G3" s="367"/>
      <c r="H3" s="367"/>
      <c r="I3" s="367" t="s">
        <v>141</v>
      </c>
      <c r="J3" s="367"/>
      <c r="K3" s="367"/>
      <c r="L3" s="369"/>
    </row>
    <row r="4" spans="1:14" ht="14.4" customHeight="1" thickBot="1" x14ac:dyDescent="0.3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" customHeight="1" x14ac:dyDescent="0.3">
      <c r="A5" s="454">
        <v>57</v>
      </c>
      <c r="B5" s="455" t="s">
        <v>289</v>
      </c>
      <c r="C5" s="456">
        <v>2417588.6999999993</v>
      </c>
      <c r="D5" s="456">
        <v>568</v>
      </c>
      <c r="E5" s="456">
        <v>1485167.2099999995</v>
      </c>
      <c r="F5" s="457">
        <v>0.6143175677483933</v>
      </c>
      <c r="G5" s="456">
        <v>313</v>
      </c>
      <c r="H5" s="457">
        <v>0.551056338028169</v>
      </c>
      <c r="I5" s="456">
        <v>932421.49</v>
      </c>
      <c r="J5" s="457">
        <v>0.38568243225160687</v>
      </c>
      <c r="K5" s="456">
        <v>255</v>
      </c>
      <c r="L5" s="457">
        <v>0.448943661971831</v>
      </c>
      <c r="M5" s="456" t="s">
        <v>67</v>
      </c>
      <c r="N5" s="151"/>
    </row>
    <row r="6" spans="1:14" ht="14.4" customHeight="1" x14ac:dyDescent="0.3">
      <c r="A6" s="454">
        <v>57</v>
      </c>
      <c r="B6" s="455" t="s">
        <v>290</v>
      </c>
      <c r="C6" s="456">
        <v>2417588.6999999993</v>
      </c>
      <c r="D6" s="456">
        <v>544</v>
      </c>
      <c r="E6" s="456">
        <v>1485167.2099999995</v>
      </c>
      <c r="F6" s="457">
        <v>0.6143175677483933</v>
      </c>
      <c r="G6" s="456">
        <v>291</v>
      </c>
      <c r="H6" s="457">
        <v>0.53492647058823528</v>
      </c>
      <c r="I6" s="456">
        <v>932421.49</v>
      </c>
      <c r="J6" s="457">
        <v>0.38568243225160687</v>
      </c>
      <c r="K6" s="456">
        <v>253</v>
      </c>
      <c r="L6" s="457">
        <v>0.46507352941176472</v>
      </c>
      <c r="M6" s="456" t="s">
        <v>1</v>
      </c>
      <c r="N6" s="151"/>
    </row>
    <row r="7" spans="1:14" ht="14.4" customHeight="1" x14ac:dyDescent="0.3">
      <c r="A7" s="454">
        <v>57</v>
      </c>
      <c r="B7" s="455" t="s">
        <v>291</v>
      </c>
      <c r="C7" s="456">
        <v>0</v>
      </c>
      <c r="D7" s="456">
        <v>24</v>
      </c>
      <c r="E7" s="456">
        <v>0</v>
      </c>
      <c r="F7" s="457" t="s">
        <v>292</v>
      </c>
      <c r="G7" s="456">
        <v>22</v>
      </c>
      <c r="H7" s="457">
        <v>0.91666666666666663</v>
      </c>
      <c r="I7" s="456">
        <v>0</v>
      </c>
      <c r="J7" s="457" t="s">
        <v>292</v>
      </c>
      <c r="K7" s="456">
        <v>2</v>
      </c>
      <c r="L7" s="457">
        <v>8.3333333333333329E-2</v>
      </c>
      <c r="M7" s="456" t="s">
        <v>1</v>
      </c>
      <c r="N7" s="151"/>
    </row>
    <row r="8" spans="1:14" ht="14.4" customHeight="1" x14ac:dyDescent="0.3">
      <c r="A8" s="454" t="s">
        <v>293</v>
      </c>
      <c r="B8" s="455" t="s">
        <v>3</v>
      </c>
      <c r="C8" s="456">
        <v>2417588.6999999993</v>
      </c>
      <c r="D8" s="456">
        <v>568</v>
      </c>
      <c r="E8" s="456">
        <v>1485167.2099999995</v>
      </c>
      <c r="F8" s="457">
        <v>0.6143175677483933</v>
      </c>
      <c r="G8" s="456">
        <v>313</v>
      </c>
      <c r="H8" s="457">
        <v>0.551056338028169</v>
      </c>
      <c r="I8" s="456">
        <v>932421.49</v>
      </c>
      <c r="J8" s="457">
        <v>0.38568243225160687</v>
      </c>
      <c r="K8" s="456">
        <v>255</v>
      </c>
      <c r="L8" s="457">
        <v>0.448943661971831</v>
      </c>
      <c r="M8" s="456" t="s">
        <v>294</v>
      </c>
      <c r="N8" s="151"/>
    </row>
    <row r="10" spans="1:14" ht="14.4" customHeight="1" x14ac:dyDescent="0.3">
      <c r="A10" s="454">
        <v>57</v>
      </c>
      <c r="B10" s="455" t="s">
        <v>289</v>
      </c>
      <c r="C10" s="456" t="s">
        <v>292</v>
      </c>
      <c r="D10" s="456" t="s">
        <v>292</v>
      </c>
      <c r="E10" s="456" t="s">
        <v>292</v>
      </c>
      <c r="F10" s="457" t="s">
        <v>292</v>
      </c>
      <c r="G10" s="456" t="s">
        <v>292</v>
      </c>
      <c r="H10" s="457" t="s">
        <v>292</v>
      </c>
      <c r="I10" s="456" t="s">
        <v>292</v>
      </c>
      <c r="J10" s="457" t="s">
        <v>292</v>
      </c>
      <c r="K10" s="456" t="s">
        <v>292</v>
      </c>
      <c r="L10" s="457" t="s">
        <v>292</v>
      </c>
      <c r="M10" s="456" t="s">
        <v>67</v>
      </c>
      <c r="N10" s="151"/>
    </row>
    <row r="11" spans="1:14" ht="14.4" customHeight="1" x14ac:dyDescent="0.3">
      <c r="A11" s="454">
        <v>89301594</v>
      </c>
      <c r="B11" s="455" t="s">
        <v>290</v>
      </c>
      <c r="C11" s="456">
        <v>2417588.6999999993</v>
      </c>
      <c r="D11" s="456">
        <v>544</v>
      </c>
      <c r="E11" s="456">
        <v>1485167.2099999995</v>
      </c>
      <c r="F11" s="457">
        <v>0.6143175677483933</v>
      </c>
      <c r="G11" s="456">
        <v>291</v>
      </c>
      <c r="H11" s="457">
        <v>0.53492647058823528</v>
      </c>
      <c r="I11" s="456">
        <v>932421.49</v>
      </c>
      <c r="J11" s="457">
        <v>0.38568243225160687</v>
      </c>
      <c r="K11" s="456">
        <v>253</v>
      </c>
      <c r="L11" s="457">
        <v>0.46507352941176472</v>
      </c>
      <c r="M11" s="456" t="s">
        <v>1</v>
      </c>
      <c r="N11" s="151"/>
    </row>
    <row r="12" spans="1:14" ht="14.4" customHeight="1" x14ac:dyDescent="0.3">
      <c r="A12" s="454">
        <v>89301594</v>
      </c>
      <c r="B12" s="455" t="s">
        <v>291</v>
      </c>
      <c r="C12" s="456">
        <v>0</v>
      </c>
      <c r="D12" s="456">
        <v>24</v>
      </c>
      <c r="E12" s="456">
        <v>0</v>
      </c>
      <c r="F12" s="457" t="s">
        <v>292</v>
      </c>
      <c r="G12" s="456">
        <v>22</v>
      </c>
      <c r="H12" s="457">
        <v>0.91666666666666663</v>
      </c>
      <c r="I12" s="456">
        <v>0</v>
      </c>
      <c r="J12" s="457" t="s">
        <v>292</v>
      </c>
      <c r="K12" s="456">
        <v>2</v>
      </c>
      <c r="L12" s="457">
        <v>8.3333333333333329E-2</v>
      </c>
      <c r="M12" s="456" t="s">
        <v>1</v>
      </c>
      <c r="N12" s="151"/>
    </row>
    <row r="13" spans="1:14" ht="14.4" customHeight="1" x14ac:dyDescent="0.3">
      <c r="A13" s="454" t="s">
        <v>295</v>
      </c>
      <c r="B13" s="455" t="s">
        <v>296</v>
      </c>
      <c r="C13" s="456">
        <v>2417588.6999999993</v>
      </c>
      <c r="D13" s="456">
        <v>568</v>
      </c>
      <c r="E13" s="456">
        <v>1485167.2099999995</v>
      </c>
      <c r="F13" s="457">
        <v>0.6143175677483933</v>
      </c>
      <c r="G13" s="456">
        <v>313</v>
      </c>
      <c r="H13" s="457">
        <v>0.551056338028169</v>
      </c>
      <c r="I13" s="456">
        <v>932421.49</v>
      </c>
      <c r="J13" s="457">
        <v>0.38568243225160687</v>
      </c>
      <c r="K13" s="456">
        <v>255</v>
      </c>
      <c r="L13" s="457">
        <v>0.448943661971831</v>
      </c>
      <c r="M13" s="456" t="s">
        <v>297</v>
      </c>
      <c r="N13" s="151"/>
    </row>
    <row r="14" spans="1:14" ht="14.4" customHeight="1" x14ac:dyDescent="0.3">
      <c r="A14" s="454" t="s">
        <v>292</v>
      </c>
      <c r="B14" s="455" t="s">
        <v>292</v>
      </c>
      <c r="C14" s="456" t="s">
        <v>292</v>
      </c>
      <c r="D14" s="456" t="s">
        <v>292</v>
      </c>
      <c r="E14" s="456" t="s">
        <v>292</v>
      </c>
      <c r="F14" s="457" t="s">
        <v>292</v>
      </c>
      <c r="G14" s="456" t="s">
        <v>292</v>
      </c>
      <c r="H14" s="457" t="s">
        <v>292</v>
      </c>
      <c r="I14" s="456" t="s">
        <v>292</v>
      </c>
      <c r="J14" s="457" t="s">
        <v>292</v>
      </c>
      <c r="K14" s="456" t="s">
        <v>292</v>
      </c>
      <c r="L14" s="457" t="s">
        <v>292</v>
      </c>
      <c r="M14" s="456" t="s">
        <v>298</v>
      </c>
      <c r="N14" s="151"/>
    </row>
    <row r="15" spans="1:14" ht="14.4" customHeight="1" x14ac:dyDescent="0.3">
      <c r="A15" s="454" t="s">
        <v>293</v>
      </c>
      <c r="B15" s="455" t="s">
        <v>296</v>
      </c>
      <c r="C15" s="456">
        <v>2417588.6999999993</v>
      </c>
      <c r="D15" s="456">
        <v>568</v>
      </c>
      <c r="E15" s="456">
        <v>1485167.2099999995</v>
      </c>
      <c r="F15" s="457">
        <v>0.6143175677483933</v>
      </c>
      <c r="G15" s="456">
        <v>313</v>
      </c>
      <c r="H15" s="457">
        <v>0.551056338028169</v>
      </c>
      <c r="I15" s="456">
        <v>932421.49</v>
      </c>
      <c r="J15" s="457">
        <v>0.38568243225160687</v>
      </c>
      <c r="K15" s="456">
        <v>255</v>
      </c>
      <c r="L15" s="457">
        <v>0.448943661971831</v>
      </c>
      <c r="M15" s="456" t="s">
        <v>294</v>
      </c>
      <c r="N15" s="151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57" t="s">
        <v>142</v>
      </c>
      <c r="B1" s="357"/>
      <c r="C1" s="357"/>
      <c r="D1" s="357"/>
      <c r="E1" s="357"/>
      <c r="F1" s="357"/>
      <c r="G1" s="357"/>
      <c r="H1" s="357"/>
      <c r="I1" s="357"/>
      <c r="J1" s="322"/>
      <c r="K1" s="322"/>
      <c r="L1" s="322"/>
      <c r="M1" s="322"/>
    </row>
    <row r="2" spans="1:13" ht="14.4" customHeight="1" thickBot="1" x14ac:dyDescent="0.35">
      <c r="A2" s="231" t="s">
        <v>244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68" t="s">
        <v>14</v>
      </c>
      <c r="C3" s="370"/>
      <c r="D3" s="367"/>
      <c r="E3" s="143"/>
      <c r="F3" s="367" t="s">
        <v>15</v>
      </c>
      <c r="G3" s="367"/>
      <c r="H3" s="367"/>
      <c r="I3" s="367"/>
      <c r="J3" s="367" t="s">
        <v>141</v>
      </c>
      <c r="K3" s="367"/>
      <c r="L3" s="367"/>
      <c r="M3" s="369"/>
    </row>
    <row r="4" spans="1:13" ht="14.4" customHeight="1" thickBot="1" x14ac:dyDescent="0.35">
      <c r="A4" s="458" t="s">
        <v>132</v>
      </c>
      <c r="B4" s="462" t="s">
        <v>18</v>
      </c>
      <c r="C4" s="463"/>
      <c r="D4" s="462" t="s">
        <v>19</v>
      </c>
      <c r="E4" s="463"/>
      <c r="F4" s="462" t="s">
        <v>18</v>
      </c>
      <c r="G4" s="476" t="s">
        <v>2</v>
      </c>
      <c r="H4" s="462" t="s">
        <v>19</v>
      </c>
      <c r="I4" s="476" t="s">
        <v>2</v>
      </c>
      <c r="J4" s="462" t="s">
        <v>18</v>
      </c>
      <c r="K4" s="476" t="s">
        <v>2</v>
      </c>
      <c r="L4" s="462" t="s">
        <v>19</v>
      </c>
      <c r="M4" s="477" t="s">
        <v>2</v>
      </c>
    </row>
    <row r="5" spans="1:13" ht="14.4" customHeight="1" x14ac:dyDescent="0.3">
      <c r="A5" s="459" t="s">
        <v>299</v>
      </c>
      <c r="B5" s="464">
        <v>44973.82</v>
      </c>
      <c r="C5" s="465">
        <v>1</v>
      </c>
      <c r="D5" s="473">
        <v>7</v>
      </c>
      <c r="E5" s="486" t="s">
        <v>299</v>
      </c>
      <c r="F5" s="464">
        <v>25860.28</v>
      </c>
      <c r="G5" s="480">
        <v>0.5750074154252407</v>
      </c>
      <c r="H5" s="466">
        <v>5</v>
      </c>
      <c r="I5" s="481">
        <v>0.7142857142857143</v>
      </c>
      <c r="J5" s="489">
        <v>19113.54</v>
      </c>
      <c r="K5" s="480">
        <v>0.4249925845747593</v>
      </c>
      <c r="L5" s="466">
        <v>2</v>
      </c>
      <c r="M5" s="481">
        <v>0.2857142857142857</v>
      </c>
    </row>
    <row r="6" spans="1:13" ht="14.4" customHeight="1" x14ac:dyDescent="0.3">
      <c r="A6" s="460" t="s">
        <v>300</v>
      </c>
      <c r="B6" s="467">
        <v>765553.7</v>
      </c>
      <c r="C6" s="468">
        <v>1</v>
      </c>
      <c r="D6" s="474">
        <v>213</v>
      </c>
      <c r="E6" s="487" t="s">
        <v>300</v>
      </c>
      <c r="F6" s="467">
        <v>471304.34</v>
      </c>
      <c r="G6" s="482">
        <v>0.61563851105415601</v>
      </c>
      <c r="H6" s="469">
        <v>110</v>
      </c>
      <c r="I6" s="483">
        <v>0.51643192488262912</v>
      </c>
      <c r="J6" s="490">
        <v>294249.35999999993</v>
      </c>
      <c r="K6" s="482">
        <v>0.38436148894584399</v>
      </c>
      <c r="L6" s="469">
        <v>103</v>
      </c>
      <c r="M6" s="483">
        <v>0.48356807511737088</v>
      </c>
    </row>
    <row r="7" spans="1:13" ht="14.4" customHeight="1" x14ac:dyDescent="0.3">
      <c r="A7" s="460" t="s">
        <v>301</v>
      </c>
      <c r="B7" s="467">
        <v>2843.1000000000004</v>
      </c>
      <c r="C7" s="468">
        <v>1</v>
      </c>
      <c r="D7" s="474">
        <v>25</v>
      </c>
      <c r="E7" s="487" t="s">
        <v>301</v>
      </c>
      <c r="F7" s="467">
        <v>0</v>
      </c>
      <c r="G7" s="482">
        <v>0</v>
      </c>
      <c r="H7" s="469">
        <v>22</v>
      </c>
      <c r="I7" s="483">
        <v>0.88</v>
      </c>
      <c r="J7" s="490">
        <v>2843.1000000000004</v>
      </c>
      <c r="K7" s="482">
        <v>1</v>
      </c>
      <c r="L7" s="469">
        <v>3</v>
      </c>
      <c r="M7" s="483">
        <v>0.12</v>
      </c>
    </row>
    <row r="8" spans="1:13" ht="14.4" customHeight="1" x14ac:dyDescent="0.3">
      <c r="A8" s="460" t="s">
        <v>302</v>
      </c>
      <c r="B8" s="467">
        <v>14160.56</v>
      </c>
      <c r="C8" s="468">
        <v>1</v>
      </c>
      <c r="D8" s="474">
        <v>4</v>
      </c>
      <c r="E8" s="487" t="s">
        <v>302</v>
      </c>
      <c r="F8" s="467">
        <v>7278.9</v>
      </c>
      <c r="G8" s="482">
        <v>0.51402628144649642</v>
      </c>
      <c r="H8" s="469">
        <v>1</v>
      </c>
      <c r="I8" s="483">
        <v>0.25</v>
      </c>
      <c r="J8" s="490">
        <v>6881.66</v>
      </c>
      <c r="K8" s="482">
        <v>0.48597371855350352</v>
      </c>
      <c r="L8" s="469">
        <v>3</v>
      </c>
      <c r="M8" s="483">
        <v>0.75</v>
      </c>
    </row>
    <row r="9" spans="1:13" ht="14.4" customHeight="1" thickBot="1" x14ac:dyDescent="0.35">
      <c r="A9" s="461" t="s">
        <v>303</v>
      </c>
      <c r="B9" s="470">
        <v>1590057.5199999996</v>
      </c>
      <c r="C9" s="471">
        <v>1</v>
      </c>
      <c r="D9" s="475">
        <v>319</v>
      </c>
      <c r="E9" s="488" t="s">
        <v>303</v>
      </c>
      <c r="F9" s="470">
        <v>980723.68999999983</v>
      </c>
      <c r="G9" s="484">
        <v>0.61678503932360895</v>
      </c>
      <c r="H9" s="472">
        <v>175</v>
      </c>
      <c r="I9" s="485">
        <v>0.54858934169278994</v>
      </c>
      <c r="J9" s="491">
        <v>609333.82999999984</v>
      </c>
      <c r="K9" s="484">
        <v>0.38321496067639116</v>
      </c>
      <c r="L9" s="472">
        <v>144</v>
      </c>
      <c r="M9" s="485">
        <v>0.45141065830721006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27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0" t="s">
        <v>494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</row>
    <row r="2" spans="1:21" ht="14.4" customHeight="1" thickBot="1" x14ac:dyDescent="0.35">
      <c r="A2" s="231" t="s">
        <v>244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74"/>
      <c r="B3" s="375"/>
      <c r="C3" s="375"/>
      <c r="D3" s="375"/>
      <c r="E3" s="375"/>
      <c r="F3" s="375"/>
      <c r="G3" s="375"/>
      <c r="H3" s="375"/>
      <c r="I3" s="375"/>
      <c r="J3" s="375"/>
      <c r="K3" s="376" t="s">
        <v>125</v>
      </c>
      <c r="L3" s="377"/>
      <c r="M3" s="66">
        <f>SUBTOTAL(9,M7:M1048576)</f>
        <v>2417588.6999999988</v>
      </c>
      <c r="N3" s="66">
        <f>SUBTOTAL(9,N7:N1048576)</f>
        <v>21428</v>
      </c>
      <c r="O3" s="66">
        <f>SUBTOTAL(9,O7:O1048576)</f>
        <v>568</v>
      </c>
      <c r="P3" s="66">
        <f>SUBTOTAL(9,P7:P1048576)</f>
        <v>1485167.2099999997</v>
      </c>
      <c r="Q3" s="67">
        <f>IF(M3=0,0,P3/M3)</f>
        <v>0.61431756774839341</v>
      </c>
      <c r="R3" s="66">
        <f>SUBTOTAL(9,R7:R1048576)</f>
        <v>12953</v>
      </c>
      <c r="S3" s="67">
        <f>IF(N3=0,0,R3/N3)</f>
        <v>0.60448945305208135</v>
      </c>
      <c r="T3" s="66">
        <f>SUBTOTAL(9,T7:T1048576)</f>
        <v>313</v>
      </c>
      <c r="U3" s="68">
        <f>IF(O3=0,0,T3/O3)</f>
        <v>0.551056338028169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78" t="s">
        <v>14</v>
      </c>
      <c r="N4" s="379"/>
      <c r="O4" s="379"/>
      <c r="P4" s="380" t="s">
        <v>20</v>
      </c>
      <c r="Q4" s="379"/>
      <c r="R4" s="379"/>
      <c r="S4" s="379"/>
      <c r="T4" s="379"/>
      <c r="U4" s="381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71" t="s">
        <v>21</v>
      </c>
      <c r="Q5" s="372"/>
      <c r="R5" s="371" t="s">
        <v>12</v>
      </c>
      <c r="S5" s="372"/>
      <c r="T5" s="371" t="s">
        <v>19</v>
      </c>
      <c r="U5" s="373"/>
    </row>
    <row r="6" spans="1:21" s="209" customFormat="1" ht="14.4" customHeight="1" thickBot="1" x14ac:dyDescent="0.35">
      <c r="A6" s="492" t="s">
        <v>22</v>
      </c>
      <c r="B6" s="493" t="s">
        <v>5</v>
      </c>
      <c r="C6" s="492" t="s">
        <v>23</v>
      </c>
      <c r="D6" s="493" t="s">
        <v>6</v>
      </c>
      <c r="E6" s="493" t="s">
        <v>144</v>
      </c>
      <c r="F6" s="493" t="s">
        <v>24</v>
      </c>
      <c r="G6" s="493" t="s">
        <v>25</v>
      </c>
      <c r="H6" s="493" t="s">
        <v>8</v>
      </c>
      <c r="I6" s="493" t="s">
        <v>9</v>
      </c>
      <c r="J6" s="493" t="s">
        <v>10</v>
      </c>
      <c r="K6" s="493" t="s">
        <v>11</v>
      </c>
      <c r="L6" s="493" t="s">
        <v>26</v>
      </c>
      <c r="M6" s="494" t="s">
        <v>13</v>
      </c>
      <c r="N6" s="495" t="s">
        <v>27</v>
      </c>
      <c r="O6" s="495" t="s">
        <v>27</v>
      </c>
      <c r="P6" s="495" t="s">
        <v>13</v>
      </c>
      <c r="Q6" s="495" t="s">
        <v>2</v>
      </c>
      <c r="R6" s="495" t="s">
        <v>27</v>
      </c>
      <c r="S6" s="495" t="s">
        <v>2</v>
      </c>
      <c r="T6" s="495" t="s">
        <v>27</v>
      </c>
      <c r="U6" s="496" t="s">
        <v>2</v>
      </c>
    </row>
    <row r="7" spans="1:21" ht="14.4" customHeight="1" x14ac:dyDescent="0.3">
      <c r="A7" s="497">
        <v>57</v>
      </c>
      <c r="B7" s="498" t="s">
        <v>289</v>
      </c>
      <c r="C7" s="498">
        <v>89301594</v>
      </c>
      <c r="D7" s="499" t="s">
        <v>289</v>
      </c>
      <c r="E7" s="500" t="s">
        <v>299</v>
      </c>
      <c r="F7" s="498" t="s">
        <v>290</v>
      </c>
      <c r="G7" s="498" t="s">
        <v>304</v>
      </c>
      <c r="H7" s="498" t="s">
        <v>292</v>
      </c>
      <c r="I7" s="498" t="s">
        <v>305</v>
      </c>
      <c r="J7" s="498" t="s">
        <v>306</v>
      </c>
      <c r="K7" s="498"/>
      <c r="L7" s="501">
        <v>0</v>
      </c>
      <c r="M7" s="501">
        <v>0</v>
      </c>
      <c r="N7" s="498">
        <v>1</v>
      </c>
      <c r="O7" s="502">
        <v>0.5</v>
      </c>
      <c r="P7" s="501">
        <v>0</v>
      </c>
      <c r="Q7" s="503"/>
      <c r="R7" s="498">
        <v>1</v>
      </c>
      <c r="S7" s="503">
        <v>1</v>
      </c>
      <c r="T7" s="502">
        <v>0.5</v>
      </c>
      <c r="U7" s="122">
        <v>1</v>
      </c>
    </row>
    <row r="8" spans="1:21" ht="14.4" customHeight="1" x14ac:dyDescent="0.3">
      <c r="A8" s="478">
        <v>57</v>
      </c>
      <c r="B8" s="468" t="s">
        <v>289</v>
      </c>
      <c r="C8" s="468">
        <v>89301594</v>
      </c>
      <c r="D8" s="504" t="s">
        <v>289</v>
      </c>
      <c r="E8" s="505" t="s">
        <v>299</v>
      </c>
      <c r="F8" s="468" t="s">
        <v>290</v>
      </c>
      <c r="G8" s="468" t="s">
        <v>307</v>
      </c>
      <c r="H8" s="468" t="s">
        <v>493</v>
      </c>
      <c r="I8" s="468" t="s">
        <v>308</v>
      </c>
      <c r="J8" s="468" t="s">
        <v>309</v>
      </c>
      <c r="K8" s="468" t="s">
        <v>310</v>
      </c>
      <c r="L8" s="506">
        <v>21.06</v>
      </c>
      <c r="M8" s="506">
        <v>842.4</v>
      </c>
      <c r="N8" s="468">
        <v>40</v>
      </c>
      <c r="O8" s="507">
        <v>1</v>
      </c>
      <c r="P8" s="506">
        <v>842.4</v>
      </c>
      <c r="Q8" s="482">
        <v>1</v>
      </c>
      <c r="R8" s="468">
        <v>40</v>
      </c>
      <c r="S8" s="482">
        <v>1</v>
      </c>
      <c r="T8" s="507">
        <v>1</v>
      </c>
      <c r="U8" s="483">
        <v>1</v>
      </c>
    </row>
    <row r="9" spans="1:21" ht="14.4" customHeight="1" x14ac:dyDescent="0.3">
      <c r="A9" s="478">
        <v>57</v>
      </c>
      <c r="B9" s="468" t="s">
        <v>289</v>
      </c>
      <c r="C9" s="468">
        <v>89301594</v>
      </c>
      <c r="D9" s="504" t="s">
        <v>289</v>
      </c>
      <c r="E9" s="505" t="s">
        <v>299</v>
      </c>
      <c r="F9" s="468" t="s">
        <v>290</v>
      </c>
      <c r="G9" s="468" t="s">
        <v>307</v>
      </c>
      <c r="H9" s="468" t="s">
        <v>493</v>
      </c>
      <c r="I9" s="468" t="s">
        <v>311</v>
      </c>
      <c r="J9" s="468" t="s">
        <v>312</v>
      </c>
      <c r="K9" s="468" t="s">
        <v>313</v>
      </c>
      <c r="L9" s="506">
        <v>105.31</v>
      </c>
      <c r="M9" s="506">
        <v>6318.6</v>
      </c>
      <c r="N9" s="468">
        <v>60</v>
      </c>
      <c r="O9" s="507">
        <v>0.5</v>
      </c>
      <c r="P9" s="506">
        <v>6318.6</v>
      </c>
      <c r="Q9" s="482">
        <v>1</v>
      </c>
      <c r="R9" s="468">
        <v>60</v>
      </c>
      <c r="S9" s="482">
        <v>1</v>
      </c>
      <c r="T9" s="507">
        <v>0.5</v>
      </c>
      <c r="U9" s="483">
        <v>1</v>
      </c>
    </row>
    <row r="10" spans="1:21" ht="14.4" customHeight="1" x14ac:dyDescent="0.3">
      <c r="A10" s="478">
        <v>57</v>
      </c>
      <c r="B10" s="468" t="s">
        <v>289</v>
      </c>
      <c r="C10" s="468">
        <v>89301594</v>
      </c>
      <c r="D10" s="504" t="s">
        <v>289</v>
      </c>
      <c r="E10" s="505" t="s">
        <v>299</v>
      </c>
      <c r="F10" s="468" t="s">
        <v>290</v>
      </c>
      <c r="G10" s="468" t="s">
        <v>307</v>
      </c>
      <c r="H10" s="468" t="s">
        <v>493</v>
      </c>
      <c r="I10" s="468" t="s">
        <v>314</v>
      </c>
      <c r="J10" s="468" t="s">
        <v>315</v>
      </c>
      <c r="K10" s="468" t="s">
        <v>313</v>
      </c>
      <c r="L10" s="506">
        <v>108.47</v>
      </c>
      <c r="M10" s="506">
        <v>11063.939999999999</v>
      </c>
      <c r="N10" s="468">
        <v>102</v>
      </c>
      <c r="O10" s="507">
        <v>1.5</v>
      </c>
      <c r="P10" s="506">
        <v>6508.2</v>
      </c>
      <c r="Q10" s="482">
        <v>0.58823529411764708</v>
      </c>
      <c r="R10" s="468">
        <v>60</v>
      </c>
      <c r="S10" s="482">
        <v>0.58823529411764708</v>
      </c>
      <c r="T10" s="507">
        <v>0.5</v>
      </c>
      <c r="U10" s="483">
        <v>0.33333333333333331</v>
      </c>
    </row>
    <row r="11" spans="1:21" ht="14.4" customHeight="1" x14ac:dyDescent="0.3">
      <c r="A11" s="478">
        <v>57</v>
      </c>
      <c r="B11" s="468" t="s">
        <v>289</v>
      </c>
      <c r="C11" s="468">
        <v>89301594</v>
      </c>
      <c r="D11" s="504" t="s">
        <v>289</v>
      </c>
      <c r="E11" s="505" t="s">
        <v>299</v>
      </c>
      <c r="F11" s="468" t="s">
        <v>290</v>
      </c>
      <c r="G11" s="468" t="s">
        <v>307</v>
      </c>
      <c r="H11" s="468" t="s">
        <v>493</v>
      </c>
      <c r="I11" s="468" t="s">
        <v>316</v>
      </c>
      <c r="J11" s="468" t="s">
        <v>317</v>
      </c>
      <c r="K11" s="468" t="s">
        <v>318</v>
      </c>
      <c r="L11" s="506">
        <v>126.28</v>
      </c>
      <c r="M11" s="506">
        <v>1515.3600000000001</v>
      </c>
      <c r="N11" s="468">
        <v>12</v>
      </c>
      <c r="O11" s="507">
        <v>0.5</v>
      </c>
      <c r="P11" s="506">
        <v>1515.3600000000001</v>
      </c>
      <c r="Q11" s="482">
        <v>1</v>
      </c>
      <c r="R11" s="468">
        <v>12</v>
      </c>
      <c r="S11" s="482">
        <v>1</v>
      </c>
      <c r="T11" s="507">
        <v>0.5</v>
      </c>
      <c r="U11" s="483">
        <v>1</v>
      </c>
    </row>
    <row r="12" spans="1:21" ht="14.4" customHeight="1" x14ac:dyDescent="0.3">
      <c r="A12" s="478">
        <v>57</v>
      </c>
      <c r="B12" s="468" t="s">
        <v>289</v>
      </c>
      <c r="C12" s="468">
        <v>89301594</v>
      </c>
      <c r="D12" s="504" t="s">
        <v>289</v>
      </c>
      <c r="E12" s="505" t="s">
        <v>299</v>
      </c>
      <c r="F12" s="468" t="s">
        <v>290</v>
      </c>
      <c r="G12" s="468" t="s">
        <v>307</v>
      </c>
      <c r="H12" s="468" t="s">
        <v>493</v>
      </c>
      <c r="I12" s="468" t="s">
        <v>319</v>
      </c>
      <c r="J12" s="468" t="s">
        <v>320</v>
      </c>
      <c r="K12" s="468" t="s">
        <v>321</v>
      </c>
      <c r="L12" s="506">
        <v>242.63</v>
      </c>
      <c r="M12" s="506">
        <v>25233.519999999997</v>
      </c>
      <c r="N12" s="468">
        <v>104</v>
      </c>
      <c r="O12" s="507">
        <v>3</v>
      </c>
      <c r="P12" s="506">
        <v>10675.72</v>
      </c>
      <c r="Q12" s="482">
        <v>0.42307692307692313</v>
      </c>
      <c r="R12" s="468">
        <v>44</v>
      </c>
      <c r="S12" s="482">
        <v>0.42307692307692307</v>
      </c>
      <c r="T12" s="507">
        <v>2</v>
      </c>
      <c r="U12" s="483">
        <v>0.66666666666666663</v>
      </c>
    </row>
    <row r="13" spans="1:21" ht="14.4" customHeight="1" x14ac:dyDescent="0.3">
      <c r="A13" s="478">
        <v>57</v>
      </c>
      <c r="B13" s="468" t="s">
        <v>289</v>
      </c>
      <c r="C13" s="468">
        <v>89301594</v>
      </c>
      <c r="D13" s="504" t="s">
        <v>289</v>
      </c>
      <c r="E13" s="505" t="s">
        <v>300</v>
      </c>
      <c r="F13" s="468" t="s">
        <v>290</v>
      </c>
      <c r="G13" s="468" t="s">
        <v>304</v>
      </c>
      <c r="H13" s="468" t="s">
        <v>292</v>
      </c>
      <c r="I13" s="468" t="s">
        <v>305</v>
      </c>
      <c r="J13" s="468" t="s">
        <v>306</v>
      </c>
      <c r="K13" s="468"/>
      <c r="L13" s="506">
        <v>0</v>
      </c>
      <c r="M13" s="506">
        <v>0</v>
      </c>
      <c r="N13" s="468">
        <v>109</v>
      </c>
      <c r="O13" s="507">
        <v>3.5</v>
      </c>
      <c r="P13" s="506">
        <v>0</v>
      </c>
      <c r="Q13" s="482"/>
      <c r="R13" s="468">
        <v>90</v>
      </c>
      <c r="S13" s="482">
        <v>0.82568807339449546</v>
      </c>
      <c r="T13" s="507">
        <v>2</v>
      </c>
      <c r="U13" s="483">
        <v>0.5714285714285714</v>
      </c>
    </row>
    <row r="14" spans="1:21" ht="14.4" customHeight="1" x14ac:dyDescent="0.3">
      <c r="A14" s="478">
        <v>57</v>
      </c>
      <c r="B14" s="468" t="s">
        <v>289</v>
      </c>
      <c r="C14" s="468">
        <v>89301594</v>
      </c>
      <c r="D14" s="504" t="s">
        <v>289</v>
      </c>
      <c r="E14" s="505" t="s">
        <v>300</v>
      </c>
      <c r="F14" s="468" t="s">
        <v>290</v>
      </c>
      <c r="G14" s="468" t="s">
        <v>307</v>
      </c>
      <c r="H14" s="468" t="s">
        <v>493</v>
      </c>
      <c r="I14" s="468" t="s">
        <v>322</v>
      </c>
      <c r="J14" s="468" t="s">
        <v>323</v>
      </c>
      <c r="K14" s="468" t="s">
        <v>310</v>
      </c>
      <c r="L14" s="506">
        <v>32.6</v>
      </c>
      <c r="M14" s="506">
        <v>260.8</v>
      </c>
      <c r="N14" s="468">
        <v>8</v>
      </c>
      <c r="O14" s="507">
        <v>0.5</v>
      </c>
      <c r="P14" s="506"/>
      <c r="Q14" s="482">
        <v>0</v>
      </c>
      <c r="R14" s="468"/>
      <c r="S14" s="482">
        <v>0</v>
      </c>
      <c r="T14" s="507"/>
      <c r="U14" s="483">
        <v>0</v>
      </c>
    </row>
    <row r="15" spans="1:21" ht="14.4" customHeight="1" x14ac:dyDescent="0.3">
      <c r="A15" s="478">
        <v>57</v>
      </c>
      <c r="B15" s="468" t="s">
        <v>289</v>
      </c>
      <c r="C15" s="468">
        <v>89301594</v>
      </c>
      <c r="D15" s="504" t="s">
        <v>289</v>
      </c>
      <c r="E15" s="505" t="s">
        <v>300</v>
      </c>
      <c r="F15" s="468" t="s">
        <v>290</v>
      </c>
      <c r="G15" s="468" t="s">
        <v>307</v>
      </c>
      <c r="H15" s="468" t="s">
        <v>493</v>
      </c>
      <c r="I15" s="468" t="s">
        <v>324</v>
      </c>
      <c r="J15" s="468" t="s">
        <v>325</v>
      </c>
      <c r="K15" s="468" t="s">
        <v>310</v>
      </c>
      <c r="L15" s="506">
        <v>33.090000000000003</v>
      </c>
      <c r="M15" s="506">
        <v>496.35</v>
      </c>
      <c r="N15" s="468">
        <v>15</v>
      </c>
      <c r="O15" s="507">
        <v>0.5</v>
      </c>
      <c r="P15" s="506"/>
      <c r="Q15" s="482">
        <v>0</v>
      </c>
      <c r="R15" s="468"/>
      <c r="S15" s="482">
        <v>0</v>
      </c>
      <c r="T15" s="507"/>
      <c r="U15" s="483">
        <v>0</v>
      </c>
    </row>
    <row r="16" spans="1:21" ht="14.4" customHeight="1" x14ac:dyDescent="0.3">
      <c r="A16" s="478">
        <v>57</v>
      </c>
      <c r="B16" s="468" t="s">
        <v>289</v>
      </c>
      <c r="C16" s="468">
        <v>89301594</v>
      </c>
      <c r="D16" s="504" t="s">
        <v>289</v>
      </c>
      <c r="E16" s="505" t="s">
        <v>300</v>
      </c>
      <c r="F16" s="468" t="s">
        <v>290</v>
      </c>
      <c r="G16" s="468" t="s">
        <v>307</v>
      </c>
      <c r="H16" s="468" t="s">
        <v>493</v>
      </c>
      <c r="I16" s="468" t="s">
        <v>326</v>
      </c>
      <c r="J16" s="468" t="s">
        <v>327</v>
      </c>
      <c r="K16" s="468" t="s">
        <v>310</v>
      </c>
      <c r="L16" s="506">
        <v>33.090000000000003</v>
      </c>
      <c r="M16" s="506">
        <v>496.35</v>
      </c>
      <c r="N16" s="468">
        <v>15</v>
      </c>
      <c r="O16" s="507">
        <v>0.5</v>
      </c>
      <c r="P16" s="506"/>
      <c r="Q16" s="482">
        <v>0</v>
      </c>
      <c r="R16" s="468"/>
      <c r="S16" s="482">
        <v>0</v>
      </c>
      <c r="T16" s="507"/>
      <c r="U16" s="483">
        <v>0</v>
      </c>
    </row>
    <row r="17" spans="1:21" ht="14.4" customHeight="1" x14ac:dyDescent="0.3">
      <c r="A17" s="478">
        <v>57</v>
      </c>
      <c r="B17" s="468" t="s">
        <v>289</v>
      </c>
      <c r="C17" s="468">
        <v>89301594</v>
      </c>
      <c r="D17" s="504" t="s">
        <v>289</v>
      </c>
      <c r="E17" s="505" t="s">
        <v>300</v>
      </c>
      <c r="F17" s="468" t="s">
        <v>290</v>
      </c>
      <c r="G17" s="468" t="s">
        <v>307</v>
      </c>
      <c r="H17" s="468" t="s">
        <v>493</v>
      </c>
      <c r="I17" s="468" t="s">
        <v>328</v>
      </c>
      <c r="J17" s="468" t="s">
        <v>329</v>
      </c>
      <c r="K17" s="468" t="s">
        <v>310</v>
      </c>
      <c r="L17" s="506">
        <v>33.090000000000003</v>
      </c>
      <c r="M17" s="506">
        <v>330.90000000000003</v>
      </c>
      <c r="N17" s="468">
        <v>10</v>
      </c>
      <c r="O17" s="507">
        <v>0.5</v>
      </c>
      <c r="P17" s="506"/>
      <c r="Q17" s="482">
        <v>0</v>
      </c>
      <c r="R17" s="468"/>
      <c r="S17" s="482">
        <v>0</v>
      </c>
      <c r="T17" s="507"/>
      <c r="U17" s="483">
        <v>0</v>
      </c>
    </row>
    <row r="18" spans="1:21" ht="14.4" customHeight="1" x14ac:dyDescent="0.3">
      <c r="A18" s="478">
        <v>57</v>
      </c>
      <c r="B18" s="468" t="s">
        <v>289</v>
      </c>
      <c r="C18" s="468">
        <v>89301594</v>
      </c>
      <c r="D18" s="504" t="s">
        <v>289</v>
      </c>
      <c r="E18" s="505" t="s">
        <v>300</v>
      </c>
      <c r="F18" s="468" t="s">
        <v>290</v>
      </c>
      <c r="G18" s="468" t="s">
        <v>307</v>
      </c>
      <c r="H18" s="468" t="s">
        <v>493</v>
      </c>
      <c r="I18" s="468" t="s">
        <v>330</v>
      </c>
      <c r="J18" s="468" t="s">
        <v>331</v>
      </c>
      <c r="K18" s="468" t="s">
        <v>310</v>
      </c>
      <c r="L18" s="506">
        <v>32.380000000000003</v>
      </c>
      <c r="M18" s="506">
        <v>485.70000000000005</v>
      </c>
      <c r="N18" s="468">
        <v>15</v>
      </c>
      <c r="O18" s="507">
        <v>0.5</v>
      </c>
      <c r="P18" s="506">
        <v>485.70000000000005</v>
      </c>
      <c r="Q18" s="482">
        <v>1</v>
      </c>
      <c r="R18" s="468">
        <v>15</v>
      </c>
      <c r="S18" s="482">
        <v>1</v>
      </c>
      <c r="T18" s="507">
        <v>0.5</v>
      </c>
      <c r="U18" s="483">
        <v>1</v>
      </c>
    </row>
    <row r="19" spans="1:21" ht="14.4" customHeight="1" x14ac:dyDescent="0.3">
      <c r="A19" s="478">
        <v>57</v>
      </c>
      <c r="B19" s="468" t="s">
        <v>289</v>
      </c>
      <c r="C19" s="468">
        <v>89301594</v>
      </c>
      <c r="D19" s="504" t="s">
        <v>289</v>
      </c>
      <c r="E19" s="505" t="s">
        <v>300</v>
      </c>
      <c r="F19" s="468" t="s">
        <v>290</v>
      </c>
      <c r="G19" s="468" t="s">
        <v>307</v>
      </c>
      <c r="H19" s="468" t="s">
        <v>493</v>
      </c>
      <c r="I19" s="468" t="s">
        <v>332</v>
      </c>
      <c r="J19" s="468" t="s">
        <v>333</v>
      </c>
      <c r="K19" s="468" t="s">
        <v>310</v>
      </c>
      <c r="L19" s="506">
        <v>32.380000000000003</v>
      </c>
      <c r="M19" s="506">
        <v>323.8</v>
      </c>
      <c r="N19" s="468">
        <v>10</v>
      </c>
      <c r="O19" s="507">
        <v>0.5</v>
      </c>
      <c r="P19" s="506"/>
      <c r="Q19" s="482">
        <v>0</v>
      </c>
      <c r="R19" s="468"/>
      <c r="S19" s="482">
        <v>0</v>
      </c>
      <c r="T19" s="507"/>
      <c r="U19" s="483">
        <v>0</v>
      </c>
    </row>
    <row r="20" spans="1:21" ht="14.4" customHeight="1" x14ac:dyDescent="0.3">
      <c r="A20" s="478">
        <v>57</v>
      </c>
      <c r="B20" s="468" t="s">
        <v>289</v>
      </c>
      <c r="C20" s="468">
        <v>89301594</v>
      </c>
      <c r="D20" s="504" t="s">
        <v>289</v>
      </c>
      <c r="E20" s="505" t="s">
        <v>300</v>
      </c>
      <c r="F20" s="468" t="s">
        <v>290</v>
      </c>
      <c r="G20" s="468" t="s">
        <v>307</v>
      </c>
      <c r="H20" s="468" t="s">
        <v>493</v>
      </c>
      <c r="I20" s="468" t="s">
        <v>334</v>
      </c>
      <c r="J20" s="468" t="s">
        <v>335</v>
      </c>
      <c r="K20" s="468" t="s">
        <v>336</v>
      </c>
      <c r="L20" s="506">
        <v>189.56</v>
      </c>
      <c r="M20" s="506">
        <v>21609.839999999997</v>
      </c>
      <c r="N20" s="468">
        <v>114</v>
      </c>
      <c r="O20" s="507">
        <v>7.5</v>
      </c>
      <c r="P20" s="506">
        <v>2085.16</v>
      </c>
      <c r="Q20" s="482">
        <v>9.6491228070175447E-2</v>
      </c>
      <c r="R20" s="468">
        <v>11</v>
      </c>
      <c r="S20" s="482">
        <v>9.6491228070175433E-2</v>
      </c>
      <c r="T20" s="507">
        <v>1.5</v>
      </c>
      <c r="U20" s="483">
        <v>0.2</v>
      </c>
    </row>
    <row r="21" spans="1:21" ht="14.4" customHeight="1" x14ac:dyDescent="0.3">
      <c r="A21" s="478">
        <v>57</v>
      </c>
      <c r="B21" s="468" t="s">
        <v>289</v>
      </c>
      <c r="C21" s="468">
        <v>89301594</v>
      </c>
      <c r="D21" s="504" t="s">
        <v>289</v>
      </c>
      <c r="E21" s="505" t="s">
        <v>300</v>
      </c>
      <c r="F21" s="468" t="s">
        <v>290</v>
      </c>
      <c r="G21" s="468" t="s">
        <v>307</v>
      </c>
      <c r="H21" s="468" t="s">
        <v>493</v>
      </c>
      <c r="I21" s="468" t="s">
        <v>334</v>
      </c>
      <c r="J21" s="468" t="s">
        <v>335</v>
      </c>
      <c r="K21" s="468" t="s">
        <v>336</v>
      </c>
      <c r="L21" s="506">
        <v>194.26</v>
      </c>
      <c r="M21" s="506">
        <v>54781.32</v>
      </c>
      <c r="N21" s="468">
        <v>282</v>
      </c>
      <c r="O21" s="507">
        <v>30.5</v>
      </c>
      <c r="P21" s="506">
        <v>18648.96</v>
      </c>
      <c r="Q21" s="482">
        <v>0.34042553191489361</v>
      </c>
      <c r="R21" s="468">
        <v>96</v>
      </c>
      <c r="S21" s="482">
        <v>0.34042553191489361</v>
      </c>
      <c r="T21" s="507">
        <v>11</v>
      </c>
      <c r="U21" s="483">
        <v>0.36065573770491804</v>
      </c>
    </row>
    <row r="22" spans="1:21" ht="14.4" customHeight="1" x14ac:dyDescent="0.3">
      <c r="A22" s="478">
        <v>57</v>
      </c>
      <c r="B22" s="468" t="s">
        <v>289</v>
      </c>
      <c r="C22" s="468">
        <v>89301594</v>
      </c>
      <c r="D22" s="504" t="s">
        <v>289</v>
      </c>
      <c r="E22" s="505" t="s">
        <v>300</v>
      </c>
      <c r="F22" s="468" t="s">
        <v>290</v>
      </c>
      <c r="G22" s="468" t="s">
        <v>307</v>
      </c>
      <c r="H22" s="468" t="s">
        <v>493</v>
      </c>
      <c r="I22" s="468" t="s">
        <v>337</v>
      </c>
      <c r="J22" s="468" t="s">
        <v>338</v>
      </c>
      <c r="K22" s="468" t="s">
        <v>310</v>
      </c>
      <c r="L22" s="506">
        <v>33.090000000000003</v>
      </c>
      <c r="M22" s="506">
        <v>496.35</v>
      </c>
      <c r="N22" s="468">
        <v>15</v>
      </c>
      <c r="O22" s="507">
        <v>0.5</v>
      </c>
      <c r="P22" s="506"/>
      <c r="Q22" s="482">
        <v>0</v>
      </c>
      <c r="R22" s="468"/>
      <c r="S22" s="482">
        <v>0</v>
      </c>
      <c r="T22" s="507"/>
      <c r="U22" s="483">
        <v>0</v>
      </c>
    </row>
    <row r="23" spans="1:21" ht="14.4" customHeight="1" x14ac:dyDescent="0.3">
      <c r="A23" s="478">
        <v>57</v>
      </c>
      <c r="B23" s="468" t="s">
        <v>289</v>
      </c>
      <c r="C23" s="468">
        <v>89301594</v>
      </c>
      <c r="D23" s="504" t="s">
        <v>289</v>
      </c>
      <c r="E23" s="505" t="s">
        <v>300</v>
      </c>
      <c r="F23" s="468" t="s">
        <v>290</v>
      </c>
      <c r="G23" s="468" t="s">
        <v>307</v>
      </c>
      <c r="H23" s="468" t="s">
        <v>493</v>
      </c>
      <c r="I23" s="468" t="s">
        <v>339</v>
      </c>
      <c r="J23" s="468" t="s">
        <v>340</v>
      </c>
      <c r="K23" s="468" t="s">
        <v>310</v>
      </c>
      <c r="L23" s="506">
        <v>21.06</v>
      </c>
      <c r="M23" s="506">
        <v>631.79999999999995</v>
      </c>
      <c r="N23" s="468">
        <v>30</v>
      </c>
      <c r="O23" s="507">
        <v>1</v>
      </c>
      <c r="P23" s="506">
        <v>631.79999999999995</v>
      </c>
      <c r="Q23" s="482">
        <v>1</v>
      </c>
      <c r="R23" s="468">
        <v>30</v>
      </c>
      <c r="S23" s="482">
        <v>1</v>
      </c>
      <c r="T23" s="507">
        <v>1</v>
      </c>
      <c r="U23" s="483">
        <v>1</v>
      </c>
    </row>
    <row r="24" spans="1:21" ht="14.4" customHeight="1" x14ac:dyDescent="0.3">
      <c r="A24" s="478">
        <v>57</v>
      </c>
      <c r="B24" s="468" t="s">
        <v>289</v>
      </c>
      <c r="C24" s="468">
        <v>89301594</v>
      </c>
      <c r="D24" s="504" t="s">
        <v>289</v>
      </c>
      <c r="E24" s="505" t="s">
        <v>300</v>
      </c>
      <c r="F24" s="468" t="s">
        <v>290</v>
      </c>
      <c r="G24" s="468" t="s">
        <v>307</v>
      </c>
      <c r="H24" s="468" t="s">
        <v>493</v>
      </c>
      <c r="I24" s="468" t="s">
        <v>308</v>
      </c>
      <c r="J24" s="468" t="s">
        <v>309</v>
      </c>
      <c r="K24" s="468" t="s">
        <v>310</v>
      </c>
      <c r="L24" s="506">
        <v>21.06</v>
      </c>
      <c r="M24" s="506">
        <v>1579.5</v>
      </c>
      <c r="N24" s="468">
        <v>75</v>
      </c>
      <c r="O24" s="507">
        <v>2.5</v>
      </c>
      <c r="P24" s="506">
        <v>1263.5999999999999</v>
      </c>
      <c r="Q24" s="482">
        <v>0.79999999999999993</v>
      </c>
      <c r="R24" s="468">
        <v>60</v>
      </c>
      <c r="S24" s="482">
        <v>0.8</v>
      </c>
      <c r="T24" s="507">
        <v>2</v>
      </c>
      <c r="U24" s="483">
        <v>0.8</v>
      </c>
    </row>
    <row r="25" spans="1:21" ht="14.4" customHeight="1" x14ac:dyDescent="0.3">
      <c r="A25" s="478">
        <v>57</v>
      </c>
      <c r="B25" s="468" t="s">
        <v>289</v>
      </c>
      <c r="C25" s="468">
        <v>89301594</v>
      </c>
      <c r="D25" s="504" t="s">
        <v>289</v>
      </c>
      <c r="E25" s="505" t="s">
        <v>300</v>
      </c>
      <c r="F25" s="468" t="s">
        <v>290</v>
      </c>
      <c r="G25" s="468" t="s">
        <v>307</v>
      </c>
      <c r="H25" s="468" t="s">
        <v>493</v>
      </c>
      <c r="I25" s="468" t="s">
        <v>341</v>
      </c>
      <c r="J25" s="468" t="s">
        <v>342</v>
      </c>
      <c r="K25" s="468" t="s">
        <v>310</v>
      </c>
      <c r="L25" s="506">
        <v>26.33</v>
      </c>
      <c r="M25" s="506">
        <v>2238.0499999999997</v>
      </c>
      <c r="N25" s="468">
        <v>85</v>
      </c>
      <c r="O25" s="507">
        <v>3</v>
      </c>
      <c r="P25" s="506">
        <v>1711.4499999999998</v>
      </c>
      <c r="Q25" s="482">
        <v>0.76470588235294124</v>
      </c>
      <c r="R25" s="468">
        <v>65</v>
      </c>
      <c r="S25" s="482">
        <v>0.76470588235294112</v>
      </c>
      <c r="T25" s="507">
        <v>2</v>
      </c>
      <c r="U25" s="483">
        <v>0.66666666666666663</v>
      </c>
    </row>
    <row r="26" spans="1:21" ht="14.4" customHeight="1" x14ac:dyDescent="0.3">
      <c r="A26" s="478">
        <v>57</v>
      </c>
      <c r="B26" s="468" t="s">
        <v>289</v>
      </c>
      <c r="C26" s="468">
        <v>89301594</v>
      </c>
      <c r="D26" s="504" t="s">
        <v>289</v>
      </c>
      <c r="E26" s="505" t="s">
        <v>300</v>
      </c>
      <c r="F26" s="468" t="s">
        <v>290</v>
      </c>
      <c r="G26" s="468" t="s">
        <v>307</v>
      </c>
      <c r="H26" s="468" t="s">
        <v>493</v>
      </c>
      <c r="I26" s="468" t="s">
        <v>343</v>
      </c>
      <c r="J26" s="468" t="s">
        <v>344</v>
      </c>
      <c r="K26" s="468" t="s">
        <v>310</v>
      </c>
      <c r="L26" s="506">
        <v>26.33</v>
      </c>
      <c r="M26" s="506">
        <v>1974.75</v>
      </c>
      <c r="N26" s="468">
        <v>75</v>
      </c>
      <c r="O26" s="507">
        <v>4</v>
      </c>
      <c r="P26" s="506">
        <v>1843.1</v>
      </c>
      <c r="Q26" s="482">
        <v>0.93333333333333324</v>
      </c>
      <c r="R26" s="468">
        <v>70</v>
      </c>
      <c r="S26" s="482">
        <v>0.93333333333333335</v>
      </c>
      <c r="T26" s="507">
        <v>3.5</v>
      </c>
      <c r="U26" s="483">
        <v>0.875</v>
      </c>
    </row>
    <row r="27" spans="1:21" ht="14.4" customHeight="1" x14ac:dyDescent="0.3">
      <c r="A27" s="478">
        <v>57</v>
      </c>
      <c r="B27" s="468" t="s">
        <v>289</v>
      </c>
      <c r="C27" s="468">
        <v>89301594</v>
      </c>
      <c r="D27" s="504" t="s">
        <v>289</v>
      </c>
      <c r="E27" s="505" t="s">
        <v>300</v>
      </c>
      <c r="F27" s="468" t="s">
        <v>290</v>
      </c>
      <c r="G27" s="468" t="s">
        <v>307</v>
      </c>
      <c r="H27" s="468" t="s">
        <v>493</v>
      </c>
      <c r="I27" s="468" t="s">
        <v>345</v>
      </c>
      <c r="J27" s="468" t="s">
        <v>346</v>
      </c>
      <c r="K27" s="468" t="s">
        <v>310</v>
      </c>
      <c r="L27" s="506">
        <v>26.33</v>
      </c>
      <c r="M27" s="506">
        <v>1448.15</v>
      </c>
      <c r="N27" s="468">
        <v>55</v>
      </c>
      <c r="O27" s="507">
        <v>2</v>
      </c>
      <c r="P27" s="506">
        <v>658.25</v>
      </c>
      <c r="Q27" s="482">
        <v>0.45454545454545453</v>
      </c>
      <c r="R27" s="468">
        <v>25</v>
      </c>
      <c r="S27" s="482">
        <v>0.45454545454545453</v>
      </c>
      <c r="T27" s="507">
        <v>0.5</v>
      </c>
      <c r="U27" s="483">
        <v>0.25</v>
      </c>
    </row>
    <row r="28" spans="1:21" ht="14.4" customHeight="1" x14ac:dyDescent="0.3">
      <c r="A28" s="478">
        <v>57</v>
      </c>
      <c r="B28" s="468" t="s">
        <v>289</v>
      </c>
      <c r="C28" s="468">
        <v>89301594</v>
      </c>
      <c r="D28" s="504" t="s">
        <v>289</v>
      </c>
      <c r="E28" s="505" t="s">
        <v>300</v>
      </c>
      <c r="F28" s="468" t="s">
        <v>290</v>
      </c>
      <c r="G28" s="468" t="s">
        <v>307</v>
      </c>
      <c r="H28" s="468" t="s">
        <v>493</v>
      </c>
      <c r="I28" s="468" t="s">
        <v>347</v>
      </c>
      <c r="J28" s="468" t="s">
        <v>348</v>
      </c>
      <c r="K28" s="468" t="s">
        <v>310</v>
      </c>
      <c r="L28" s="506">
        <v>31.59</v>
      </c>
      <c r="M28" s="506">
        <v>916.1099999999999</v>
      </c>
      <c r="N28" s="468">
        <v>29</v>
      </c>
      <c r="O28" s="507">
        <v>1</v>
      </c>
      <c r="P28" s="506"/>
      <c r="Q28" s="482">
        <v>0</v>
      </c>
      <c r="R28" s="468"/>
      <c r="S28" s="482">
        <v>0</v>
      </c>
      <c r="T28" s="507"/>
      <c r="U28" s="483">
        <v>0</v>
      </c>
    </row>
    <row r="29" spans="1:21" ht="14.4" customHeight="1" x14ac:dyDescent="0.3">
      <c r="A29" s="478">
        <v>57</v>
      </c>
      <c r="B29" s="468" t="s">
        <v>289</v>
      </c>
      <c r="C29" s="468">
        <v>89301594</v>
      </c>
      <c r="D29" s="504" t="s">
        <v>289</v>
      </c>
      <c r="E29" s="505" t="s">
        <v>300</v>
      </c>
      <c r="F29" s="468" t="s">
        <v>290</v>
      </c>
      <c r="G29" s="468" t="s">
        <v>307</v>
      </c>
      <c r="H29" s="468" t="s">
        <v>493</v>
      </c>
      <c r="I29" s="468" t="s">
        <v>349</v>
      </c>
      <c r="J29" s="468" t="s">
        <v>350</v>
      </c>
      <c r="K29" s="468" t="s">
        <v>310</v>
      </c>
      <c r="L29" s="506">
        <v>31.59</v>
      </c>
      <c r="M29" s="506">
        <v>916.1099999999999</v>
      </c>
      <c r="N29" s="468">
        <v>29</v>
      </c>
      <c r="O29" s="507">
        <v>1</v>
      </c>
      <c r="P29" s="506"/>
      <c r="Q29" s="482">
        <v>0</v>
      </c>
      <c r="R29" s="468"/>
      <c r="S29" s="482">
        <v>0</v>
      </c>
      <c r="T29" s="507"/>
      <c r="U29" s="483">
        <v>0</v>
      </c>
    </row>
    <row r="30" spans="1:21" ht="14.4" customHeight="1" x14ac:dyDescent="0.3">
      <c r="A30" s="478">
        <v>57</v>
      </c>
      <c r="B30" s="468" t="s">
        <v>289</v>
      </c>
      <c r="C30" s="468">
        <v>89301594</v>
      </c>
      <c r="D30" s="504" t="s">
        <v>289</v>
      </c>
      <c r="E30" s="505" t="s">
        <v>300</v>
      </c>
      <c r="F30" s="468" t="s">
        <v>290</v>
      </c>
      <c r="G30" s="468" t="s">
        <v>307</v>
      </c>
      <c r="H30" s="468" t="s">
        <v>493</v>
      </c>
      <c r="I30" s="468" t="s">
        <v>351</v>
      </c>
      <c r="J30" s="468" t="s">
        <v>352</v>
      </c>
      <c r="K30" s="468" t="s">
        <v>310</v>
      </c>
      <c r="L30" s="506">
        <v>31.59</v>
      </c>
      <c r="M30" s="506">
        <v>473.85</v>
      </c>
      <c r="N30" s="468">
        <v>15</v>
      </c>
      <c r="O30" s="507">
        <v>0.5</v>
      </c>
      <c r="P30" s="506">
        <v>473.85</v>
      </c>
      <c r="Q30" s="482">
        <v>1</v>
      </c>
      <c r="R30" s="468">
        <v>15</v>
      </c>
      <c r="S30" s="482">
        <v>1</v>
      </c>
      <c r="T30" s="507">
        <v>0.5</v>
      </c>
      <c r="U30" s="483">
        <v>1</v>
      </c>
    </row>
    <row r="31" spans="1:21" ht="14.4" customHeight="1" x14ac:dyDescent="0.3">
      <c r="A31" s="478">
        <v>57</v>
      </c>
      <c r="B31" s="468" t="s">
        <v>289</v>
      </c>
      <c r="C31" s="468">
        <v>89301594</v>
      </c>
      <c r="D31" s="504" t="s">
        <v>289</v>
      </c>
      <c r="E31" s="505" t="s">
        <v>300</v>
      </c>
      <c r="F31" s="468" t="s">
        <v>290</v>
      </c>
      <c r="G31" s="468" t="s">
        <v>307</v>
      </c>
      <c r="H31" s="468" t="s">
        <v>493</v>
      </c>
      <c r="I31" s="468" t="s">
        <v>311</v>
      </c>
      <c r="J31" s="468" t="s">
        <v>312</v>
      </c>
      <c r="K31" s="468" t="s">
        <v>313</v>
      </c>
      <c r="L31" s="506">
        <v>105.31</v>
      </c>
      <c r="M31" s="506">
        <v>130900.32999999999</v>
      </c>
      <c r="N31" s="468">
        <v>1243</v>
      </c>
      <c r="O31" s="507">
        <v>30.5</v>
      </c>
      <c r="P31" s="506">
        <v>87301.989999999991</v>
      </c>
      <c r="Q31" s="482">
        <v>0.66693483507642803</v>
      </c>
      <c r="R31" s="468">
        <v>829</v>
      </c>
      <c r="S31" s="482">
        <v>0.66693483507642803</v>
      </c>
      <c r="T31" s="507">
        <v>19</v>
      </c>
      <c r="U31" s="483">
        <v>0.62295081967213117</v>
      </c>
    </row>
    <row r="32" spans="1:21" ht="14.4" customHeight="1" x14ac:dyDescent="0.3">
      <c r="A32" s="478">
        <v>57</v>
      </c>
      <c r="B32" s="468" t="s">
        <v>289</v>
      </c>
      <c r="C32" s="468">
        <v>89301594</v>
      </c>
      <c r="D32" s="504" t="s">
        <v>289</v>
      </c>
      <c r="E32" s="505" t="s">
        <v>300</v>
      </c>
      <c r="F32" s="468" t="s">
        <v>290</v>
      </c>
      <c r="G32" s="468" t="s">
        <v>307</v>
      </c>
      <c r="H32" s="468" t="s">
        <v>493</v>
      </c>
      <c r="I32" s="468" t="s">
        <v>353</v>
      </c>
      <c r="J32" s="468" t="s">
        <v>312</v>
      </c>
      <c r="K32" s="468" t="s">
        <v>354</v>
      </c>
      <c r="L32" s="506">
        <v>52.66</v>
      </c>
      <c r="M32" s="506">
        <v>1579.8</v>
      </c>
      <c r="N32" s="468">
        <v>30</v>
      </c>
      <c r="O32" s="507">
        <v>1</v>
      </c>
      <c r="P32" s="506"/>
      <c r="Q32" s="482">
        <v>0</v>
      </c>
      <c r="R32" s="468"/>
      <c r="S32" s="482">
        <v>0</v>
      </c>
      <c r="T32" s="507"/>
      <c r="U32" s="483">
        <v>0</v>
      </c>
    </row>
    <row r="33" spans="1:21" ht="14.4" customHeight="1" x14ac:dyDescent="0.3">
      <c r="A33" s="478">
        <v>57</v>
      </c>
      <c r="B33" s="468" t="s">
        <v>289</v>
      </c>
      <c r="C33" s="468">
        <v>89301594</v>
      </c>
      <c r="D33" s="504" t="s">
        <v>289</v>
      </c>
      <c r="E33" s="505" t="s">
        <v>300</v>
      </c>
      <c r="F33" s="468" t="s">
        <v>290</v>
      </c>
      <c r="G33" s="468" t="s">
        <v>307</v>
      </c>
      <c r="H33" s="468" t="s">
        <v>493</v>
      </c>
      <c r="I33" s="468" t="s">
        <v>314</v>
      </c>
      <c r="J33" s="468" t="s">
        <v>315</v>
      </c>
      <c r="K33" s="468" t="s">
        <v>313</v>
      </c>
      <c r="L33" s="506">
        <v>108.47</v>
      </c>
      <c r="M33" s="506">
        <v>65190.469999999994</v>
      </c>
      <c r="N33" s="468">
        <v>601</v>
      </c>
      <c r="O33" s="507">
        <v>10</v>
      </c>
      <c r="P33" s="506">
        <v>60526.259999999995</v>
      </c>
      <c r="Q33" s="482">
        <v>0.92845257903494172</v>
      </c>
      <c r="R33" s="468">
        <v>558</v>
      </c>
      <c r="S33" s="482">
        <v>0.92845257903494172</v>
      </c>
      <c r="T33" s="507">
        <v>8</v>
      </c>
      <c r="U33" s="483">
        <v>0.8</v>
      </c>
    </row>
    <row r="34" spans="1:21" ht="14.4" customHeight="1" x14ac:dyDescent="0.3">
      <c r="A34" s="478">
        <v>57</v>
      </c>
      <c r="B34" s="468" t="s">
        <v>289</v>
      </c>
      <c r="C34" s="468">
        <v>89301594</v>
      </c>
      <c r="D34" s="504" t="s">
        <v>289</v>
      </c>
      <c r="E34" s="505" t="s">
        <v>300</v>
      </c>
      <c r="F34" s="468" t="s">
        <v>290</v>
      </c>
      <c r="G34" s="468" t="s">
        <v>307</v>
      </c>
      <c r="H34" s="468" t="s">
        <v>493</v>
      </c>
      <c r="I34" s="468" t="s">
        <v>355</v>
      </c>
      <c r="J34" s="468" t="s">
        <v>320</v>
      </c>
      <c r="K34" s="468" t="s">
        <v>313</v>
      </c>
      <c r="L34" s="506">
        <v>162.28</v>
      </c>
      <c r="M34" s="506">
        <v>2271.92</v>
      </c>
      <c r="N34" s="468">
        <v>14</v>
      </c>
      <c r="O34" s="507">
        <v>1</v>
      </c>
      <c r="P34" s="506">
        <v>2271.92</v>
      </c>
      <c r="Q34" s="482">
        <v>1</v>
      </c>
      <c r="R34" s="468">
        <v>14</v>
      </c>
      <c r="S34" s="482">
        <v>1</v>
      </c>
      <c r="T34" s="507">
        <v>1</v>
      </c>
      <c r="U34" s="483">
        <v>1</v>
      </c>
    </row>
    <row r="35" spans="1:21" ht="14.4" customHeight="1" x14ac:dyDescent="0.3">
      <c r="A35" s="478">
        <v>57</v>
      </c>
      <c r="B35" s="468" t="s">
        <v>289</v>
      </c>
      <c r="C35" s="468">
        <v>89301594</v>
      </c>
      <c r="D35" s="504" t="s">
        <v>289</v>
      </c>
      <c r="E35" s="505" t="s">
        <v>300</v>
      </c>
      <c r="F35" s="468" t="s">
        <v>290</v>
      </c>
      <c r="G35" s="468" t="s">
        <v>307</v>
      </c>
      <c r="H35" s="468" t="s">
        <v>493</v>
      </c>
      <c r="I35" s="468" t="s">
        <v>356</v>
      </c>
      <c r="J35" s="468" t="s">
        <v>357</v>
      </c>
      <c r="K35" s="468" t="s">
        <v>310</v>
      </c>
      <c r="L35" s="506">
        <v>21.91</v>
      </c>
      <c r="M35" s="506">
        <v>1424.15</v>
      </c>
      <c r="N35" s="468">
        <v>65</v>
      </c>
      <c r="O35" s="507">
        <v>2.5</v>
      </c>
      <c r="P35" s="506">
        <v>1095.5</v>
      </c>
      <c r="Q35" s="482">
        <v>0.76923076923076916</v>
      </c>
      <c r="R35" s="468">
        <v>50</v>
      </c>
      <c r="S35" s="482">
        <v>0.76923076923076927</v>
      </c>
      <c r="T35" s="507">
        <v>2</v>
      </c>
      <c r="U35" s="483">
        <v>0.8</v>
      </c>
    </row>
    <row r="36" spans="1:21" ht="14.4" customHeight="1" x14ac:dyDescent="0.3">
      <c r="A36" s="478">
        <v>57</v>
      </c>
      <c r="B36" s="468" t="s">
        <v>289</v>
      </c>
      <c r="C36" s="468">
        <v>89301594</v>
      </c>
      <c r="D36" s="504" t="s">
        <v>289</v>
      </c>
      <c r="E36" s="505" t="s">
        <v>300</v>
      </c>
      <c r="F36" s="468" t="s">
        <v>290</v>
      </c>
      <c r="G36" s="468" t="s">
        <v>307</v>
      </c>
      <c r="H36" s="468" t="s">
        <v>493</v>
      </c>
      <c r="I36" s="468" t="s">
        <v>358</v>
      </c>
      <c r="J36" s="468" t="s">
        <v>359</v>
      </c>
      <c r="K36" s="468" t="s">
        <v>310</v>
      </c>
      <c r="L36" s="506">
        <v>32.380000000000003</v>
      </c>
      <c r="M36" s="506">
        <v>259.04000000000002</v>
      </c>
      <c r="N36" s="468">
        <v>8</v>
      </c>
      <c r="O36" s="507">
        <v>0.5</v>
      </c>
      <c r="P36" s="506"/>
      <c r="Q36" s="482">
        <v>0</v>
      </c>
      <c r="R36" s="468"/>
      <c r="S36" s="482">
        <v>0</v>
      </c>
      <c r="T36" s="507"/>
      <c r="U36" s="483">
        <v>0</v>
      </c>
    </row>
    <row r="37" spans="1:21" ht="14.4" customHeight="1" x14ac:dyDescent="0.3">
      <c r="A37" s="478">
        <v>57</v>
      </c>
      <c r="B37" s="468" t="s">
        <v>289</v>
      </c>
      <c r="C37" s="468">
        <v>89301594</v>
      </c>
      <c r="D37" s="504" t="s">
        <v>289</v>
      </c>
      <c r="E37" s="505" t="s">
        <v>300</v>
      </c>
      <c r="F37" s="468" t="s">
        <v>290</v>
      </c>
      <c r="G37" s="468" t="s">
        <v>307</v>
      </c>
      <c r="H37" s="468" t="s">
        <v>493</v>
      </c>
      <c r="I37" s="468" t="s">
        <v>316</v>
      </c>
      <c r="J37" s="468" t="s">
        <v>317</v>
      </c>
      <c r="K37" s="468" t="s">
        <v>318</v>
      </c>
      <c r="L37" s="506">
        <v>127.34</v>
      </c>
      <c r="M37" s="506">
        <v>891.38</v>
      </c>
      <c r="N37" s="468">
        <v>7</v>
      </c>
      <c r="O37" s="507">
        <v>1.5</v>
      </c>
      <c r="P37" s="506">
        <v>891.38</v>
      </c>
      <c r="Q37" s="482">
        <v>1</v>
      </c>
      <c r="R37" s="468">
        <v>7</v>
      </c>
      <c r="S37" s="482">
        <v>1</v>
      </c>
      <c r="T37" s="507">
        <v>1.5</v>
      </c>
      <c r="U37" s="483">
        <v>1</v>
      </c>
    </row>
    <row r="38" spans="1:21" ht="14.4" customHeight="1" x14ac:dyDescent="0.3">
      <c r="A38" s="478">
        <v>57</v>
      </c>
      <c r="B38" s="468" t="s">
        <v>289</v>
      </c>
      <c r="C38" s="468">
        <v>89301594</v>
      </c>
      <c r="D38" s="504" t="s">
        <v>289</v>
      </c>
      <c r="E38" s="505" t="s">
        <v>300</v>
      </c>
      <c r="F38" s="468" t="s">
        <v>290</v>
      </c>
      <c r="G38" s="468" t="s">
        <v>307</v>
      </c>
      <c r="H38" s="468" t="s">
        <v>493</v>
      </c>
      <c r="I38" s="468" t="s">
        <v>360</v>
      </c>
      <c r="J38" s="468" t="s">
        <v>361</v>
      </c>
      <c r="K38" s="468" t="s">
        <v>318</v>
      </c>
      <c r="L38" s="506">
        <v>126.28</v>
      </c>
      <c r="M38" s="506">
        <v>1262.8</v>
      </c>
      <c r="N38" s="468">
        <v>10</v>
      </c>
      <c r="O38" s="507">
        <v>0.5</v>
      </c>
      <c r="P38" s="506">
        <v>1262.8</v>
      </c>
      <c r="Q38" s="482">
        <v>1</v>
      </c>
      <c r="R38" s="468">
        <v>10</v>
      </c>
      <c r="S38" s="482">
        <v>1</v>
      </c>
      <c r="T38" s="507">
        <v>0.5</v>
      </c>
      <c r="U38" s="483">
        <v>1</v>
      </c>
    </row>
    <row r="39" spans="1:21" ht="14.4" customHeight="1" x14ac:dyDescent="0.3">
      <c r="A39" s="478">
        <v>57</v>
      </c>
      <c r="B39" s="468" t="s">
        <v>289</v>
      </c>
      <c r="C39" s="468">
        <v>89301594</v>
      </c>
      <c r="D39" s="504" t="s">
        <v>289</v>
      </c>
      <c r="E39" s="505" t="s">
        <v>300</v>
      </c>
      <c r="F39" s="468" t="s">
        <v>290</v>
      </c>
      <c r="G39" s="468" t="s">
        <v>307</v>
      </c>
      <c r="H39" s="468" t="s">
        <v>493</v>
      </c>
      <c r="I39" s="468" t="s">
        <v>360</v>
      </c>
      <c r="J39" s="468" t="s">
        <v>361</v>
      </c>
      <c r="K39" s="468" t="s">
        <v>318</v>
      </c>
      <c r="L39" s="506">
        <v>127.34</v>
      </c>
      <c r="M39" s="506">
        <v>2164.7800000000002</v>
      </c>
      <c r="N39" s="468">
        <v>17</v>
      </c>
      <c r="O39" s="507">
        <v>2</v>
      </c>
      <c r="P39" s="506">
        <v>2164.7800000000002</v>
      </c>
      <c r="Q39" s="482">
        <v>1</v>
      </c>
      <c r="R39" s="468">
        <v>17</v>
      </c>
      <c r="S39" s="482">
        <v>1</v>
      </c>
      <c r="T39" s="507">
        <v>2</v>
      </c>
      <c r="U39" s="483">
        <v>1</v>
      </c>
    </row>
    <row r="40" spans="1:21" ht="14.4" customHeight="1" x14ac:dyDescent="0.3">
      <c r="A40" s="478">
        <v>57</v>
      </c>
      <c r="B40" s="468" t="s">
        <v>289</v>
      </c>
      <c r="C40" s="468">
        <v>89301594</v>
      </c>
      <c r="D40" s="504" t="s">
        <v>289</v>
      </c>
      <c r="E40" s="505" t="s">
        <v>300</v>
      </c>
      <c r="F40" s="468" t="s">
        <v>290</v>
      </c>
      <c r="G40" s="468" t="s">
        <v>307</v>
      </c>
      <c r="H40" s="468" t="s">
        <v>493</v>
      </c>
      <c r="I40" s="468" t="s">
        <v>362</v>
      </c>
      <c r="J40" s="468" t="s">
        <v>363</v>
      </c>
      <c r="K40" s="468" t="s">
        <v>364</v>
      </c>
      <c r="L40" s="506">
        <v>84.19</v>
      </c>
      <c r="M40" s="506">
        <v>168.38</v>
      </c>
      <c r="N40" s="468">
        <v>2</v>
      </c>
      <c r="O40" s="507">
        <v>0.5</v>
      </c>
      <c r="P40" s="506"/>
      <c r="Q40" s="482">
        <v>0</v>
      </c>
      <c r="R40" s="468"/>
      <c r="S40" s="482">
        <v>0</v>
      </c>
      <c r="T40" s="507"/>
      <c r="U40" s="483">
        <v>0</v>
      </c>
    </row>
    <row r="41" spans="1:21" ht="14.4" customHeight="1" x14ac:dyDescent="0.3">
      <c r="A41" s="478">
        <v>57</v>
      </c>
      <c r="B41" s="468" t="s">
        <v>289</v>
      </c>
      <c r="C41" s="468">
        <v>89301594</v>
      </c>
      <c r="D41" s="504" t="s">
        <v>289</v>
      </c>
      <c r="E41" s="505" t="s">
        <v>300</v>
      </c>
      <c r="F41" s="468" t="s">
        <v>290</v>
      </c>
      <c r="G41" s="468" t="s">
        <v>307</v>
      </c>
      <c r="H41" s="468" t="s">
        <v>493</v>
      </c>
      <c r="I41" s="468" t="s">
        <v>362</v>
      </c>
      <c r="J41" s="468" t="s">
        <v>363</v>
      </c>
      <c r="K41" s="468" t="s">
        <v>364</v>
      </c>
      <c r="L41" s="506">
        <v>84.89</v>
      </c>
      <c r="M41" s="506">
        <v>1358.24</v>
      </c>
      <c r="N41" s="468">
        <v>16</v>
      </c>
      <c r="O41" s="507">
        <v>2</v>
      </c>
      <c r="P41" s="506"/>
      <c r="Q41" s="482">
        <v>0</v>
      </c>
      <c r="R41" s="468"/>
      <c r="S41" s="482">
        <v>0</v>
      </c>
      <c r="T41" s="507"/>
      <c r="U41" s="483">
        <v>0</v>
      </c>
    </row>
    <row r="42" spans="1:21" ht="14.4" customHeight="1" x14ac:dyDescent="0.3">
      <c r="A42" s="478">
        <v>57</v>
      </c>
      <c r="B42" s="468" t="s">
        <v>289</v>
      </c>
      <c r="C42" s="468">
        <v>89301594</v>
      </c>
      <c r="D42" s="504" t="s">
        <v>289</v>
      </c>
      <c r="E42" s="505" t="s">
        <v>300</v>
      </c>
      <c r="F42" s="468" t="s">
        <v>290</v>
      </c>
      <c r="G42" s="468" t="s">
        <v>307</v>
      </c>
      <c r="H42" s="468" t="s">
        <v>493</v>
      </c>
      <c r="I42" s="468" t="s">
        <v>365</v>
      </c>
      <c r="J42" s="468" t="s">
        <v>366</v>
      </c>
      <c r="K42" s="468" t="s">
        <v>364</v>
      </c>
      <c r="L42" s="506">
        <v>84.19</v>
      </c>
      <c r="M42" s="506">
        <v>168.38</v>
      </c>
      <c r="N42" s="468">
        <v>2</v>
      </c>
      <c r="O42" s="507">
        <v>0.5</v>
      </c>
      <c r="P42" s="506"/>
      <c r="Q42" s="482">
        <v>0</v>
      </c>
      <c r="R42" s="468"/>
      <c r="S42" s="482">
        <v>0</v>
      </c>
      <c r="T42" s="507"/>
      <c r="U42" s="483">
        <v>0</v>
      </c>
    </row>
    <row r="43" spans="1:21" ht="14.4" customHeight="1" x14ac:dyDescent="0.3">
      <c r="A43" s="478">
        <v>57</v>
      </c>
      <c r="B43" s="468" t="s">
        <v>289</v>
      </c>
      <c r="C43" s="468">
        <v>89301594</v>
      </c>
      <c r="D43" s="504" t="s">
        <v>289</v>
      </c>
      <c r="E43" s="505" t="s">
        <v>300</v>
      </c>
      <c r="F43" s="468" t="s">
        <v>290</v>
      </c>
      <c r="G43" s="468" t="s">
        <v>307</v>
      </c>
      <c r="H43" s="468" t="s">
        <v>493</v>
      </c>
      <c r="I43" s="468" t="s">
        <v>365</v>
      </c>
      <c r="J43" s="468" t="s">
        <v>366</v>
      </c>
      <c r="K43" s="468" t="s">
        <v>364</v>
      </c>
      <c r="L43" s="506">
        <v>84.89</v>
      </c>
      <c r="M43" s="506">
        <v>1952.47</v>
      </c>
      <c r="N43" s="468">
        <v>23</v>
      </c>
      <c r="O43" s="507">
        <v>3</v>
      </c>
      <c r="P43" s="506"/>
      <c r="Q43" s="482">
        <v>0</v>
      </c>
      <c r="R43" s="468"/>
      <c r="S43" s="482">
        <v>0</v>
      </c>
      <c r="T43" s="507"/>
      <c r="U43" s="483">
        <v>0</v>
      </c>
    </row>
    <row r="44" spans="1:21" ht="14.4" customHeight="1" x14ac:dyDescent="0.3">
      <c r="A44" s="478">
        <v>57</v>
      </c>
      <c r="B44" s="468" t="s">
        <v>289</v>
      </c>
      <c r="C44" s="468">
        <v>89301594</v>
      </c>
      <c r="D44" s="504" t="s">
        <v>289</v>
      </c>
      <c r="E44" s="505" t="s">
        <v>300</v>
      </c>
      <c r="F44" s="468" t="s">
        <v>290</v>
      </c>
      <c r="G44" s="468" t="s">
        <v>307</v>
      </c>
      <c r="H44" s="468" t="s">
        <v>493</v>
      </c>
      <c r="I44" s="468" t="s">
        <v>367</v>
      </c>
      <c r="J44" s="468" t="s">
        <v>368</v>
      </c>
      <c r="K44" s="468" t="s">
        <v>318</v>
      </c>
      <c r="L44" s="506">
        <v>127.34</v>
      </c>
      <c r="M44" s="506">
        <v>891.38</v>
      </c>
      <c r="N44" s="468">
        <v>7</v>
      </c>
      <c r="O44" s="507">
        <v>2</v>
      </c>
      <c r="P44" s="506">
        <v>509.36</v>
      </c>
      <c r="Q44" s="482">
        <v>0.5714285714285714</v>
      </c>
      <c r="R44" s="468">
        <v>4</v>
      </c>
      <c r="S44" s="482">
        <v>0.5714285714285714</v>
      </c>
      <c r="T44" s="507">
        <v>1</v>
      </c>
      <c r="U44" s="483">
        <v>0.5</v>
      </c>
    </row>
    <row r="45" spans="1:21" ht="14.4" customHeight="1" x14ac:dyDescent="0.3">
      <c r="A45" s="478">
        <v>57</v>
      </c>
      <c r="B45" s="468" t="s">
        <v>289</v>
      </c>
      <c r="C45" s="468">
        <v>89301594</v>
      </c>
      <c r="D45" s="504" t="s">
        <v>289</v>
      </c>
      <c r="E45" s="505" t="s">
        <v>300</v>
      </c>
      <c r="F45" s="468" t="s">
        <v>290</v>
      </c>
      <c r="G45" s="468" t="s">
        <v>307</v>
      </c>
      <c r="H45" s="468" t="s">
        <v>493</v>
      </c>
      <c r="I45" s="468" t="s">
        <v>319</v>
      </c>
      <c r="J45" s="468" t="s">
        <v>320</v>
      </c>
      <c r="K45" s="468" t="s">
        <v>321</v>
      </c>
      <c r="L45" s="506">
        <v>241.69</v>
      </c>
      <c r="M45" s="506">
        <v>24169</v>
      </c>
      <c r="N45" s="468">
        <v>100</v>
      </c>
      <c r="O45" s="507">
        <v>5</v>
      </c>
      <c r="P45" s="506">
        <v>19335.2</v>
      </c>
      <c r="Q45" s="482">
        <v>0.8</v>
      </c>
      <c r="R45" s="468">
        <v>80</v>
      </c>
      <c r="S45" s="482">
        <v>0.8</v>
      </c>
      <c r="T45" s="507">
        <v>3</v>
      </c>
      <c r="U45" s="483">
        <v>0.6</v>
      </c>
    </row>
    <row r="46" spans="1:21" ht="14.4" customHeight="1" x14ac:dyDescent="0.3">
      <c r="A46" s="478">
        <v>57</v>
      </c>
      <c r="B46" s="468" t="s">
        <v>289</v>
      </c>
      <c r="C46" s="468">
        <v>89301594</v>
      </c>
      <c r="D46" s="504" t="s">
        <v>289</v>
      </c>
      <c r="E46" s="505" t="s">
        <v>300</v>
      </c>
      <c r="F46" s="468" t="s">
        <v>290</v>
      </c>
      <c r="G46" s="468" t="s">
        <v>307</v>
      </c>
      <c r="H46" s="468" t="s">
        <v>493</v>
      </c>
      <c r="I46" s="468" t="s">
        <v>319</v>
      </c>
      <c r="J46" s="468" t="s">
        <v>320</v>
      </c>
      <c r="K46" s="468" t="s">
        <v>321</v>
      </c>
      <c r="L46" s="506">
        <v>242.63</v>
      </c>
      <c r="M46" s="506">
        <v>371223.89999999991</v>
      </c>
      <c r="N46" s="468">
        <v>1530</v>
      </c>
      <c r="O46" s="507">
        <v>51.5</v>
      </c>
      <c r="P46" s="506">
        <v>237777.39999999997</v>
      </c>
      <c r="Q46" s="482">
        <v>0.64052287581699352</v>
      </c>
      <c r="R46" s="468">
        <v>980</v>
      </c>
      <c r="S46" s="482">
        <v>0.64052287581699341</v>
      </c>
      <c r="T46" s="507">
        <v>32</v>
      </c>
      <c r="U46" s="483">
        <v>0.62135922330097082</v>
      </c>
    </row>
    <row r="47" spans="1:21" ht="14.4" customHeight="1" x14ac:dyDescent="0.3">
      <c r="A47" s="478">
        <v>57</v>
      </c>
      <c r="B47" s="468" t="s">
        <v>289</v>
      </c>
      <c r="C47" s="468">
        <v>89301594</v>
      </c>
      <c r="D47" s="504" t="s">
        <v>289</v>
      </c>
      <c r="E47" s="505" t="s">
        <v>300</v>
      </c>
      <c r="F47" s="468" t="s">
        <v>290</v>
      </c>
      <c r="G47" s="468" t="s">
        <v>307</v>
      </c>
      <c r="H47" s="468" t="s">
        <v>493</v>
      </c>
      <c r="I47" s="468" t="s">
        <v>369</v>
      </c>
      <c r="J47" s="468" t="s">
        <v>370</v>
      </c>
      <c r="K47" s="468" t="s">
        <v>318</v>
      </c>
      <c r="L47" s="506">
        <v>82.04</v>
      </c>
      <c r="M47" s="506">
        <v>246.12</v>
      </c>
      <c r="N47" s="468">
        <v>3</v>
      </c>
      <c r="O47" s="507">
        <v>1</v>
      </c>
      <c r="P47" s="506">
        <v>246.12</v>
      </c>
      <c r="Q47" s="482">
        <v>1</v>
      </c>
      <c r="R47" s="468">
        <v>3</v>
      </c>
      <c r="S47" s="482">
        <v>1</v>
      </c>
      <c r="T47" s="507">
        <v>1</v>
      </c>
      <c r="U47" s="483">
        <v>1</v>
      </c>
    </row>
    <row r="48" spans="1:21" ht="14.4" customHeight="1" x14ac:dyDescent="0.3">
      <c r="A48" s="478">
        <v>57</v>
      </c>
      <c r="B48" s="468" t="s">
        <v>289</v>
      </c>
      <c r="C48" s="468">
        <v>89301594</v>
      </c>
      <c r="D48" s="504" t="s">
        <v>289</v>
      </c>
      <c r="E48" s="505" t="s">
        <v>300</v>
      </c>
      <c r="F48" s="468" t="s">
        <v>290</v>
      </c>
      <c r="G48" s="468" t="s">
        <v>307</v>
      </c>
      <c r="H48" s="468" t="s">
        <v>493</v>
      </c>
      <c r="I48" s="468" t="s">
        <v>371</v>
      </c>
      <c r="J48" s="468" t="s">
        <v>372</v>
      </c>
      <c r="K48" s="468" t="s">
        <v>318</v>
      </c>
      <c r="L48" s="506">
        <v>82.04</v>
      </c>
      <c r="M48" s="506">
        <v>328.16</v>
      </c>
      <c r="N48" s="468">
        <v>4</v>
      </c>
      <c r="O48" s="507">
        <v>1</v>
      </c>
      <c r="P48" s="506">
        <v>328.16</v>
      </c>
      <c r="Q48" s="482">
        <v>1</v>
      </c>
      <c r="R48" s="468">
        <v>4</v>
      </c>
      <c r="S48" s="482">
        <v>1</v>
      </c>
      <c r="T48" s="507">
        <v>1</v>
      </c>
      <c r="U48" s="483">
        <v>1</v>
      </c>
    </row>
    <row r="49" spans="1:21" ht="14.4" customHeight="1" x14ac:dyDescent="0.3">
      <c r="A49" s="478">
        <v>57</v>
      </c>
      <c r="B49" s="468" t="s">
        <v>289</v>
      </c>
      <c r="C49" s="468">
        <v>89301594</v>
      </c>
      <c r="D49" s="504" t="s">
        <v>289</v>
      </c>
      <c r="E49" s="505" t="s">
        <v>300</v>
      </c>
      <c r="F49" s="468" t="s">
        <v>290</v>
      </c>
      <c r="G49" s="468" t="s">
        <v>307</v>
      </c>
      <c r="H49" s="468" t="s">
        <v>292</v>
      </c>
      <c r="I49" s="468" t="s">
        <v>373</v>
      </c>
      <c r="J49" s="468" t="s">
        <v>370</v>
      </c>
      <c r="K49" s="468" t="s">
        <v>374</v>
      </c>
      <c r="L49" s="506">
        <v>20</v>
      </c>
      <c r="M49" s="506">
        <v>460</v>
      </c>
      <c r="N49" s="468">
        <v>23</v>
      </c>
      <c r="O49" s="507">
        <v>1</v>
      </c>
      <c r="P49" s="506">
        <v>160</v>
      </c>
      <c r="Q49" s="482">
        <v>0.34782608695652173</v>
      </c>
      <c r="R49" s="468">
        <v>8</v>
      </c>
      <c r="S49" s="482">
        <v>0.34782608695652173</v>
      </c>
      <c r="T49" s="507">
        <v>0.5</v>
      </c>
      <c r="U49" s="483">
        <v>0.5</v>
      </c>
    </row>
    <row r="50" spans="1:21" ht="14.4" customHeight="1" x14ac:dyDescent="0.3">
      <c r="A50" s="478">
        <v>57</v>
      </c>
      <c r="B50" s="468" t="s">
        <v>289</v>
      </c>
      <c r="C50" s="468">
        <v>89301594</v>
      </c>
      <c r="D50" s="504" t="s">
        <v>289</v>
      </c>
      <c r="E50" s="505" t="s">
        <v>300</v>
      </c>
      <c r="F50" s="468" t="s">
        <v>290</v>
      </c>
      <c r="G50" s="468" t="s">
        <v>307</v>
      </c>
      <c r="H50" s="468" t="s">
        <v>292</v>
      </c>
      <c r="I50" s="468" t="s">
        <v>375</v>
      </c>
      <c r="J50" s="468" t="s">
        <v>376</v>
      </c>
      <c r="K50" s="468" t="s">
        <v>336</v>
      </c>
      <c r="L50" s="506">
        <v>194.26</v>
      </c>
      <c r="M50" s="506">
        <v>58666.51999999999</v>
      </c>
      <c r="N50" s="468">
        <v>302</v>
      </c>
      <c r="O50" s="507">
        <v>26</v>
      </c>
      <c r="P50" s="506">
        <v>28167.699999999997</v>
      </c>
      <c r="Q50" s="482">
        <v>0.48013245033112584</v>
      </c>
      <c r="R50" s="468">
        <v>145</v>
      </c>
      <c r="S50" s="482">
        <v>0.48013245033112584</v>
      </c>
      <c r="T50" s="507">
        <v>12</v>
      </c>
      <c r="U50" s="483">
        <v>0.46153846153846156</v>
      </c>
    </row>
    <row r="51" spans="1:21" ht="14.4" customHeight="1" x14ac:dyDescent="0.3">
      <c r="A51" s="478">
        <v>57</v>
      </c>
      <c r="B51" s="468" t="s">
        <v>289</v>
      </c>
      <c r="C51" s="468">
        <v>89301594</v>
      </c>
      <c r="D51" s="504" t="s">
        <v>289</v>
      </c>
      <c r="E51" s="505" t="s">
        <v>300</v>
      </c>
      <c r="F51" s="468" t="s">
        <v>290</v>
      </c>
      <c r="G51" s="468" t="s">
        <v>307</v>
      </c>
      <c r="H51" s="468" t="s">
        <v>292</v>
      </c>
      <c r="I51" s="468" t="s">
        <v>377</v>
      </c>
      <c r="J51" s="468" t="s">
        <v>378</v>
      </c>
      <c r="K51" s="468" t="s">
        <v>374</v>
      </c>
      <c r="L51" s="506">
        <v>20</v>
      </c>
      <c r="M51" s="506">
        <v>160</v>
      </c>
      <c r="N51" s="468">
        <v>8</v>
      </c>
      <c r="O51" s="507">
        <v>0.5</v>
      </c>
      <c r="P51" s="506">
        <v>160</v>
      </c>
      <c r="Q51" s="482">
        <v>1</v>
      </c>
      <c r="R51" s="468">
        <v>8</v>
      </c>
      <c r="S51" s="482">
        <v>1</v>
      </c>
      <c r="T51" s="507">
        <v>0.5</v>
      </c>
      <c r="U51" s="483">
        <v>1</v>
      </c>
    </row>
    <row r="52" spans="1:21" ht="14.4" customHeight="1" x14ac:dyDescent="0.3">
      <c r="A52" s="478">
        <v>57</v>
      </c>
      <c r="B52" s="468" t="s">
        <v>289</v>
      </c>
      <c r="C52" s="468">
        <v>89301594</v>
      </c>
      <c r="D52" s="504" t="s">
        <v>289</v>
      </c>
      <c r="E52" s="505" t="s">
        <v>300</v>
      </c>
      <c r="F52" s="468" t="s">
        <v>290</v>
      </c>
      <c r="G52" s="468" t="s">
        <v>307</v>
      </c>
      <c r="H52" s="468" t="s">
        <v>292</v>
      </c>
      <c r="I52" s="468" t="s">
        <v>379</v>
      </c>
      <c r="J52" s="468" t="s">
        <v>380</v>
      </c>
      <c r="K52" s="468" t="s">
        <v>381</v>
      </c>
      <c r="L52" s="506">
        <v>35.619999999999997</v>
      </c>
      <c r="M52" s="506">
        <v>3027.7</v>
      </c>
      <c r="N52" s="468">
        <v>85</v>
      </c>
      <c r="O52" s="507">
        <v>3.5</v>
      </c>
      <c r="P52" s="506"/>
      <c r="Q52" s="482">
        <v>0</v>
      </c>
      <c r="R52" s="468"/>
      <c r="S52" s="482">
        <v>0</v>
      </c>
      <c r="T52" s="507"/>
      <c r="U52" s="483">
        <v>0</v>
      </c>
    </row>
    <row r="53" spans="1:21" ht="14.4" customHeight="1" x14ac:dyDescent="0.3">
      <c r="A53" s="478">
        <v>57</v>
      </c>
      <c r="B53" s="468" t="s">
        <v>289</v>
      </c>
      <c r="C53" s="468">
        <v>89301594</v>
      </c>
      <c r="D53" s="504" t="s">
        <v>289</v>
      </c>
      <c r="E53" s="505" t="s">
        <v>300</v>
      </c>
      <c r="F53" s="468" t="s">
        <v>290</v>
      </c>
      <c r="G53" s="468" t="s">
        <v>307</v>
      </c>
      <c r="H53" s="468" t="s">
        <v>292</v>
      </c>
      <c r="I53" s="468" t="s">
        <v>382</v>
      </c>
      <c r="J53" s="468" t="s">
        <v>383</v>
      </c>
      <c r="K53" s="468" t="s">
        <v>381</v>
      </c>
      <c r="L53" s="506">
        <v>35.619999999999997</v>
      </c>
      <c r="M53" s="506">
        <v>3027.7</v>
      </c>
      <c r="N53" s="468">
        <v>85</v>
      </c>
      <c r="O53" s="507">
        <v>3.5</v>
      </c>
      <c r="P53" s="506"/>
      <c r="Q53" s="482">
        <v>0</v>
      </c>
      <c r="R53" s="468"/>
      <c r="S53" s="482">
        <v>0</v>
      </c>
      <c r="T53" s="507"/>
      <c r="U53" s="483">
        <v>0</v>
      </c>
    </row>
    <row r="54" spans="1:21" ht="14.4" customHeight="1" x14ac:dyDescent="0.3">
      <c r="A54" s="478">
        <v>57</v>
      </c>
      <c r="B54" s="468" t="s">
        <v>289</v>
      </c>
      <c r="C54" s="468">
        <v>89301594</v>
      </c>
      <c r="D54" s="504" t="s">
        <v>289</v>
      </c>
      <c r="E54" s="505" t="s">
        <v>300</v>
      </c>
      <c r="F54" s="468" t="s">
        <v>290</v>
      </c>
      <c r="G54" s="468" t="s">
        <v>307</v>
      </c>
      <c r="H54" s="468" t="s">
        <v>292</v>
      </c>
      <c r="I54" s="468" t="s">
        <v>384</v>
      </c>
      <c r="J54" s="468" t="s">
        <v>385</v>
      </c>
      <c r="K54" s="468" t="s">
        <v>381</v>
      </c>
      <c r="L54" s="506">
        <v>34.72</v>
      </c>
      <c r="M54" s="506">
        <v>520.79999999999995</v>
      </c>
      <c r="N54" s="468">
        <v>15</v>
      </c>
      <c r="O54" s="507">
        <v>0.5</v>
      </c>
      <c r="P54" s="506"/>
      <c r="Q54" s="482">
        <v>0</v>
      </c>
      <c r="R54" s="468"/>
      <c r="S54" s="482">
        <v>0</v>
      </c>
      <c r="T54" s="507"/>
      <c r="U54" s="483">
        <v>0</v>
      </c>
    </row>
    <row r="55" spans="1:21" ht="14.4" customHeight="1" x14ac:dyDescent="0.3">
      <c r="A55" s="478">
        <v>57</v>
      </c>
      <c r="B55" s="468" t="s">
        <v>289</v>
      </c>
      <c r="C55" s="468">
        <v>89301594</v>
      </c>
      <c r="D55" s="504" t="s">
        <v>289</v>
      </c>
      <c r="E55" s="505" t="s">
        <v>300</v>
      </c>
      <c r="F55" s="468" t="s">
        <v>290</v>
      </c>
      <c r="G55" s="468" t="s">
        <v>307</v>
      </c>
      <c r="H55" s="468" t="s">
        <v>292</v>
      </c>
      <c r="I55" s="468" t="s">
        <v>386</v>
      </c>
      <c r="J55" s="468" t="s">
        <v>387</v>
      </c>
      <c r="K55" s="468" t="s">
        <v>381</v>
      </c>
      <c r="L55" s="506">
        <v>34.72</v>
      </c>
      <c r="M55" s="506">
        <v>520.79999999999995</v>
      </c>
      <c r="N55" s="468">
        <v>15</v>
      </c>
      <c r="O55" s="507">
        <v>0.5</v>
      </c>
      <c r="P55" s="506"/>
      <c r="Q55" s="482">
        <v>0</v>
      </c>
      <c r="R55" s="468"/>
      <c r="S55" s="482">
        <v>0</v>
      </c>
      <c r="T55" s="507"/>
      <c r="U55" s="483">
        <v>0</v>
      </c>
    </row>
    <row r="56" spans="1:21" ht="14.4" customHeight="1" x14ac:dyDescent="0.3">
      <c r="A56" s="478">
        <v>57</v>
      </c>
      <c r="B56" s="468" t="s">
        <v>289</v>
      </c>
      <c r="C56" s="468">
        <v>89301594</v>
      </c>
      <c r="D56" s="504" t="s">
        <v>289</v>
      </c>
      <c r="E56" s="505" t="s">
        <v>300</v>
      </c>
      <c r="F56" s="468" t="s">
        <v>290</v>
      </c>
      <c r="G56" s="468" t="s">
        <v>307</v>
      </c>
      <c r="H56" s="468" t="s">
        <v>292</v>
      </c>
      <c r="I56" s="468" t="s">
        <v>388</v>
      </c>
      <c r="J56" s="468" t="s">
        <v>323</v>
      </c>
      <c r="K56" s="468" t="s">
        <v>389</v>
      </c>
      <c r="L56" s="506">
        <v>130.38999999999999</v>
      </c>
      <c r="M56" s="506">
        <v>3259.75</v>
      </c>
      <c r="N56" s="468">
        <v>25</v>
      </c>
      <c r="O56" s="507">
        <v>1.5</v>
      </c>
      <c r="P56" s="506">
        <v>1303.8999999999999</v>
      </c>
      <c r="Q56" s="482">
        <v>0.39999999999999997</v>
      </c>
      <c r="R56" s="468">
        <v>10</v>
      </c>
      <c r="S56" s="482">
        <v>0.4</v>
      </c>
      <c r="T56" s="507">
        <v>0.5</v>
      </c>
      <c r="U56" s="483">
        <v>0.33333333333333331</v>
      </c>
    </row>
    <row r="57" spans="1:21" ht="14.4" customHeight="1" x14ac:dyDescent="0.3">
      <c r="A57" s="478">
        <v>57</v>
      </c>
      <c r="B57" s="468" t="s">
        <v>289</v>
      </c>
      <c r="C57" s="468">
        <v>89301594</v>
      </c>
      <c r="D57" s="504" t="s">
        <v>289</v>
      </c>
      <c r="E57" s="505" t="s">
        <v>301</v>
      </c>
      <c r="F57" s="468" t="s">
        <v>290</v>
      </c>
      <c r="G57" s="468" t="s">
        <v>307</v>
      </c>
      <c r="H57" s="468" t="s">
        <v>493</v>
      </c>
      <c r="I57" s="468" t="s">
        <v>390</v>
      </c>
      <c r="J57" s="468" t="s">
        <v>391</v>
      </c>
      <c r="K57" s="468" t="s">
        <v>310</v>
      </c>
      <c r="L57" s="506">
        <v>31.59</v>
      </c>
      <c r="M57" s="506">
        <v>947.7</v>
      </c>
      <c r="N57" s="468">
        <v>30</v>
      </c>
      <c r="O57" s="507">
        <v>1</v>
      </c>
      <c r="P57" s="506"/>
      <c r="Q57" s="482">
        <v>0</v>
      </c>
      <c r="R57" s="468"/>
      <c r="S57" s="482">
        <v>0</v>
      </c>
      <c r="T57" s="507"/>
      <c r="U57" s="483">
        <v>0</v>
      </c>
    </row>
    <row r="58" spans="1:21" ht="14.4" customHeight="1" x14ac:dyDescent="0.3">
      <c r="A58" s="478">
        <v>57</v>
      </c>
      <c r="B58" s="468" t="s">
        <v>289</v>
      </c>
      <c r="C58" s="468">
        <v>89301594</v>
      </c>
      <c r="D58" s="504" t="s">
        <v>289</v>
      </c>
      <c r="E58" s="505" t="s">
        <v>301</v>
      </c>
      <c r="F58" s="468" t="s">
        <v>290</v>
      </c>
      <c r="G58" s="468" t="s">
        <v>307</v>
      </c>
      <c r="H58" s="468" t="s">
        <v>493</v>
      </c>
      <c r="I58" s="468" t="s">
        <v>392</v>
      </c>
      <c r="J58" s="468" t="s">
        <v>393</v>
      </c>
      <c r="K58" s="468" t="s">
        <v>310</v>
      </c>
      <c r="L58" s="506">
        <v>31.59</v>
      </c>
      <c r="M58" s="506">
        <v>947.7</v>
      </c>
      <c r="N58" s="468">
        <v>30</v>
      </c>
      <c r="O58" s="507">
        <v>0.5</v>
      </c>
      <c r="P58" s="506"/>
      <c r="Q58" s="482">
        <v>0</v>
      </c>
      <c r="R58" s="468"/>
      <c r="S58" s="482">
        <v>0</v>
      </c>
      <c r="T58" s="507"/>
      <c r="U58" s="483">
        <v>0</v>
      </c>
    </row>
    <row r="59" spans="1:21" ht="14.4" customHeight="1" x14ac:dyDescent="0.3">
      <c r="A59" s="478">
        <v>57</v>
      </c>
      <c r="B59" s="468" t="s">
        <v>289</v>
      </c>
      <c r="C59" s="468">
        <v>89301594</v>
      </c>
      <c r="D59" s="504" t="s">
        <v>289</v>
      </c>
      <c r="E59" s="505" t="s">
        <v>301</v>
      </c>
      <c r="F59" s="468" t="s">
        <v>290</v>
      </c>
      <c r="G59" s="468" t="s">
        <v>307</v>
      </c>
      <c r="H59" s="468" t="s">
        <v>493</v>
      </c>
      <c r="I59" s="468" t="s">
        <v>351</v>
      </c>
      <c r="J59" s="468" t="s">
        <v>352</v>
      </c>
      <c r="K59" s="468" t="s">
        <v>310</v>
      </c>
      <c r="L59" s="506">
        <v>31.59</v>
      </c>
      <c r="M59" s="506">
        <v>947.7</v>
      </c>
      <c r="N59" s="468">
        <v>30</v>
      </c>
      <c r="O59" s="507">
        <v>0.5</v>
      </c>
      <c r="P59" s="506"/>
      <c r="Q59" s="482">
        <v>0</v>
      </c>
      <c r="R59" s="468"/>
      <c r="S59" s="482">
        <v>0</v>
      </c>
      <c r="T59" s="507"/>
      <c r="U59" s="483">
        <v>0</v>
      </c>
    </row>
    <row r="60" spans="1:21" ht="14.4" customHeight="1" x14ac:dyDescent="0.3">
      <c r="A60" s="478">
        <v>57</v>
      </c>
      <c r="B60" s="468" t="s">
        <v>289</v>
      </c>
      <c r="C60" s="468">
        <v>89301594</v>
      </c>
      <c r="D60" s="504" t="s">
        <v>289</v>
      </c>
      <c r="E60" s="505" t="s">
        <v>301</v>
      </c>
      <c r="F60" s="468" t="s">
        <v>291</v>
      </c>
      <c r="G60" s="468" t="s">
        <v>304</v>
      </c>
      <c r="H60" s="468" t="s">
        <v>292</v>
      </c>
      <c r="I60" s="468" t="s">
        <v>394</v>
      </c>
      <c r="J60" s="468" t="s">
        <v>306</v>
      </c>
      <c r="K60" s="468"/>
      <c r="L60" s="506">
        <v>0</v>
      </c>
      <c r="M60" s="506">
        <v>0</v>
      </c>
      <c r="N60" s="468">
        <v>6</v>
      </c>
      <c r="O60" s="507">
        <v>6</v>
      </c>
      <c r="P60" s="506">
        <v>0</v>
      </c>
      <c r="Q60" s="482"/>
      <c r="R60" s="468">
        <v>6</v>
      </c>
      <c r="S60" s="482">
        <v>1</v>
      </c>
      <c r="T60" s="507">
        <v>6</v>
      </c>
      <c r="U60" s="483">
        <v>1</v>
      </c>
    </row>
    <row r="61" spans="1:21" ht="14.4" customHeight="1" x14ac:dyDescent="0.3">
      <c r="A61" s="478">
        <v>57</v>
      </c>
      <c r="B61" s="468" t="s">
        <v>289</v>
      </c>
      <c r="C61" s="468">
        <v>89301594</v>
      </c>
      <c r="D61" s="504" t="s">
        <v>289</v>
      </c>
      <c r="E61" s="505" t="s">
        <v>301</v>
      </c>
      <c r="F61" s="468" t="s">
        <v>291</v>
      </c>
      <c r="G61" s="468" t="s">
        <v>304</v>
      </c>
      <c r="H61" s="468" t="s">
        <v>292</v>
      </c>
      <c r="I61" s="468" t="s">
        <v>395</v>
      </c>
      <c r="J61" s="468" t="s">
        <v>306</v>
      </c>
      <c r="K61" s="468"/>
      <c r="L61" s="506">
        <v>0</v>
      </c>
      <c r="M61" s="506">
        <v>0</v>
      </c>
      <c r="N61" s="468">
        <v>14</v>
      </c>
      <c r="O61" s="507">
        <v>13</v>
      </c>
      <c r="P61" s="506">
        <v>0</v>
      </c>
      <c r="Q61" s="482"/>
      <c r="R61" s="468">
        <v>13</v>
      </c>
      <c r="S61" s="482">
        <v>0.9285714285714286</v>
      </c>
      <c r="T61" s="507">
        <v>12</v>
      </c>
      <c r="U61" s="483">
        <v>0.92307692307692313</v>
      </c>
    </row>
    <row r="62" spans="1:21" ht="14.4" customHeight="1" x14ac:dyDescent="0.3">
      <c r="A62" s="478">
        <v>57</v>
      </c>
      <c r="B62" s="468" t="s">
        <v>289</v>
      </c>
      <c r="C62" s="468">
        <v>89301594</v>
      </c>
      <c r="D62" s="504" t="s">
        <v>289</v>
      </c>
      <c r="E62" s="505" t="s">
        <v>301</v>
      </c>
      <c r="F62" s="468" t="s">
        <v>291</v>
      </c>
      <c r="G62" s="468" t="s">
        <v>304</v>
      </c>
      <c r="H62" s="468" t="s">
        <v>292</v>
      </c>
      <c r="I62" s="468" t="s">
        <v>396</v>
      </c>
      <c r="J62" s="468" t="s">
        <v>306</v>
      </c>
      <c r="K62" s="468"/>
      <c r="L62" s="506">
        <v>0</v>
      </c>
      <c r="M62" s="506">
        <v>0</v>
      </c>
      <c r="N62" s="468">
        <v>4</v>
      </c>
      <c r="O62" s="507">
        <v>4</v>
      </c>
      <c r="P62" s="506">
        <v>0</v>
      </c>
      <c r="Q62" s="482"/>
      <c r="R62" s="468">
        <v>4</v>
      </c>
      <c r="S62" s="482">
        <v>1</v>
      </c>
      <c r="T62" s="507">
        <v>4</v>
      </c>
      <c r="U62" s="483">
        <v>1</v>
      </c>
    </row>
    <row r="63" spans="1:21" ht="14.4" customHeight="1" x14ac:dyDescent="0.3">
      <c r="A63" s="478">
        <v>57</v>
      </c>
      <c r="B63" s="468" t="s">
        <v>289</v>
      </c>
      <c r="C63" s="468">
        <v>89301594</v>
      </c>
      <c r="D63" s="504" t="s">
        <v>289</v>
      </c>
      <c r="E63" s="505" t="s">
        <v>302</v>
      </c>
      <c r="F63" s="468" t="s">
        <v>290</v>
      </c>
      <c r="G63" s="468" t="s">
        <v>307</v>
      </c>
      <c r="H63" s="468" t="s">
        <v>493</v>
      </c>
      <c r="I63" s="468" t="s">
        <v>311</v>
      </c>
      <c r="J63" s="468" t="s">
        <v>312</v>
      </c>
      <c r="K63" s="468" t="s">
        <v>313</v>
      </c>
      <c r="L63" s="506">
        <v>105.31</v>
      </c>
      <c r="M63" s="506">
        <v>1684.96</v>
      </c>
      <c r="N63" s="468">
        <v>16</v>
      </c>
      <c r="O63" s="507">
        <v>1</v>
      </c>
      <c r="P63" s="506"/>
      <c r="Q63" s="482">
        <v>0</v>
      </c>
      <c r="R63" s="468"/>
      <c r="S63" s="482">
        <v>0</v>
      </c>
      <c r="T63" s="507"/>
      <c r="U63" s="483">
        <v>0</v>
      </c>
    </row>
    <row r="64" spans="1:21" ht="14.4" customHeight="1" x14ac:dyDescent="0.3">
      <c r="A64" s="478">
        <v>57</v>
      </c>
      <c r="B64" s="468" t="s">
        <v>289</v>
      </c>
      <c r="C64" s="468">
        <v>89301594</v>
      </c>
      <c r="D64" s="504" t="s">
        <v>289</v>
      </c>
      <c r="E64" s="505" t="s">
        <v>302</v>
      </c>
      <c r="F64" s="468" t="s">
        <v>290</v>
      </c>
      <c r="G64" s="468" t="s">
        <v>307</v>
      </c>
      <c r="H64" s="468" t="s">
        <v>493</v>
      </c>
      <c r="I64" s="468" t="s">
        <v>314</v>
      </c>
      <c r="J64" s="468" t="s">
        <v>315</v>
      </c>
      <c r="K64" s="468" t="s">
        <v>313</v>
      </c>
      <c r="L64" s="506">
        <v>108.47</v>
      </c>
      <c r="M64" s="506">
        <v>3254.1</v>
      </c>
      <c r="N64" s="468">
        <v>30</v>
      </c>
      <c r="O64" s="507">
        <v>1</v>
      </c>
      <c r="P64" s="506"/>
      <c r="Q64" s="482">
        <v>0</v>
      </c>
      <c r="R64" s="468"/>
      <c r="S64" s="482">
        <v>0</v>
      </c>
      <c r="T64" s="507"/>
      <c r="U64" s="483">
        <v>0</v>
      </c>
    </row>
    <row r="65" spans="1:21" ht="14.4" customHeight="1" x14ac:dyDescent="0.3">
      <c r="A65" s="478">
        <v>57</v>
      </c>
      <c r="B65" s="468" t="s">
        <v>289</v>
      </c>
      <c r="C65" s="468">
        <v>89301594</v>
      </c>
      <c r="D65" s="504" t="s">
        <v>289</v>
      </c>
      <c r="E65" s="505" t="s">
        <v>302</v>
      </c>
      <c r="F65" s="468" t="s">
        <v>290</v>
      </c>
      <c r="G65" s="468" t="s">
        <v>307</v>
      </c>
      <c r="H65" s="468" t="s">
        <v>493</v>
      </c>
      <c r="I65" s="468" t="s">
        <v>319</v>
      </c>
      <c r="J65" s="468" t="s">
        <v>320</v>
      </c>
      <c r="K65" s="468" t="s">
        <v>321</v>
      </c>
      <c r="L65" s="506">
        <v>242.63</v>
      </c>
      <c r="M65" s="506">
        <v>7278.9</v>
      </c>
      <c r="N65" s="468">
        <v>30</v>
      </c>
      <c r="O65" s="507">
        <v>1</v>
      </c>
      <c r="P65" s="506">
        <v>7278.9</v>
      </c>
      <c r="Q65" s="482">
        <v>1</v>
      </c>
      <c r="R65" s="468">
        <v>30</v>
      </c>
      <c r="S65" s="482">
        <v>1</v>
      </c>
      <c r="T65" s="507">
        <v>1</v>
      </c>
      <c r="U65" s="483">
        <v>1</v>
      </c>
    </row>
    <row r="66" spans="1:21" ht="14.4" customHeight="1" x14ac:dyDescent="0.3">
      <c r="A66" s="478">
        <v>57</v>
      </c>
      <c r="B66" s="468" t="s">
        <v>289</v>
      </c>
      <c r="C66" s="468">
        <v>89301594</v>
      </c>
      <c r="D66" s="504" t="s">
        <v>289</v>
      </c>
      <c r="E66" s="505" t="s">
        <v>302</v>
      </c>
      <c r="F66" s="468" t="s">
        <v>290</v>
      </c>
      <c r="G66" s="468" t="s">
        <v>307</v>
      </c>
      <c r="H66" s="468" t="s">
        <v>292</v>
      </c>
      <c r="I66" s="468" t="s">
        <v>375</v>
      </c>
      <c r="J66" s="468" t="s">
        <v>376</v>
      </c>
      <c r="K66" s="468" t="s">
        <v>336</v>
      </c>
      <c r="L66" s="506">
        <v>194.26</v>
      </c>
      <c r="M66" s="506">
        <v>1942.6</v>
      </c>
      <c r="N66" s="468">
        <v>10</v>
      </c>
      <c r="O66" s="507">
        <v>1</v>
      </c>
      <c r="P66" s="506"/>
      <c r="Q66" s="482">
        <v>0</v>
      </c>
      <c r="R66" s="468"/>
      <c r="S66" s="482">
        <v>0</v>
      </c>
      <c r="T66" s="507"/>
      <c r="U66" s="483">
        <v>0</v>
      </c>
    </row>
    <row r="67" spans="1:21" ht="14.4" customHeight="1" x14ac:dyDescent="0.3">
      <c r="A67" s="478">
        <v>57</v>
      </c>
      <c r="B67" s="468" t="s">
        <v>289</v>
      </c>
      <c r="C67" s="468">
        <v>89301594</v>
      </c>
      <c r="D67" s="504" t="s">
        <v>289</v>
      </c>
      <c r="E67" s="505" t="s">
        <v>303</v>
      </c>
      <c r="F67" s="468" t="s">
        <v>290</v>
      </c>
      <c r="G67" s="468" t="s">
        <v>397</v>
      </c>
      <c r="H67" s="468" t="s">
        <v>292</v>
      </c>
      <c r="I67" s="468" t="s">
        <v>398</v>
      </c>
      <c r="J67" s="468" t="s">
        <v>399</v>
      </c>
      <c r="K67" s="468" t="s">
        <v>400</v>
      </c>
      <c r="L67" s="506">
        <v>285.75</v>
      </c>
      <c r="M67" s="506">
        <v>285.75</v>
      </c>
      <c r="N67" s="468">
        <v>1</v>
      </c>
      <c r="O67" s="507">
        <v>0.5</v>
      </c>
      <c r="P67" s="506"/>
      <c r="Q67" s="482">
        <v>0</v>
      </c>
      <c r="R67" s="468"/>
      <c r="S67" s="482">
        <v>0</v>
      </c>
      <c r="T67" s="507"/>
      <c r="U67" s="483">
        <v>0</v>
      </c>
    </row>
    <row r="68" spans="1:21" ht="14.4" customHeight="1" x14ac:dyDescent="0.3">
      <c r="A68" s="478">
        <v>57</v>
      </c>
      <c r="B68" s="468" t="s">
        <v>289</v>
      </c>
      <c r="C68" s="468">
        <v>89301594</v>
      </c>
      <c r="D68" s="504" t="s">
        <v>289</v>
      </c>
      <c r="E68" s="505" t="s">
        <v>303</v>
      </c>
      <c r="F68" s="468" t="s">
        <v>290</v>
      </c>
      <c r="G68" s="468" t="s">
        <v>401</v>
      </c>
      <c r="H68" s="468" t="s">
        <v>292</v>
      </c>
      <c r="I68" s="468" t="s">
        <v>402</v>
      </c>
      <c r="J68" s="468" t="s">
        <v>403</v>
      </c>
      <c r="K68" s="468" t="s">
        <v>404</v>
      </c>
      <c r="L68" s="506">
        <v>1720.7</v>
      </c>
      <c r="M68" s="506">
        <v>10324.200000000001</v>
      </c>
      <c r="N68" s="468">
        <v>6</v>
      </c>
      <c r="O68" s="507">
        <v>1</v>
      </c>
      <c r="P68" s="506"/>
      <c r="Q68" s="482">
        <v>0</v>
      </c>
      <c r="R68" s="468"/>
      <c r="S68" s="482">
        <v>0</v>
      </c>
      <c r="T68" s="507"/>
      <c r="U68" s="483">
        <v>0</v>
      </c>
    </row>
    <row r="69" spans="1:21" ht="14.4" customHeight="1" x14ac:dyDescent="0.3">
      <c r="A69" s="478">
        <v>57</v>
      </c>
      <c r="B69" s="468" t="s">
        <v>289</v>
      </c>
      <c r="C69" s="468">
        <v>89301594</v>
      </c>
      <c r="D69" s="504" t="s">
        <v>289</v>
      </c>
      <c r="E69" s="505" t="s">
        <v>303</v>
      </c>
      <c r="F69" s="468" t="s">
        <v>290</v>
      </c>
      <c r="G69" s="468" t="s">
        <v>405</v>
      </c>
      <c r="H69" s="468" t="s">
        <v>292</v>
      </c>
      <c r="I69" s="468" t="s">
        <v>406</v>
      </c>
      <c r="J69" s="468" t="s">
        <v>407</v>
      </c>
      <c r="K69" s="468" t="s">
        <v>408</v>
      </c>
      <c r="L69" s="506">
        <v>156.86000000000001</v>
      </c>
      <c r="M69" s="506">
        <v>627.44000000000005</v>
      </c>
      <c r="N69" s="468">
        <v>4</v>
      </c>
      <c r="O69" s="507">
        <v>1</v>
      </c>
      <c r="P69" s="506"/>
      <c r="Q69" s="482">
        <v>0</v>
      </c>
      <c r="R69" s="468"/>
      <c r="S69" s="482">
        <v>0</v>
      </c>
      <c r="T69" s="507"/>
      <c r="U69" s="483">
        <v>0</v>
      </c>
    </row>
    <row r="70" spans="1:21" ht="14.4" customHeight="1" x14ac:dyDescent="0.3">
      <c r="A70" s="478">
        <v>57</v>
      </c>
      <c r="B70" s="468" t="s">
        <v>289</v>
      </c>
      <c r="C70" s="468">
        <v>89301594</v>
      </c>
      <c r="D70" s="504" t="s">
        <v>289</v>
      </c>
      <c r="E70" s="505" t="s">
        <v>303</v>
      </c>
      <c r="F70" s="468" t="s">
        <v>290</v>
      </c>
      <c r="G70" s="468" t="s">
        <v>409</v>
      </c>
      <c r="H70" s="468" t="s">
        <v>292</v>
      </c>
      <c r="I70" s="468" t="s">
        <v>410</v>
      </c>
      <c r="J70" s="468" t="s">
        <v>411</v>
      </c>
      <c r="K70" s="468" t="s">
        <v>412</v>
      </c>
      <c r="L70" s="506">
        <v>103.12</v>
      </c>
      <c r="M70" s="506">
        <v>928.08</v>
      </c>
      <c r="N70" s="468">
        <v>9</v>
      </c>
      <c r="O70" s="507">
        <v>1</v>
      </c>
      <c r="P70" s="506"/>
      <c r="Q70" s="482">
        <v>0</v>
      </c>
      <c r="R70" s="468"/>
      <c r="S70" s="482">
        <v>0</v>
      </c>
      <c r="T70" s="507"/>
      <c r="U70" s="483">
        <v>0</v>
      </c>
    </row>
    <row r="71" spans="1:21" ht="14.4" customHeight="1" x14ac:dyDescent="0.3">
      <c r="A71" s="478">
        <v>57</v>
      </c>
      <c r="B71" s="468" t="s">
        <v>289</v>
      </c>
      <c r="C71" s="468">
        <v>89301594</v>
      </c>
      <c r="D71" s="504" t="s">
        <v>289</v>
      </c>
      <c r="E71" s="505" t="s">
        <v>303</v>
      </c>
      <c r="F71" s="468" t="s">
        <v>290</v>
      </c>
      <c r="G71" s="468" t="s">
        <v>304</v>
      </c>
      <c r="H71" s="468" t="s">
        <v>292</v>
      </c>
      <c r="I71" s="468" t="s">
        <v>305</v>
      </c>
      <c r="J71" s="468" t="s">
        <v>306</v>
      </c>
      <c r="K71" s="468"/>
      <c r="L71" s="506">
        <v>0</v>
      </c>
      <c r="M71" s="506">
        <v>0</v>
      </c>
      <c r="N71" s="468">
        <v>1731</v>
      </c>
      <c r="O71" s="507">
        <v>31.5</v>
      </c>
      <c r="P71" s="506">
        <v>0</v>
      </c>
      <c r="Q71" s="482"/>
      <c r="R71" s="468">
        <v>1335</v>
      </c>
      <c r="S71" s="482">
        <v>0.77123050259965342</v>
      </c>
      <c r="T71" s="507">
        <v>24</v>
      </c>
      <c r="U71" s="483">
        <v>0.76190476190476186</v>
      </c>
    </row>
    <row r="72" spans="1:21" ht="14.4" customHeight="1" x14ac:dyDescent="0.3">
      <c r="A72" s="478">
        <v>57</v>
      </c>
      <c r="B72" s="468" t="s">
        <v>289</v>
      </c>
      <c r="C72" s="468">
        <v>89301594</v>
      </c>
      <c r="D72" s="504" t="s">
        <v>289</v>
      </c>
      <c r="E72" s="505" t="s">
        <v>303</v>
      </c>
      <c r="F72" s="468" t="s">
        <v>290</v>
      </c>
      <c r="G72" s="468" t="s">
        <v>413</v>
      </c>
      <c r="H72" s="468" t="s">
        <v>292</v>
      </c>
      <c r="I72" s="468" t="s">
        <v>414</v>
      </c>
      <c r="J72" s="468" t="s">
        <v>415</v>
      </c>
      <c r="K72" s="468" t="s">
        <v>416</v>
      </c>
      <c r="L72" s="506">
        <v>0</v>
      </c>
      <c r="M72" s="506">
        <v>0</v>
      </c>
      <c r="N72" s="468">
        <v>1</v>
      </c>
      <c r="O72" s="507">
        <v>0.5</v>
      </c>
      <c r="P72" s="506"/>
      <c r="Q72" s="482"/>
      <c r="R72" s="468"/>
      <c r="S72" s="482">
        <v>0</v>
      </c>
      <c r="T72" s="507"/>
      <c r="U72" s="483">
        <v>0</v>
      </c>
    </row>
    <row r="73" spans="1:21" ht="14.4" customHeight="1" x14ac:dyDescent="0.3">
      <c r="A73" s="478">
        <v>57</v>
      </c>
      <c r="B73" s="468" t="s">
        <v>289</v>
      </c>
      <c r="C73" s="468">
        <v>89301594</v>
      </c>
      <c r="D73" s="504" t="s">
        <v>289</v>
      </c>
      <c r="E73" s="505" t="s">
        <v>303</v>
      </c>
      <c r="F73" s="468" t="s">
        <v>290</v>
      </c>
      <c r="G73" s="468" t="s">
        <v>417</v>
      </c>
      <c r="H73" s="468" t="s">
        <v>292</v>
      </c>
      <c r="I73" s="468" t="s">
        <v>418</v>
      </c>
      <c r="J73" s="468" t="s">
        <v>419</v>
      </c>
      <c r="K73" s="468" t="s">
        <v>420</v>
      </c>
      <c r="L73" s="506">
        <v>766.89</v>
      </c>
      <c r="M73" s="506">
        <v>5368.23</v>
      </c>
      <c r="N73" s="468">
        <v>7</v>
      </c>
      <c r="O73" s="507">
        <v>2</v>
      </c>
      <c r="P73" s="506"/>
      <c r="Q73" s="482">
        <v>0</v>
      </c>
      <c r="R73" s="468"/>
      <c r="S73" s="482">
        <v>0</v>
      </c>
      <c r="T73" s="507"/>
      <c r="U73" s="483">
        <v>0</v>
      </c>
    </row>
    <row r="74" spans="1:21" ht="14.4" customHeight="1" x14ac:dyDescent="0.3">
      <c r="A74" s="478">
        <v>57</v>
      </c>
      <c r="B74" s="468" t="s">
        <v>289</v>
      </c>
      <c r="C74" s="468">
        <v>89301594</v>
      </c>
      <c r="D74" s="504" t="s">
        <v>289</v>
      </c>
      <c r="E74" s="505" t="s">
        <v>303</v>
      </c>
      <c r="F74" s="468" t="s">
        <v>290</v>
      </c>
      <c r="G74" s="468" t="s">
        <v>421</v>
      </c>
      <c r="H74" s="468" t="s">
        <v>292</v>
      </c>
      <c r="I74" s="468" t="s">
        <v>422</v>
      </c>
      <c r="J74" s="468" t="s">
        <v>423</v>
      </c>
      <c r="K74" s="468" t="s">
        <v>424</v>
      </c>
      <c r="L74" s="506">
        <v>0</v>
      </c>
      <c r="M74" s="506">
        <v>0</v>
      </c>
      <c r="N74" s="468">
        <v>3</v>
      </c>
      <c r="O74" s="507">
        <v>0.5</v>
      </c>
      <c r="P74" s="506"/>
      <c r="Q74" s="482"/>
      <c r="R74" s="468"/>
      <c r="S74" s="482">
        <v>0</v>
      </c>
      <c r="T74" s="507"/>
      <c r="U74" s="483">
        <v>0</v>
      </c>
    </row>
    <row r="75" spans="1:21" ht="14.4" customHeight="1" x14ac:dyDescent="0.3">
      <c r="A75" s="478">
        <v>57</v>
      </c>
      <c r="B75" s="468" t="s">
        <v>289</v>
      </c>
      <c r="C75" s="468">
        <v>89301594</v>
      </c>
      <c r="D75" s="504" t="s">
        <v>289</v>
      </c>
      <c r="E75" s="505" t="s">
        <v>303</v>
      </c>
      <c r="F75" s="468" t="s">
        <v>290</v>
      </c>
      <c r="G75" s="468" t="s">
        <v>425</v>
      </c>
      <c r="H75" s="468" t="s">
        <v>292</v>
      </c>
      <c r="I75" s="468" t="s">
        <v>426</v>
      </c>
      <c r="J75" s="468" t="s">
        <v>427</v>
      </c>
      <c r="K75" s="468" t="s">
        <v>428</v>
      </c>
      <c r="L75" s="506">
        <v>0</v>
      </c>
      <c r="M75" s="506">
        <v>0</v>
      </c>
      <c r="N75" s="468">
        <v>1</v>
      </c>
      <c r="O75" s="507">
        <v>0.5</v>
      </c>
      <c r="P75" s="506"/>
      <c r="Q75" s="482"/>
      <c r="R75" s="468"/>
      <c r="S75" s="482">
        <v>0</v>
      </c>
      <c r="T75" s="507"/>
      <c r="U75" s="483">
        <v>0</v>
      </c>
    </row>
    <row r="76" spans="1:21" ht="14.4" customHeight="1" x14ac:dyDescent="0.3">
      <c r="A76" s="478">
        <v>57</v>
      </c>
      <c r="B76" s="468" t="s">
        <v>289</v>
      </c>
      <c r="C76" s="468">
        <v>89301594</v>
      </c>
      <c r="D76" s="504" t="s">
        <v>289</v>
      </c>
      <c r="E76" s="505" t="s">
        <v>303</v>
      </c>
      <c r="F76" s="468" t="s">
        <v>290</v>
      </c>
      <c r="G76" s="468" t="s">
        <v>429</v>
      </c>
      <c r="H76" s="468" t="s">
        <v>292</v>
      </c>
      <c r="I76" s="468" t="s">
        <v>430</v>
      </c>
      <c r="J76" s="468" t="s">
        <v>431</v>
      </c>
      <c r="K76" s="468" t="s">
        <v>432</v>
      </c>
      <c r="L76" s="506">
        <v>250.87</v>
      </c>
      <c r="M76" s="506">
        <v>1505.22</v>
      </c>
      <c r="N76" s="468">
        <v>6</v>
      </c>
      <c r="O76" s="507">
        <v>1</v>
      </c>
      <c r="P76" s="506"/>
      <c r="Q76" s="482">
        <v>0</v>
      </c>
      <c r="R76" s="468"/>
      <c r="S76" s="482">
        <v>0</v>
      </c>
      <c r="T76" s="507"/>
      <c r="U76" s="483">
        <v>0</v>
      </c>
    </row>
    <row r="77" spans="1:21" ht="14.4" customHeight="1" x14ac:dyDescent="0.3">
      <c r="A77" s="478">
        <v>57</v>
      </c>
      <c r="B77" s="468" t="s">
        <v>289</v>
      </c>
      <c r="C77" s="468">
        <v>89301594</v>
      </c>
      <c r="D77" s="504" t="s">
        <v>289</v>
      </c>
      <c r="E77" s="505" t="s">
        <v>303</v>
      </c>
      <c r="F77" s="468" t="s">
        <v>290</v>
      </c>
      <c r="G77" s="468" t="s">
        <v>433</v>
      </c>
      <c r="H77" s="468" t="s">
        <v>292</v>
      </c>
      <c r="I77" s="468" t="s">
        <v>434</v>
      </c>
      <c r="J77" s="468" t="s">
        <v>435</v>
      </c>
      <c r="K77" s="468" t="s">
        <v>436</v>
      </c>
      <c r="L77" s="506">
        <v>120.37</v>
      </c>
      <c r="M77" s="506">
        <v>120.37</v>
      </c>
      <c r="N77" s="468">
        <v>1</v>
      </c>
      <c r="O77" s="507">
        <v>1</v>
      </c>
      <c r="P77" s="506"/>
      <c r="Q77" s="482">
        <v>0</v>
      </c>
      <c r="R77" s="468"/>
      <c r="S77" s="482">
        <v>0</v>
      </c>
      <c r="T77" s="507"/>
      <c r="U77" s="483">
        <v>0</v>
      </c>
    </row>
    <row r="78" spans="1:21" ht="14.4" customHeight="1" x14ac:dyDescent="0.3">
      <c r="A78" s="478">
        <v>57</v>
      </c>
      <c r="B78" s="468" t="s">
        <v>289</v>
      </c>
      <c r="C78" s="468">
        <v>89301594</v>
      </c>
      <c r="D78" s="504" t="s">
        <v>289</v>
      </c>
      <c r="E78" s="505" t="s">
        <v>303</v>
      </c>
      <c r="F78" s="468" t="s">
        <v>290</v>
      </c>
      <c r="G78" s="468" t="s">
        <v>437</v>
      </c>
      <c r="H78" s="468" t="s">
        <v>292</v>
      </c>
      <c r="I78" s="468" t="s">
        <v>438</v>
      </c>
      <c r="J78" s="468" t="s">
        <v>439</v>
      </c>
      <c r="K78" s="468" t="s">
        <v>440</v>
      </c>
      <c r="L78" s="506">
        <v>314.89999999999998</v>
      </c>
      <c r="M78" s="506">
        <v>2519.1999999999998</v>
      </c>
      <c r="N78" s="468">
        <v>8</v>
      </c>
      <c r="O78" s="507">
        <v>2.5</v>
      </c>
      <c r="P78" s="506">
        <v>629.79999999999995</v>
      </c>
      <c r="Q78" s="482">
        <v>0.25</v>
      </c>
      <c r="R78" s="468">
        <v>2</v>
      </c>
      <c r="S78" s="482">
        <v>0.25</v>
      </c>
      <c r="T78" s="507">
        <v>0.5</v>
      </c>
      <c r="U78" s="483">
        <v>0.2</v>
      </c>
    </row>
    <row r="79" spans="1:21" ht="14.4" customHeight="1" x14ac:dyDescent="0.3">
      <c r="A79" s="478">
        <v>57</v>
      </c>
      <c r="B79" s="468" t="s">
        <v>289</v>
      </c>
      <c r="C79" s="468">
        <v>89301594</v>
      </c>
      <c r="D79" s="504" t="s">
        <v>289</v>
      </c>
      <c r="E79" s="505" t="s">
        <v>303</v>
      </c>
      <c r="F79" s="468" t="s">
        <v>290</v>
      </c>
      <c r="G79" s="468" t="s">
        <v>437</v>
      </c>
      <c r="H79" s="468" t="s">
        <v>292</v>
      </c>
      <c r="I79" s="468" t="s">
        <v>441</v>
      </c>
      <c r="J79" s="468" t="s">
        <v>442</v>
      </c>
      <c r="K79" s="468" t="s">
        <v>443</v>
      </c>
      <c r="L79" s="506">
        <v>314.89999999999998</v>
      </c>
      <c r="M79" s="506">
        <v>629.79999999999995</v>
      </c>
      <c r="N79" s="468">
        <v>2</v>
      </c>
      <c r="O79" s="507">
        <v>0.5</v>
      </c>
      <c r="P79" s="506"/>
      <c r="Q79" s="482">
        <v>0</v>
      </c>
      <c r="R79" s="468"/>
      <c r="S79" s="482">
        <v>0</v>
      </c>
      <c r="T79" s="507"/>
      <c r="U79" s="483">
        <v>0</v>
      </c>
    </row>
    <row r="80" spans="1:21" ht="14.4" customHeight="1" x14ac:dyDescent="0.3">
      <c r="A80" s="478">
        <v>57</v>
      </c>
      <c r="B80" s="468" t="s">
        <v>289</v>
      </c>
      <c r="C80" s="468">
        <v>89301594</v>
      </c>
      <c r="D80" s="504" t="s">
        <v>289</v>
      </c>
      <c r="E80" s="505" t="s">
        <v>303</v>
      </c>
      <c r="F80" s="468" t="s">
        <v>290</v>
      </c>
      <c r="G80" s="468" t="s">
        <v>444</v>
      </c>
      <c r="H80" s="468" t="s">
        <v>292</v>
      </c>
      <c r="I80" s="468" t="s">
        <v>445</v>
      </c>
      <c r="J80" s="468" t="s">
        <v>446</v>
      </c>
      <c r="K80" s="468" t="s">
        <v>447</v>
      </c>
      <c r="L80" s="506">
        <v>0</v>
      </c>
      <c r="M80" s="506">
        <v>0</v>
      </c>
      <c r="N80" s="468">
        <v>2</v>
      </c>
      <c r="O80" s="507">
        <v>0.5</v>
      </c>
      <c r="P80" s="506"/>
      <c r="Q80" s="482"/>
      <c r="R80" s="468"/>
      <c r="S80" s="482">
        <v>0</v>
      </c>
      <c r="T80" s="507"/>
      <c r="U80" s="483">
        <v>0</v>
      </c>
    </row>
    <row r="81" spans="1:21" ht="14.4" customHeight="1" x14ac:dyDescent="0.3">
      <c r="A81" s="478">
        <v>57</v>
      </c>
      <c r="B81" s="468" t="s">
        <v>289</v>
      </c>
      <c r="C81" s="468">
        <v>89301594</v>
      </c>
      <c r="D81" s="504" t="s">
        <v>289</v>
      </c>
      <c r="E81" s="505" t="s">
        <v>303</v>
      </c>
      <c r="F81" s="468" t="s">
        <v>290</v>
      </c>
      <c r="G81" s="468" t="s">
        <v>448</v>
      </c>
      <c r="H81" s="468" t="s">
        <v>493</v>
      </c>
      <c r="I81" s="468" t="s">
        <v>449</v>
      </c>
      <c r="J81" s="468" t="s">
        <v>450</v>
      </c>
      <c r="K81" s="468" t="s">
        <v>451</v>
      </c>
      <c r="L81" s="506">
        <v>174.94</v>
      </c>
      <c r="M81" s="506">
        <v>174.94</v>
      </c>
      <c r="N81" s="468">
        <v>1</v>
      </c>
      <c r="O81" s="507">
        <v>0.5</v>
      </c>
      <c r="P81" s="506"/>
      <c r="Q81" s="482">
        <v>0</v>
      </c>
      <c r="R81" s="468"/>
      <c r="S81" s="482">
        <v>0</v>
      </c>
      <c r="T81" s="507"/>
      <c r="U81" s="483">
        <v>0</v>
      </c>
    </row>
    <row r="82" spans="1:21" ht="14.4" customHeight="1" x14ac:dyDescent="0.3">
      <c r="A82" s="478">
        <v>57</v>
      </c>
      <c r="B82" s="468" t="s">
        <v>289</v>
      </c>
      <c r="C82" s="468">
        <v>89301594</v>
      </c>
      <c r="D82" s="504" t="s">
        <v>289</v>
      </c>
      <c r="E82" s="505" t="s">
        <v>303</v>
      </c>
      <c r="F82" s="468" t="s">
        <v>290</v>
      </c>
      <c r="G82" s="468" t="s">
        <v>452</v>
      </c>
      <c r="H82" s="468" t="s">
        <v>292</v>
      </c>
      <c r="I82" s="468" t="s">
        <v>453</v>
      </c>
      <c r="J82" s="468" t="s">
        <v>454</v>
      </c>
      <c r="K82" s="468" t="s">
        <v>455</v>
      </c>
      <c r="L82" s="506">
        <v>56.69</v>
      </c>
      <c r="M82" s="506">
        <v>113.38</v>
      </c>
      <c r="N82" s="468">
        <v>2</v>
      </c>
      <c r="O82" s="507">
        <v>1</v>
      </c>
      <c r="P82" s="506"/>
      <c r="Q82" s="482">
        <v>0</v>
      </c>
      <c r="R82" s="468"/>
      <c r="S82" s="482">
        <v>0</v>
      </c>
      <c r="T82" s="507"/>
      <c r="U82" s="483">
        <v>0</v>
      </c>
    </row>
    <row r="83" spans="1:21" ht="14.4" customHeight="1" x14ac:dyDescent="0.3">
      <c r="A83" s="478">
        <v>57</v>
      </c>
      <c r="B83" s="468" t="s">
        <v>289</v>
      </c>
      <c r="C83" s="468">
        <v>89301594</v>
      </c>
      <c r="D83" s="504" t="s">
        <v>289</v>
      </c>
      <c r="E83" s="505" t="s">
        <v>303</v>
      </c>
      <c r="F83" s="468" t="s">
        <v>290</v>
      </c>
      <c r="G83" s="468" t="s">
        <v>307</v>
      </c>
      <c r="H83" s="468" t="s">
        <v>493</v>
      </c>
      <c r="I83" s="468" t="s">
        <v>322</v>
      </c>
      <c r="J83" s="468" t="s">
        <v>323</v>
      </c>
      <c r="K83" s="468" t="s">
        <v>310</v>
      </c>
      <c r="L83" s="506">
        <v>31.59</v>
      </c>
      <c r="M83" s="506">
        <v>1516.32</v>
      </c>
      <c r="N83" s="468">
        <v>48</v>
      </c>
      <c r="O83" s="507">
        <v>0.5</v>
      </c>
      <c r="P83" s="506"/>
      <c r="Q83" s="482">
        <v>0</v>
      </c>
      <c r="R83" s="468"/>
      <c r="S83" s="482">
        <v>0</v>
      </c>
      <c r="T83" s="507"/>
      <c r="U83" s="483">
        <v>0</v>
      </c>
    </row>
    <row r="84" spans="1:21" ht="14.4" customHeight="1" x14ac:dyDescent="0.3">
      <c r="A84" s="478">
        <v>57</v>
      </c>
      <c r="B84" s="468" t="s">
        <v>289</v>
      </c>
      <c r="C84" s="468">
        <v>89301594</v>
      </c>
      <c r="D84" s="504" t="s">
        <v>289</v>
      </c>
      <c r="E84" s="505" t="s">
        <v>303</v>
      </c>
      <c r="F84" s="468" t="s">
        <v>290</v>
      </c>
      <c r="G84" s="468" t="s">
        <v>307</v>
      </c>
      <c r="H84" s="468" t="s">
        <v>493</v>
      </c>
      <c r="I84" s="468" t="s">
        <v>322</v>
      </c>
      <c r="J84" s="468" t="s">
        <v>323</v>
      </c>
      <c r="K84" s="468" t="s">
        <v>310</v>
      </c>
      <c r="L84" s="506">
        <v>32.6</v>
      </c>
      <c r="M84" s="506">
        <v>22559.200000000001</v>
      </c>
      <c r="N84" s="468">
        <v>692</v>
      </c>
      <c r="O84" s="507">
        <v>7.5</v>
      </c>
      <c r="P84" s="506">
        <v>3716.4000000000005</v>
      </c>
      <c r="Q84" s="482">
        <v>0.16473988439306361</v>
      </c>
      <c r="R84" s="468">
        <v>114</v>
      </c>
      <c r="S84" s="482">
        <v>0.16473988439306358</v>
      </c>
      <c r="T84" s="507">
        <v>2</v>
      </c>
      <c r="U84" s="483">
        <v>0.26666666666666666</v>
      </c>
    </row>
    <row r="85" spans="1:21" ht="14.4" customHeight="1" x14ac:dyDescent="0.3">
      <c r="A85" s="478">
        <v>57</v>
      </c>
      <c r="B85" s="468" t="s">
        <v>289</v>
      </c>
      <c r="C85" s="468">
        <v>89301594</v>
      </c>
      <c r="D85" s="504" t="s">
        <v>289</v>
      </c>
      <c r="E85" s="505" t="s">
        <v>303</v>
      </c>
      <c r="F85" s="468" t="s">
        <v>290</v>
      </c>
      <c r="G85" s="468" t="s">
        <v>307</v>
      </c>
      <c r="H85" s="468" t="s">
        <v>493</v>
      </c>
      <c r="I85" s="468" t="s">
        <v>456</v>
      </c>
      <c r="J85" s="468" t="s">
        <v>457</v>
      </c>
      <c r="K85" s="468" t="s">
        <v>310</v>
      </c>
      <c r="L85" s="506">
        <v>32.380000000000003</v>
      </c>
      <c r="M85" s="506">
        <v>3885.6000000000004</v>
      </c>
      <c r="N85" s="468">
        <v>120</v>
      </c>
      <c r="O85" s="507">
        <v>1</v>
      </c>
      <c r="P85" s="506"/>
      <c r="Q85" s="482">
        <v>0</v>
      </c>
      <c r="R85" s="468"/>
      <c r="S85" s="482">
        <v>0</v>
      </c>
      <c r="T85" s="507"/>
      <c r="U85" s="483">
        <v>0</v>
      </c>
    </row>
    <row r="86" spans="1:21" ht="14.4" customHeight="1" x14ac:dyDescent="0.3">
      <c r="A86" s="478">
        <v>57</v>
      </c>
      <c r="B86" s="468" t="s">
        <v>289</v>
      </c>
      <c r="C86" s="468">
        <v>89301594</v>
      </c>
      <c r="D86" s="504" t="s">
        <v>289</v>
      </c>
      <c r="E86" s="505" t="s">
        <v>303</v>
      </c>
      <c r="F86" s="468" t="s">
        <v>290</v>
      </c>
      <c r="G86" s="468" t="s">
        <v>307</v>
      </c>
      <c r="H86" s="468" t="s">
        <v>493</v>
      </c>
      <c r="I86" s="468" t="s">
        <v>330</v>
      </c>
      <c r="J86" s="468" t="s">
        <v>331</v>
      </c>
      <c r="K86" s="468" t="s">
        <v>310</v>
      </c>
      <c r="L86" s="506">
        <v>31.59</v>
      </c>
      <c r="M86" s="506">
        <v>3159</v>
      </c>
      <c r="N86" s="468">
        <v>100</v>
      </c>
      <c r="O86" s="507">
        <v>2</v>
      </c>
      <c r="P86" s="506">
        <v>2843.1</v>
      </c>
      <c r="Q86" s="482">
        <v>0.9</v>
      </c>
      <c r="R86" s="468">
        <v>90</v>
      </c>
      <c r="S86" s="482">
        <v>0.9</v>
      </c>
      <c r="T86" s="507">
        <v>1</v>
      </c>
      <c r="U86" s="483">
        <v>0.5</v>
      </c>
    </row>
    <row r="87" spans="1:21" ht="14.4" customHeight="1" x14ac:dyDescent="0.3">
      <c r="A87" s="478">
        <v>57</v>
      </c>
      <c r="B87" s="468" t="s">
        <v>289</v>
      </c>
      <c r="C87" s="468">
        <v>89301594</v>
      </c>
      <c r="D87" s="504" t="s">
        <v>289</v>
      </c>
      <c r="E87" s="505" t="s">
        <v>303</v>
      </c>
      <c r="F87" s="468" t="s">
        <v>290</v>
      </c>
      <c r="G87" s="468" t="s">
        <v>307</v>
      </c>
      <c r="H87" s="468" t="s">
        <v>493</v>
      </c>
      <c r="I87" s="468" t="s">
        <v>330</v>
      </c>
      <c r="J87" s="468" t="s">
        <v>331</v>
      </c>
      <c r="K87" s="468" t="s">
        <v>310</v>
      </c>
      <c r="L87" s="506">
        <v>32.380000000000003</v>
      </c>
      <c r="M87" s="506">
        <v>21047</v>
      </c>
      <c r="N87" s="468">
        <v>650</v>
      </c>
      <c r="O87" s="507">
        <v>10</v>
      </c>
      <c r="P87" s="506">
        <v>11980.6</v>
      </c>
      <c r="Q87" s="482">
        <v>0.56923076923076921</v>
      </c>
      <c r="R87" s="468">
        <v>370</v>
      </c>
      <c r="S87" s="482">
        <v>0.56923076923076921</v>
      </c>
      <c r="T87" s="507">
        <v>4</v>
      </c>
      <c r="U87" s="483">
        <v>0.4</v>
      </c>
    </row>
    <row r="88" spans="1:21" ht="14.4" customHeight="1" x14ac:dyDescent="0.3">
      <c r="A88" s="478">
        <v>57</v>
      </c>
      <c r="B88" s="468" t="s">
        <v>289</v>
      </c>
      <c r="C88" s="468">
        <v>89301594</v>
      </c>
      <c r="D88" s="504" t="s">
        <v>289</v>
      </c>
      <c r="E88" s="505" t="s">
        <v>303</v>
      </c>
      <c r="F88" s="468" t="s">
        <v>290</v>
      </c>
      <c r="G88" s="468" t="s">
        <v>307</v>
      </c>
      <c r="H88" s="468" t="s">
        <v>493</v>
      </c>
      <c r="I88" s="468" t="s">
        <v>332</v>
      </c>
      <c r="J88" s="468" t="s">
        <v>333</v>
      </c>
      <c r="K88" s="468" t="s">
        <v>310</v>
      </c>
      <c r="L88" s="506">
        <v>32.380000000000003</v>
      </c>
      <c r="M88" s="506">
        <v>3302.7600000000007</v>
      </c>
      <c r="N88" s="468">
        <v>102</v>
      </c>
      <c r="O88" s="507">
        <v>2</v>
      </c>
      <c r="P88" s="506">
        <v>2655.1600000000008</v>
      </c>
      <c r="Q88" s="482">
        <v>0.80392156862745101</v>
      </c>
      <c r="R88" s="468">
        <v>82</v>
      </c>
      <c r="S88" s="482">
        <v>0.80392156862745101</v>
      </c>
      <c r="T88" s="507">
        <v>1.5</v>
      </c>
      <c r="U88" s="483">
        <v>0.75</v>
      </c>
    </row>
    <row r="89" spans="1:21" ht="14.4" customHeight="1" x14ac:dyDescent="0.3">
      <c r="A89" s="478">
        <v>57</v>
      </c>
      <c r="B89" s="468" t="s">
        <v>289</v>
      </c>
      <c r="C89" s="468">
        <v>89301594</v>
      </c>
      <c r="D89" s="504" t="s">
        <v>289</v>
      </c>
      <c r="E89" s="505" t="s">
        <v>303</v>
      </c>
      <c r="F89" s="468" t="s">
        <v>290</v>
      </c>
      <c r="G89" s="468" t="s">
        <v>307</v>
      </c>
      <c r="H89" s="468" t="s">
        <v>493</v>
      </c>
      <c r="I89" s="468" t="s">
        <v>458</v>
      </c>
      <c r="J89" s="468" t="s">
        <v>459</v>
      </c>
      <c r="K89" s="468" t="s">
        <v>310</v>
      </c>
      <c r="L89" s="506">
        <v>31.59</v>
      </c>
      <c r="M89" s="506">
        <v>17058.599999999999</v>
      </c>
      <c r="N89" s="468">
        <v>540</v>
      </c>
      <c r="O89" s="507">
        <v>4</v>
      </c>
      <c r="P89" s="506">
        <v>3790.8</v>
      </c>
      <c r="Q89" s="482">
        <v>0.22222222222222227</v>
      </c>
      <c r="R89" s="468">
        <v>120</v>
      </c>
      <c r="S89" s="482">
        <v>0.22222222222222221</v>
      </c>
      <c r="T89" s="507">
        <v>1</v>
      </c>
      <c r="U89" s="483">
        <v>0.25</v>
      </c>
    </row>
    <row r="90" spans="1:21" ht="14.4" customHeight="1" x14ac:dyDescent="0.3">
      <c r="A90" s="478">
        <v>57</v>
      </c>
      <c r="B90" s="468" t="s">
        <v>289</v>
      </c>
      <c r="C90" s="468">
        <v>89301594</v>
      </c>
      <c r="D90" s="504" t="s">
        <v>289</v>
      </c>
      <c r="E90" s="505" t="s">
        <v>303</v>
      </c>
      <c r="F90" s="468" t="s">
        <v>290</v>
      </c>
      <c r="G90" s="468" t="s">
        <v>307</v>
      </c>
      <c r="H90" s="468" t="s">
        <v>493</v>
      </c>
      <c r="I90" s="468" t="s">
        <v>334</v>
      </c>
      <c r="J90" s="468" t="s">
        <v>335</v>
      </c>
      <c r="K90" s="468" t="s">
        <v>336</v>
      </c>
      <c r="L90" s="506">
        <v>189.56</v>
      </c>
      <c r="M90" s="506">
        <v>42271.87999999999</v>
      </c>
      <c r="N90" s="468">
        <v>223</v>
      </c>
      <c r="O90" s="507">
        <v>11.5</v>
      </c>
      <c r="P90" s="506">
        <v>26538.399999999994</v>
      </c>
      <c r="Q90" s="482">
        <v>0.62780269058295968</v>
      </c>
      <c r="R90" s="468">
        <v>140</v>
      </c>
      <c r="S90" s="482">
        <v>0.62780269058295968</v>
      </c>
      <c r="T90" s="507">
        <v>7</v>
      </c>
      <c r="U90" s="483">
        <v>0.60869565217391308</v>
      </c>
    </row>
    <row r="91" spans="1:21" ht="14.4" customHeight="1" x14ac:dyDescent="0.3">
      <c r="A91" s="478">
        <v>57</v>
      </c>
      <c r="B91" s="468" t="s">
        <v>289</v>
      </c>
      <c r="C91" s="468">
        <v>89301594</v>
      </c>
      <c r="D91" s="504" t="s">
        <v>289</v>
      </c>
      <c r="E91" s="505" t="s">
        <v>303</v>
      </c>
      <c r="F91" s="468" t="s">
        <v>290</v>
      </c>
      <c r="G91" s="468" t="s">
        <v>307</v>
      </c>
      <c r="H91" s="468" t="s">
        <v>493</v>
      </c>
      <c r="I91" s="468" t="s">
        <v>334</v>
      </c>
      <c r="J91" s="468" t="s">
        <v>335</v>
      </c>
      <c r="K91" s="468" t="s">
        <v>336</v>
      </c>
      <c r="L91" s="506">
        <v>194.26</v>
      </c>
      <c r="M91" s="506">
        <v>269244.36000000004</v>
      </c>
      <c r="N91" s="468">
        <v>1386</v>
      </c>
      <c r="O91" s="507">
        <v>79</v>
      </c>
      <c r="P91" s="506">
        <v>110728.2</v>
      </c>
      <c r="Q91" s="482">
        <v>0.41125541125541115</v>
      </c>
      <c r="R91" s="468">
        <v>570</v>
      </c>
      <c r="S91" s="482">
        <v>0.41125541125541126</v>
      </c>
      <c r="T91" s="507">
        <v>31.5</v>
      </c>
      <c r="U91" s="483">
        <v>0.39873417721518989</v>
      </c>
    </row>
    <row r="92" spans="1:21" ht="14.4" customHeight="1" x14ac:dyDescent="0.3">
      <c r="A92" s="478">
        <v>57</v>
      </c>
      <c r="B92" s="468" t="s">
        <v>289</v>
      </c>
      <c r="C92" s="468">
        <v>89301594</v>
      </c>
      <c r="D92" s="504" t="s">
        <v>289</v>
      </c>
      <c r="E92" s="505" t="s">
        <v>303</v>
      </c>
      <c r="F92" s="468" t="s">
        <v>290</v>
      </c>
      <c r="G92" s="468" t="s">
        <v>307</v>
      </c>
      <c r="H92" s="468" t="s">
        <v>493</v>
      </c>
      <c r="I92" s="468" t="s">
        <v>339</v>
      </c>
      <c r="J92" s="468" t="s">
        <v>340</v>
      </c>
      <c r="K92" s="468" t="s">
        <v>310</v>
      </c>
      <c r="L92" s="506">
        <v>21.06</v>
      </c>
      <c r="M92" s="506">
        <v>1684.8</v>
      </c>
      <c r="N92" s="468">
        <v>80</v>
      </c>
      <c r="O92" s="507">
        <v>1.5</v>
      </c>
      <c r="P92" s="506">
        <v>1684.8</v>
      </c>
      <c r="Q92" s="482">
        <v>1</v>
      </c>
      <c r="R92" s="468">
        <v>80</v>
      </c>
      <c r="S92" s="482">
        <v>1</v>
      </c>
      <c r="T92" s="507">
        <v>1.5</v>
      </c>
      <c r="U92" s="483">
        <v>1</v>
      </c>
    </row>
    <row r="93" spans="1:21" ht="14.4" customHeight="1" x14ac:dyDescent="0.3">
      <c r="A93" s="478">
        <v>57</v>
      </c>
      <c r="B93" s="468" t="s">
        <v>289</v>
      </c>
      <c r="C93" s="468">
        <v>89301594</v>
      </c>
      <c r="D93" s="504" t="s">
        <v>289</v>
      </c>
      <c r="E93" s="505" t="s">
        <v>303</v>
      </c>
      <c r="F93" s="468" t="s">
        <v>290</v>
      </c>
      <c r="G93" s="468" t="s">
        <v>307</v>
      </c>
      <c r="H93" s="468" t="s">
        <v>493</v>
      </c>
      <c r="I93" s="468" t="s">
        <v>308</v>
      </c>
      <c r="J93" s="468" t="s">
        <v>309</v>
      </c>
      <c r="K93" s="468" t="s">
        <v>310</v>
      </c>
      <c r="L93" s="506">
        <v>21.06</v>
      </c>
      <c r="M93" s="506">
        <v>3369.5999999999995</v>
      </c>
      <c r="N93" s="468">
        <v>160</v>
      </c>
      <c r="O93" s="507">
        <v>5</v>
      </c>
      <c r="P93" s="506">
        <v>2737.7999999999997</v>
      </c>
      <c r="Q93" s="482">
        <v>0.8125</v>
      </c>
      <c r="R93" s="468">
        <v>130</v>
      </c>
      <c r="S93" s="482">
        <v>0.8125</v>
      </c>
      <c r="T93" s="507">
        <v>4</v>
      </c>
      <c r="U93" s="483">
        <v>0.8</v>
      </c>
    </row>
    <row r="94" spans="1:21" ht="14.4" customHeight="1" x14ac:dyDescent="0.3">
      <c r="A94" s="478">
        <v>57</v>
      </c>
      <c r="B94" s="468" t="s">
        <v>289</v>
      </c>
      <c r="C94" s="468">
        <v>89301594</v>
      </c>
      <c r="D94" s="504" t="s">
        <v>289</v>
      </c>
      <c r="E94" s="505" t="s">
        <v>303</v>
      </c>
      <c r="F94" s="468" t="s">
        <v>290</v>
      </c>
      <c r="G94" s="468" t="s">
        <v>307</v>
      </c>
      <c r="H94" s="468" t="s">
        <v>493</v>
      </c>
      <c r="I94" s="468" t="s">
        <v>341</v>
      </c>
      <c r="J94" s="468" t="s">
        <v>342</v>
      </c>
      <c r="K94" s="468" t="s">
        <v>310</v>
      </c>
      <c r="L94" s="506">
        <v>26.33</v>
      </c>
      <c r="M94" s="506">
        <v>20669.049999999996</v>
      </c>
      <c r="N94" s="468">
        <v>785</v>
      </c>
      <c r="O94" s="507">
        <v>12</v>
      </c>
      <c r="P94" s="506">
        <v>12111.799999999997</v>
      </c>
      <c r="Q94" s="482">
        <v>0.5859872611464968</v>
      </c>
      <c r="R94" s="468">
        <v>460</v>
      </c>
      <c r="S94" s="482">
        <v>0.5859872611464968</v>
      </c>
      <c r="T94" s="507">
        <v>7.5</v>
      </c>
      <c r="U94" s="483">
        <v>0.625</v>
      </c>
    </row>
    <row r="95" spans="1:21" ht="14.4" customHeight="1" x14ac:dyDescent="0.3">
      <c r="A95" s="478">
        <v>57</v>
      </c>
      <c r="B95" s="468" t="s">
        <v>289</v>
      </c>
      <c r="C95" s="468">
        <v>89301594</v>
      </c>
      <c r="D95" s="504" t="s">
        <v>289</v>
      </c>
      <c r="E95" s="505" t="s">
        <v>303</v>
      </c>
      <c r="F95" s="468" t="s">
        <v>290</v>
      </c>
      <c r="G95" s="468" t="s">
        <v>307</v>
      </c>
      <c r="H95" s="468" t="s">
        <v>493</v>
      </c>
      <c r="I95" s="468" t="s">
        <v>343</v>
      </c>
      <c r="J95" s="468" t="s">
        <v>344</v>
      </c>
      <c r="K95" s="468" t="s">
        <v>310</v>
      </c>
      <c r="L95" s="506">
        <v>26.33</v>
      </c>
      <c r="M95" s="506">
        <v>10795.3</v>
      </c>
      <c r="N95" s="468">
        <v>410</v>
      </c>
      <c r="O95" s="507">
        <v>9.5</v>
      </c>
      <c r="P95" s="506">
        <v>5134.3499999999995</v>
      </c>
      <c r="Q95" s="482">
        <v>0.47560975609756095</v>
      </c>
      <c r="R95" s="468">
        <v>195</v>
      </c>
      <c r="S95" s="482">
        <v>0.47560975609756095</v>
      </c>
      <c r="T95" s="507">
        <v>7</v>
      </c>
      <c r="U95" s="483">
        <v>0.73684210526315785</v>
      </c>
    </row>
    <row r="96" spans="1:21" ht="14.4" customHeight="1" x14ac:dyDescent="0.3">
      <c r="A96" s="478">
        <v>57</v>
      </c>
      <c r="B96" s="468" t="s">
        <v>289</v>
      </c>
      <c r="C96" s="468">
        <v>89301594</v>
      </c>
      <c r="D96" s="504" t="s">
        <v>289</v>
      </c>
      <c r="E96" s="505" t="s">
        <v>303</v>
      </c>
      <c r="F96" s="468" t="s">
        <v>290</v>
      </c>
      <c r="G96" s="468" t="s">
        <v>307</v>
      </c>
      <c r="H96" s="468" t="s">
        <v>493</v>
      </c>
      <c r="I96" s="468" t="s">
        <v>345</v>
      </c>
      <c r="J96" s="468" t="s">
        <v>346</v>
      </c>
      <c r="K96" s="468" t="s">
        <v>310</v>
      </c>
      <c r="L96" s="506">
        <v>26.33</v>
      </c>
      <c r="M96" s="506">
        <v>13559.949999999999</v>
      </c>
      <c r="N96" s="468">
        <v>515</v>
      </c>
      <c r="O96" s="507">
        <v>4.5</v>
      </c>
      <c r="P96" s="506">
        <v>1184.8499999999999</v>
      </c>
      <c r="Q96" s="482">
        <v>8.7378640776699032E-2</v>
      </c>
      <c r="R96" s="468">
        <v>45</v>
      </c>
      <c r="S96" s="482">
        <v>8.7378640776699032E-2</v>
      </c>
      <c r="T96" s="507">
        <v>1</v>
      </c>
      <c r="U96" s="483">
        <v>0.22222222222222221</v>
      </c>
    </row>
    <row r="97" spans="1:21" ht="14.4" customHeight="1" x14ac:dyDescent="0.3">
      <c r="A97" s="478">
        <v>57</v>
      </c>
      <c r="B97" s="468" t="s">
        <v>289</v>
      </c>
      <c r="C97" s="468">
        <v>89301594</v>
      </c>
      <c r="D97" s="504" t="s">
        <v>289</v>
      </c>
      <c r="E97" s="505" t="s">
        <v>303</v>
      </c>
      <c r="F97" s="468" t="s">
        <v>290</v>
      </c>
      <c r="G97" s="468" t="s">
        <v>307</v>
      </c>
      <c r="H97" s="468" t="s">
        <v>493</v>
      </c>
      <c r="I97" s="468" t="s">
        <v>460</v>
      </c>
      <c r="J97" s="468" t="s">
        <v>461</v>
      </c>
      <c r="K97" s="468" t="s">
        <v>318</v>
      </c>
      <c r="L97" s="506">
        <v>129.51</v>
      </c>
      <c r="M97" s="506">
        <v>259.02</v>
      </c>
      <c r="N97" s="468">
        <v>2</v>
      </c>
      <c r="O97" s="507">
        <v>0.5</v>
      </c>
      <c r="P97" s="506">
        <v>259.02</v>
      </c>
      <c r="Q97" s="482">
        <v>1</v>
      </c>
      <c r="R97" s="468">
        <v>2</v>
      </c>
      <c r="S97" s="482">
        <v>1</v>
      </c>
      <c r="T97" s="507">
        <v>0.5</v>
      </c>
      <c r="U97" s="483">
        <v>1</v>
      </c>
    </row>
    <row r="98" spans="1:21" ht="14.4" customHeight="1" x14ac:dyDescent="0.3">
      <c r="A98" s="478">
        <v>57</v>
      </c>
      <c r="B98" s="468" t="s">
        <v>289</v>
      </c>
      <c r="C98" s="468">
        <v>89301594</v>
      </c>
      <c r="D98" s="504" t="s">
        <v>289</v>
      </c>
      <c r="E98" s="505" t="s">
        <v>303</v>
      </c>
      <c r="F98" s="468" t="s">
        <v>290</v>
      </c>
      <c r="G98" s="468" t="s">
        <v>307</v>
      </c>
      <c r="H98" s="468" t="s">
        <v>493</v>
      </c>
      <c r="I98" s="468" t="s">
        <v>347</v>
      </c>
      <c r="J98" s="468" t="s">
        <v>348</v>
      </c>
      <c r="K98" s="468" t="s">
        <v>310</v>
      </c>
      <c r="L98" s="506">
        <v>31.59</v>
      </c>
      <c r="M98" s="506">
        <v>1137.24</v>
      </c>
      <c r="N98" s="468">
        <v>36</v>
      </c>
      <c r="O98" s="507">
        <v>1.5</v>
      </c>
      <c r="P98" s="506">
        <v>189.54</v>
      </c>
      <c r="Q98" s="482">
        <v>0.16666666666666666</v>
      </c>
      <c r="R98" s="468">
        <v>6</v>
      </c>
      <c r="S98" s="482">
        <v>0.16666666666666666</v>
      </c>
      <c r="T98" s="507">
        <v>0.5</v>
      </c>
      <c r="U98" s="483">
        <v>0.33333333333333331</v>
      </c>
    </row>
    <row r="99" spans="1:21" ht="14.4" customHeight="1" x14ac:dyDescent="0.3">
      <c r="A99" s="478">
        <v>57</v>
      </c>
      <c r="B99" s="468" t="s">
        <v>289</v>
      </c>
      <c r="C99" s="468">
        <v>89301594</v>
      </c>
      <c r="D99" s="504" t="s">
        <v>289</v>
      </c>
      <c r="E99" s="505" t="s">
        <v>303</v>
      </c>
      <c r="F99" s="468" t="s">
        <v>290</v>
      </c>
      <c r="G99" s="468" t="s">
        <v>307</v>
      </c>
      <c r="H99" s="468" t="s">
        <v>493</v>
      </c>
      <c r="I99" s="468" t="s">
        <v>349</v>
      </c>
      <c r="J99" s="468" t="s">
        <v>350</v>
      </c>
      <c r="K99" s="468" t="s">
        <v>310</v>
      </c>
      <c r="L99" s="506">
        <v>31.59</v>
      </c>
      <c r="M99" s="506">
        <v>2558.79</v>
      </c>
      <c r="N99" s="468">
        <v>81</v>
      </c>
      <c r="O99" s="507">
        <v>2.5</v>
      </c>
      <c r="P99" s="506">
        <v>2084.94</v>
      </c>
      <c r="Q99" s="482">
        <v>0.81481481481481488</v>
      </c>
      <c r="R99" s="468">
        <v>66</v>
      </c>
      <c r="S99" s="482">
        <v>0.81481481481481477</v>
      </c>
      <c r="T99" s="507">
        <v>2</v>
      </c>
      <c r="U99" s="483">
        <v>0.8</v>
      </c>
    </row>
    <row r="100" spans="1:21" ht="14.4" customHeight="1" x14ac:dyDescent="0.3">
      <c r="A100" s="478">
        <v>57</v>
      </c>
      <c r="B100" s="468" t="s">
        <v>289</v>
      </c>
      <c r="C100" s="468">
        <v>89301594</v>
      </c>
      <c r="D100" s="504" t="s">
        <v>289</v>
      </c>
      <c r="E100" s="505" t="s">
        <v>303</v>
      </c>
      <c r="F100" s="468" t="s">
        <v>290</v>
      </c>
      <c r="G100" s="468" t="s">
        <v>307</v>
      </c>
      <c r="H100" s="468" t="s">
        <v>493</v>
      </c>
      <c r="I100" s="468" t="s">
        <v>392</v>
      </c>
      <c r="J100" s="468" t="s">
        <v>393</v>
      </c>
      <c r="K100" s="468" t="s">
        <v>310</v>
      </c>
      <c r="L100" s="506">
        <v>31.59</v>
      </c>
      <c r="M100" s="506">
        <v>3790.8</v>
      </c>
      <c r="N100" s="468">
        <v>120</v>
      </c>
      <c r="O100" s="507">
        <v>1</v>
      </c>
      <c r="P100" s="506"/>
      <c r="Q100" s="482">
        <v>0</v>
      </c>
      <c r="R100" s="468"/>
      <c r="S100" s="482">
        <v>0</v>
      </c>
      <c r="T100" s="507"/>
      <c r="U100" s="483">
        <v>0</v>
      </c>
    </row>
    <row r="101" spans="1:21" ht="14.4" customHeight="1" x14ac:dyDescent="0.3">
      <c r="A101" s="478">
        <v>57</v>
      </c>
      <c r="B101" s="468" t="s">
        <v>289</v>
      </c>
      <c r="C101" s="468">
        <v>89301594</v>
      </c>
      <c r="D101" s="504" t="s">
        <v>289</v>
      </c>
      <c r="E101" s="505" t="s">
        <v>303</v>
      </c>
      <c r="F101" s="468" t="s">
        <v>290</v>
      </c>
      <c r="G101" s="468" t="s">
        <v>307</v>
      </c>
      <c r="H101" s="468" t="s">
        <v>493</v>
      </c>
      <c r="I101" s="468" t="s">
        <v>392</v>
      </c>
      <c r="J101" s="468" t="s">
        <v>393</v>
      </c>
      <c r="K101" s="468" t="s">
        <v>310</v>
      </c>
      <c r="L101" s="506">
        <v>32.99</v>
      </c>
      <c r="M101" s="506">
        <v>329.90000000000003</v>
      </c>
      <c r="N101" s="468">
        <v>10</v>
      </c>
      <c r="O101" s="507">
        <v>0.5</v>
      </c>
      <c r="P101" s="506">
        <v>329.90000000000003</v>
      </c>
      <c r="Q101" s="482">
        <v>1</v>
      </c>
      <c r="R101" s="468">
        <v>10</v>
      </c>
      <c r="S101" s="482">
        <v>1</v>
      </c>
      <c r="T101" s="507">
        <v>0.5</v>
      </c>
      <c r="U101" s="483">
        <v>1</v>
      </c>
    </row>
    <row r="102" spans="1:21" ht="14.4" customHeight="1" x14ac:dyDescent="0.3">
      <c r="A102" s="478">
        <v>57</v>
      </c>
      <c r="B102" s="468" t="s">
        <v>289</v>
      </c>
      <c r="C102" s="468">
        <v>89301594</v>
      </c>
      <c r="D102" s="504" t="s">
        <v>289</v>
      </c>
      <c r="E102" s="505" t="s">
        <v>303</v>
      </c>
      <c r="F102" s="468" t="s">
        <v>290</v>
      </c>
      <c r="G102" s="468" t="s">
        <v>307</v>
      </c>
      <c r="H102" s="468" t="s">
        <v>493</v>
      </c>
      <c r="I102" s="468" t="s">
        <v>311</v>
      </c>
      <c r="J102" s="468" t="s">
        <v>312</v>
      </c>
      <c r="K102" s="468" t="s">
        <v>313</v>
      </c>
      <c r="L102" s="506">
        <v>105.31</v>
      </c>
      <c r="M102" s="506">
        <v>99202.02</v>
      </c>
      <c r="N102" s="468">
        <v>942</v>
      </c>
      <c r="O102" s="507">
        <v>10.5</v>
      </c>
      <c r="P102" s="506">
        <v>80246.22</v>
      </c>
      <c r="Q102" s="482">
        <v>0.80891719745222923</v>
      </c>
      <c r="R102" s="468">
        <v>762</v>
      </c>
      <c r="S102" s="482">
        <v>0.80891719745222934</v>
      </c>
      <c r="T102" s="507">
        <v>9</v>
      </c>
      <c r="U102" s="483">
        <v>0.8571428571428571</v>
      </c>
    </row>
    <row r="103" spans="1:21" ht="14.4" customHeight="1" x14ac:dyDescent="0.3">
      <c r="A103" s="478">
        <v>57</v>
      </c>
      <c r="B103" s="468" t="s">
        <v>289</v>
      </c>
      <c r="C103" s="468">
        <v>89301594</v>
      </c>
      <c r="D103" s="504" t="s">
        <v>289</v>
      </c>
      <c r="E103" s="505" t="s">
        <v>303</v>
      </c>
      <c r="F103" s="468" t="s">
        <v>290</v>
      </c>
      <c r="G103" s="468" t="s">
        <v>307</v>
      </c>
      <c r="H103" s="468" t="s">
        <v>493</v>
      </c>
      <c r="I103" s="468" t="s">
        <v>353</v>
      </c>
      <c r="J103" s="468" t="s">
        <v>312</v>
      </c>
      <c r="K103" s="468" t="s">
        <v>354</v>
      </c>
      <c r="L103" s="506">
        <v>52.66</v>
      </c>
      <c r="M103" s="506">
        <v>12638.4</v>
      </c>
      <c r="N103" s="468">
        <v>240</v>
      </c>
      <c r="O103" s="507">
        <v>2</v>
      </c>
      <c r="P103" s="506"/>
      <c r="Q103" s="482">
        <v>0</v>
      </c>
      <c r="R103" s="468"/>
      <c r="S103" s="482">
        <v>0</v>
      </c>
      <c r="T103" s="507"/>
      <c r="U103" s="483">
        <v>0</v>
      </c>
    </row>
    <row r="104" spans="1:21" ht="14.4" customHeight="1" x14ac:dyDescent="0.3">
      <c r="A104" s="478">
        <v>57</v>
      </c>
      <c r="B104" s="468" t="s">
        <v>289</v>
      </c>
      <c r="C104" s="468">
        <v>89301594</v>
      </c>
      <c r="D104" s="504" t="s">
        <v>289</v>
      </c>
      <c r="E104" s="505" t="s">
        <v>303</v>
      </c>
      <c r="F104" s="468" t="s">
        <v>290</v>
      </c>
      <c r="G104" s="468" t="s">
        <v>307</v>
      </c>
      <c r="H104" s="468" t="s">
        <v>493</v>
      </c>
      <c r="I104" s="468" t="s">
        <v>314</v>
      </c>
      <c r="J104" s="468" t="s">
        <v>315</v>
      </c>
      <c r="K104" s="468" t="s">
        <v>313</v>
      </c>
      <c r="L104" s="506">
        <v>108.47</v>
      </c>
      <c r="M104" s="506">
        <v>390275.05999999994</v>
      </c>
      <c r="N104" s="468">
        <v>3598</v>
      </c>
      <c r="O104" s="507">
        <v>43</v>
      </c>
      <c r="P104" s="506">
        <v>341463.55999999994</v>
      </c>
      <c r="Q104" s="482">
        <v>0.87493051695386326</v>
      </c>
      <c r="R104" s="468">
        <v>3148</v>
      </c>
      <c r="S104" s="482">
        <v>0.87493051695386326</v>
      </c>
      <c r="T104" s="507">
        <v>36.5</v>
      </c>
      <c r="U104" s="483">
        <v>0.84883720930232553</v>
      </c>
    </row>
    <row r="105" spans="1:21" ht="14.4" customHeight="1" x14ac:dyDescent="0.3">
      <c r="A105" s="478">
        <v>57</v>
      </c>
      <c r="B105" s="468" t="s">
        <v>289</v>
      </c>
      <c r="C105" s="468">
        <v>89301594</v>
      </c>
      <c r="D105" s="504" t="s">
        <v>289</v>
      </c>
      <c r="E105" s="505" t="s">
        <v>303</v>
      </c>
      <c r="F105" s="468" t="s">
        <v>290</v>
      </c>
      <c r="G105" s="468" t="s">
        <v>307</v>
      </c>
      <c r="H105" s="468" t="s">
        <v>493</v>
      </c>
      <c r="I105" s="468" t="s">
        <v>355</v>
      </c>
      <c r="J105" s="468" t="s">
        <v>320</v>
      </c>
      <c r="K105" s="468" t="s">
        <v>313</v>
      </c>
      <c r="L105" s="506">
        <v>162.28</v>
      </c>
      <c r="M105" s="506">
        <v>91688.2</v>
      </c>
      <c r="N105" s="468">
        <v>565</v>
      </c>
      <c r="O105" s="507">
        <v>6.5</v>
      </c>
      <c r="P105" s="506">
        <v>69780.399999999994</v>
      </c>
      <c r="Q105" s="482">
        <v>0.76106194690265483</v>
      </c>
      <c r="R105" s="468">
        <v>430</v>
      </c>
      <c r="S105" s="482">
        <v>0.76106194690265483</v>
      </c>
      <c r="T105" s="507">
        <v>4.5</v>
      </c>
      <c r="U105" s="483">
        <v>0.69230769230769229</v>
      </c>
    </row>
    <row r="106" spans="1:21" ht="14.4" customHeight="1" x14ac:dyDescent="0.3">
      <c r="A106" s="478">
        <v>57</v>
      </c>
      <c r="B106" s="468" t="s">
        <v>289</v>
      </c>
      <c r="C106" s="468">
        <v>89301594</v>
      </c>
      <c r="D106" s="504" t="s">
        <v>289</v>
      </c>
      <c r="E106" s="505" t="s">
        <v>303</v>
      </c>
      <c r="F106" s="468" t="s">
        <v>290</v>
      </c>
      <c r="G106" s="468" t="s">
        <v>307</v>
      </c>
      <c r="H106" s="468" t="s">
        <v>493</v>
      </c>
      <c r="I106" s="468" t="s">
        <v>356</v>
      </c>
      <c r="J106" s="468" t="s">
        <v>357</v>
      </c>
      <c r="K106" s="468" t="s">
        <v>310</v>
      </c>
      <c r="L106" s="506">
        <v>21.91</v>
      </c>
      <c r="M106" s="506">
        <v>438.2</v>
      </c>
      <c r="N106" s="468">
        <v>20</v>
      </c>
      <c r="O106" s="507">
        <v>0.5</v>
      </c>
      <c r="P106" s="506">
        <v>438.2</v>
      </c>
      <c r="Q106" s="482">
        <v>1</v>
      </c>
      <c r="R106" s="468">
        <v>20</v>
      </c>
      <c r="S106" s="482">
        <v>1</v>
      </c>
      <c r="T106" s="507">
        <v>0.5</v>
      </c>
      <c r="U106" s="483">
        <v>1</v>
      </c>
    </row>
    <row r="107" spans="1:21" ht="14.4" customHeight="1" x14ac:dyDescent="0.3">
      <c r="A107" s="478">
        <v>57</v>
      </c>
      <c r="B107" s="468" t="s">
        <v>289</v>
      </c>
      <c r="C107" s="468">
        <v>89301594</v>
      </c>
      <c r="D107" s="504" t="s">
        <v>289</v>
      </c>
      <c r="E107" s="505" t="s">
        <v>303</v>
      </c>
      <c r="F107" s="468" t="s">
        <v>290</v>
      </c>
      <c r="G107" s="468" t="s">
        <v>307</v>
      </c>
      <c r="H107" s="468" t="s">
        <v>493</v>
      </c>
      <c r="I107" s="468" t="s">
        <v>358</v>
      </c>
      <c r="J107" s="468" t="s">
        <v>359</v>
      </c>
      <c r="K107" s="468" t="s">
        <v>310</v>
      </c>
      <c r="L107" s="506">
        <v>32.380000000000003</v>
      </c>
      <c r="M107" s="506">
        <v>2266.6000000000004</v>
      </c>
      <c r="N107" s="468">
        <v>70</v>
      </c>
      <c r="O107" s="507">
        <v>1</v>
      </c>
      <c r="P107" s="506"/>
      <c r="Q107" s="482">
        <v>0</v>
      </c>
      <c r="R107" s="468"/>
      <c r="S107" s="482">
        <v>0</v>
      </c>
      <c r="T107" s="507"/>
      <c r="U107" s="483">
        <v>0</v>
      </c>
    </row>
    <row r="108" spans="1:21" ht="14.4" customHeight="1" x14ac:dyDescent="0.3">
      <c r="A108" s="478">
        <v>57</v>
      </c>
      <c r="B108" s="468" t="s">
        <v>289</v>
      </c>
      <c r="C108" s="468">
        <v>89301594</v>
      </c>
      <c r="D108" s="504" t="s">
        <v>289</v>
      </c>
      <c r="E108" s="505" t="s">
        <v>303</v>
      </c>
      <c r="F108" s="468" t="s">
        <v>290</v>
      </c>
      <c r="G108" s="468" t="s">
        <v>307</v>
      </c>
      <c r="H108" s="468" t="s">
        <v>493</v>
      </c>
      <c r="I108" s="468" t="s">
        <v>316</v>
      </c>
      <c r="J108" s="468" t="s">
        <v>317</v>
      </c>
      <c r="K108" s="468" t="s">
        <v>318</v>
      </c>
      <c r="L108" s="506">
        <v>127.34</v>
      </c>
      <c r="M108" s="506">
        <v>891.38000000000011</v>
      </c>
      <c r="N108" s="468">
        <v>7</v>
      </c>
      <c r="O108" s="507">
        <v>1</v>
      </c>
      <c r="P108" s="506">
        <v>891.38000000000011</v>
      </c>
      <c r="Q108" s="482">
        <v>1</v>
      </c>
      <c r="R108" s="468">
        <v>7</v>
      </c>
      <c r="S108" s="482">
        <v>1</v>
      </c>
      <c r="T108" s="507">
        <v>1</v>
      </c>
      <c r="U108" s="483">
        <v>1</v>
      </c>
    </row>
    <row r="109" spans="1:21" ht="14.4" customHeight="1" x14ac:dyDescent="0.3">
      <c r="A109" s="478">
        <v>57</v>
      </c>
      <c r="B109" s="468" t="s">
        <v>289</v>
      </c>
      <c r="C109" s="468">
        <v>89301594</v>
      </c>
      <c r="D109" s="504" t="s">
        <v>289</v>
      </c>
      <c r="E109" s="505" t="s">
        <v>303</v>
      </c>
      <c r="F109" s="468" t="s">
        <v>290</v>
      </c>
      <c r="G109" s="468" t="s">
        <v>307</v>
      </c>
      <c r="H109" s="468" t="s">
        <v>493</v>
      </c>
      <c r="I109" s="468" t="s">
        <v>462</v>
      </c>
      <c r="J109" s="468" t="s">
        <v>463</v>
      </c>
      <c r="K109" s="468" t="s">
        <v>364</v>
      </c>
      <c r="L109" s="506">
        <v>84.89</v>
      </c>
      <c r="M109" s="506">
        <v>84.89</v>
      </c>
      <c r="N109" s="468">
        <v>1</v>
      </c>
      <c r="O109" s="507">
        <v>1</v>
      </c>
      <c r="P109" s="506"/>
      <c r="Q109" s="482">
        <v>0</v>
      </c>
      <c r="R109" s="468"/>
      <c r="S109" s="482">
        <v>0</v>
      </c>
      <c r="T109" s="507"/>
      <c r="U109" s="483">
        <v>0</v>
      </c>
    </row>
    <row r="110" spans="1:21" ht="14.4" customHeight="1" x14ac:dyDescent="0.3">
      <c r="A110" s="478">
        <v>57</v>
      </c>
      <c r="B110" s="468" t="s">
        <v>289</v>
      </c>
      <c r="C110" s="468">
        <v>89301594</v>
      </c>
      <c r="D110" s="504" t="s">
        <v>289</v>
      </c>
      <c r="E110" s="505" t="s">
        <v>303</v>
      </c>
      <c r="F110" s="468" t="s">
        <v>290</v>
      </c>
      <c r="G110" s="468" t="s">
        <v>307</v>
      </c>
      <c r="H110" s="468" t="s">
        <v>493</v>
      </c>
      <c r="I110" s="468" t="s">
        <v>464</v>
      </c>
      <c r="J110" s="468" t="s">
        <v>465</v>
      </c>
      <c r="K110" s="468" t="s">
        <v>318</v>
      </c>
      <c r="L110" s="506">
        <v>126.28</v>
      </c>
      <c r="M110" s="506">
        <v>7576.8</v>
      </c>
      <c r="N110" s="468">
        <v>60</v>
      </c>
      <c r="O110" s="507">
        <v>1</v>
      </c>
      <c r="P110" s="506"/>
      <c r="Q110" s="482">
        <v>0</v>
      </c>
      <c r="R110" s="468"/>
      <c r="S110" s="482">
        <v>0</v>
      </c>
      <c r="T110" s="507"/>
      <c r="U110" s="483">
        <v>0</v>
      </c>
    </row>
    <row r="111" spans="1:21" ht="14.4" customHeight="1" x14ac:dyDescent="0.3">
      <c r="A111" s="478">
        <v>57</v>
      </c>
      <c r="B111" s="468" t="s">
        <v>289</v>
      </c>
      <c r="C111" s="468">
        <v>89301594</v>
      </c>
      <c r="D111" s="504" t="s">
        <v>289</v>
      </c>
      <c r="E111" s="505" t="s">
        <v>303</v>
      </c>
      <c r="F111" s="468" t="s">
        <v>290</v>
      </c>
      <c r="G111" s="468" t="s">
        <v>307</v>
      </c>
      <c r="H111" s="468" t="s">
        <v>493</v>
      </c>
      <c r="I111" s="468" t="s">
        <v>464</v>
      </c>
      <c r="J111" s="468" t="s">
        <v>465</v>
      </c>
      <c r="K111" s="468" t="s">
        <v>318</v>
      </c>
      <c r="L111" s="506">
        <v>127.34</v>
      </c>
      <c r="M111" s="506">
        <v>10187.200000000001</v>
      </c>
      <c r="N111" s="468">
        <v>80</v>
      </c>
      <c r="O111" s="507">
        <v>2.5</v>
      </c>
      <c r="P111" s="506">
        <v>3820.2000000000003</v>
      </c>
      <c r="Q111" s="482">
        <v>0.375</v>
      </c>
      <c r="R111" s="468">
        <v>30</v>
      </c>
      <c r="S111" s="482">
        <v>0.375</v>
      </c>
      <c r="T111" s="507">
        <v>0.5</v>
      </c>
      <c r="U111" s="483">
        <v>0.2</v>
      </c>
    </row>
    <row r="112" spans="1:21" ht="14.4" customHeight="1" x14ac:dyDescent="0.3">
      <c r="A112" s="478">
        <v>57</v>
      </c>
      <c r="B112" s="468" t="s">
        <v>289</v>
      </c>
      <c r="C112" s="468">
        <v>89301594</v>
      </c>
      <c r="D112" s="504" t="s">
        <v>289</v>
      </c>
      <c r="E112" s="505" t="s">
        <v>303</v>
      </c>
      <c r="F112" s="468" t="s">
        <v>290</v>
      </c>
      <c r="G112" s="468" t="s">
        <v>307</v>
      </c>
      <c r="H112" s="468" t="s">
        <v>493</v>
      </c>
      <c r="I112" s="468" t="s">
        <v>466</v>
      </c>
      <c r="J112" s="468" t="s">
        <v>467</v>
      </c>
      <c r="K112" s="468" t="s">
        <v>364</v>
      </c>
      <c r="L112" s="506">
        <v>84.89</v>
      </c>
      <c r="M112" s="506">
        <v>169.78</v>
      </c>
      <c r="N112" s="468">
        <v>2</v>
      </c>
      <c r="O112" s="507">
        <v>0.5</v>
      </c>
      <c r="P112" s="506"/>
      <c r="Q112" s="482">
        <v>0</v>
      </c>
      <c r="R112" s="468"/>
      <c r="S112" s="482">
        <v>0</v>
      </c>
      <c r="T112" s="507"/>
      <c r="U112" s="483">
        <v>0</v>
      </c>
    </row>
    <row r="113" spans="1:21" ht="14.4" customHeight="1" x14ac:dyDescent="0.3">
      <c r="A113" s="478">
        <v>57</v>
      </c>
      <c r="B113" s="468" t="s">
        <v>289</v>
      </c>
      <c r="C113" s="468">
        <v>89301594</v>
      </c>
      <c r="D113" s="504" t="s">
        <v>289</v>
      </c>
      <c r="E113" s="505" t="s">
        <v>303</v>
      </c>
      <c r="F113" s="468" t="s">
        <v>290</v>
      </c>
      <c r="G113" s="468" t="s">
        <v>307</v>
      </c>
      <c r="H113" s="468" t="s">
        <v>493</v>
      </c>
      <c r="I113" s="468" t="s">
        <v>365</v>
      </c>
      <c r="J113" s="468" t="s">
        <v>366</v>
      </c>
      <c r="K113" s="468" t="s">
        <v>364</v>
      </c>
      <c r="L113" s="506">
        <v>84.89</v>
      </c>
      <c r="M113" s="506">
        <v>169.78</v>
      </c>
      <c r="N113" s="468">
        <v>2</v>
      </c>
      <c r="O113" s="507">
        <v>0.5</v>
      </c>
      <c r="P113" s="506"/>
      <c r="Q113" s="482">
        <v>0</v>
      </c>
      <c r="R113" s="468"/>
      <c r="S113" s="482">
        <v>0</v>
      </c>
      <c r="T113" s="507"/>
      <c r="U113" s="483">
        <v>0</v>
      </c>
    </row>
    <row r="114" spans="1:21" ht="14.4" customHeight="1" x14ac:dyDescent="0.3">
      <c r="A114" s="478">
        <v>57</v>
      </c>
      <c r="B114" s="468" t="s">
        <v>289</v>
      </c>
      <c r="C114" s="468">
        <v>89301594</v>
      </c>
      <c r="D114" s="504" t="s">
        <v>289</v>
      </c>
      <c r="E114" s="505" t="s">
        <v>303</v>
      </c>
      <c r="F114" s="468" t="s">
        <v>290</v>
      </c>
      <c r="G114" s="468" t="s">
        <v>307</v>
      </c>
      <c r="H114" s="468" t="s">
        <v>292</v>
      </c>
      <c r="I114" s="468" t="s">
        <v>468</v>
      </c>
      <c r="J114" s="468" t="s">
        <v>469</v>
      </c>
      <c r="K114" s="468" t="s">
        <v>389</v>
      </c>
      <c r="L114" s="506">
        <v>168.5</v>
      </c>
      <c r="M114" s="506">
        <v>842.5</v>
      </c>
      <c r="N114" s="468">
        <v>5</v>
      </c>
      <c r="O114" s="507">
        <v>1</v>
      </c>
      <c r="P114" s="506"/>
      <c r="Q114" s="482">
        <v>0</v>
      </c>
      <c r="R114" s="468"/>
      <c r="S114" s="482">
        <v>0</v>
      </c>
      <c r="T114" s="507"/>
      <c r="U114" s="483">
        <v>0</v>
      </c>
    </row>
    <row r="115" spans="1:21" ht="14.4" customHeight="1" x14ac:dyDescent="0.3">
      <c r="A115" s="478">
        <v>57</v>
      </c>
      <c r="B115" s="468" t="s">
        <v>289</v>
      </c>
      <c r="C115" s="468">
        <v>89301594</v>
      </c>
      <c r="D115" s="504" t="s">
        <v>289</v>
      </c>
      <c r="E115" s="505" t="s">
        <v>303</v>
      </c>
      <c r="F115" s="468" t="s">
        <v>290</v>
      </c>
      <c r="G115" s="468" t="s">
        <v>307</v>
      </c>
      <c r="H115" s="468" t="s">
        <v>292</v>
      </c>
      <c r="I115" s="468" t="s">
        <v>468</v>
      </c>
      <c r="J115" s="468" t="s">
        <v>469</v>
      </c>
      <c r="K115" s="468" t="s">
        <v>389</v>
      </c>
      <c r="L115" s="506">
        <v>172.67</v>
      </c>
      <c r="M115" s="506">
        <v>2590.0499999999997</v>
      </c>
      <c r="N115" s="468">
        <v>15</v>
      </c>
      <c r="O115" s="507">
        <v>1</v>
      </c>
      <c r="P115" s="506"/>
      <c r="Q115" s="482">
        <v>0</v>
      </c>
      <c r="R115" s="468"/>
      <c r="S115" s="482">
        <v>0</v>
      </c>
      <c r="T115" s="507"/>
      <c r="U115" s="483">
        <v>0</v>
      </c>
    </row>
    <row r="116" spans="1:21" ht="14.4" customHeight="1" x14ac:dyDescent="0.3">
      <c r="A116" s="478">
        <v>57</v>
      </c>
      <c r="B116" s="468" t="s">
        <v>289</v>
      </c>
      <c r="C116" s="468">
        <v>89301594</v>
      </c>
      <c r="D116" s="504" t="s">
        <v>289</v>
      </c>
      <c r="E116" s="505" t="s">
        <v>303</v>
      </c>
      <c r="F116" s="468" t="s">
        <v>290</v>
      </c>
      <c r="G116" s="468" t="s">
        <v>307</v>
      </c>
      <c r="H116" s="468" t="s">
        <v>493</v>
      </c>
      <c r="I116" s="468" t="s">
        <v>367</v>
      </c>
      <c r="J116" s="468" t="s">
        <v>368</v>
      </c>
      <c r="K116" s="468" t="s">
        <v>318</v>
      </c>
      <c r="L116" s="506">
        <v>127.34</v>
      </c>
      <c r="M116" s="506">
        <v>2546.8000000000002</v>
      </c>
      <c r="N116" s="468">
        <v>20</v>
      </c>
      <c r="O116" s="507">
        <v>1</v>
      </c>
      <c r="P116" s="506">
        <v>2546.8000000000002</v>
      </c>
      <c r="Q116" s="482">
        <v>1</v>
      </c>
      <c r="R116" s="468">
        <v>20</v>
      </c>
      <c r="S116" s="482">
        <v>1</v>
      </c>
      <c r="T116" s="507">
        <v>1</v>
      </c>
      <c r="U116" s="483">
        <v>1</v>
      </c>
    </row>
    <row r="117" spans="1:21" ht="14.4" customHeight="1" x14ac:dyDescent="0.3">
      <c r="A117" s="478">
        <v>57</v>
      </c>
      <c r="B117" s="468" t="s">
        <v>289</v>
      </c>
      <c r="C117" s="468">
        <v>89301594</v>
      </c>
      <c r="D117" s="504" t="s">
        <v>289</v>
      </c>
      <c r="E117" s="505" t="s">
        <v>303</v>
      </c>
      <c r="F117" s="468" t="s">
        <v>290</v>
      </c>
      <c r="G117" s="468" t="s">
        <v>307</v>
      </c>
      <c r="H117" s="468" t="s">
        <v>493</v>
      </c>
      <c r="I117" s="468" t="s">
        <v>319</v>
      </c>
      <c r="J117" s="468" t="s">
        <v>320</v>
      </c>
      <c r="K117" s="468" t="s">
        <v>321</v>
      </c>
      <c r="L117" s="506">
        <v>242.63</v>
      </c>
      <c r="M117" s="506">
        <v>423389.34999999992</v>
      </c>
      <c r="N117" s="468">
        <v>1745</v>
      </c>
      <c r="O117" s="507">
        <v>26.5</v>
      </c>
      <c r="P117" s="506">
        <v>281450.79999999993</v>
      </c>
      <c r="Q117" s="482">
        <v>0.66475644699140402</v>
      </c>
      <c r="R117" s="468">
        <v>1160</v>
      </c>
      <c r="S117" s="482">
        <v>0.66475644699140402</v>
      </c>
      <c r="T117" s="507">
        <v>20</v>
      </c>
      <c r="U117" s="483">
        <v>0.75471698113207553</v>
      </c>
    </row>
    <row r="118" spans="1:21" ht="14.4" customHeight="1" x14ac:dyDescent="0.3">
      <c r="A118" s="478">
        <v>57</v>
      </c>
      <c r="B118" s="468" t="s">
        <v>289</v>
      </c>
      <c r="C118" s="468">
        <v>89301594</v>
      </c>
      <c r="D118" s="504" t="s">
        <v>289</v>
      </c>
      <c r="E118" s="505" t="s">
        <v>303</v>
      </c>
      <c r="F118" s="468" t="s">
        <v>290</v>
      </c>
      <c r="G118" s="468" t="s">
        <v>307</v>
      </c>
      <c r="H118" s="468" t="s">
        <v>292</v>
      </c>
      <c r="I118" s="468" t="s">
        <v>470</v>
      </c>
      <c r="J118" s="468" t="s">
        <v>471</v>
      </c>
      <c r="K118" s="468" t="s">
        <v>381</v>
      </c>
      <c r="L118" s="506">
        <v>34.72</v>
      </c>
      <c r="M118" s="506">
        <v>4166.3999999999996</v>
      </c>
      <c r="N118" s="468">
        <v>120</v>
      </c>
      <c r="O118" s="507">
        <v>1</v>
      </c>
      <c r="P118" s="506"/>
      <c r="Q118" s="482">
        <v>0</v>
      </c>
      <c r="R118" s="468"/>
      <c r="S118" s="482">
        <v>0</v>
      </c>
      <c r="T118" s="507"/>
      <c r="U118" s="483">
        <v>0</v>
      </c>
    </row>
    <row r="119" spans="1:21" ht="14.4" customHeight="1" x14ac:dyDescent="0.3">
      <c r="A119" s="478">
        <v>57</v>
      </c>
      <c r="B119" s="468" t="s">
        <v>289</v>
      </c>
      <c r="C119" s="468">
        <v>89301594</v>
      </c>
      <c r="D119" s="504" t="s">
        <v>289</v>
      </c>
      <c r="E119" s="505" t="s">
        <v>303</v>
      </c>
      <c r="F119" s="468" t="s">
        <v>290</v>
      </c>
      <c r="G119" s="468" t="s">
        <v>307</v>
      </c>
      <c r="H119" s="468" t="s">
        <v>493</v>
      </c>
      <c r="I119" s="468" t="s">
        <v>472</v>
      </c>
      <c r="J119" s="468" t="s">
        <v>320</v>
      </c>
      <c r="K119" s="468" t="s">
        <v>473</v>
      </c>
      <c r="L119" s="506">
        <v>1451.04</v>
      </c>
      <c r="M119" s="506">
        <v>30471.84</v>
      </c>
      <c r="N119" s="468">
        <v>21</v>
      </c>
      <c r="O119" s="507">
        <v>3</v>
      </c>
      <c r="P119" s="506"/>
      <c r="Q119" s="482">
        <v>0</v>
      </c>
      <c r="R119" s="468"/>
      <c r="S119" s="482">
        <v>0</v>
      </c>
      <c r="T119" s="507"/>
      <c r="U119" s="483">
        <v>0</v>
      </c>
    </row>
    <row r="120" spans="1:21" ht="14.4" customHeight="1" x14ac:dyDescent="0.3">
      <c r="A120" s="478">
        <v>57</v>
      </c>
      <c r="B120" s="468" t="s">
        <v>289</v>
      </c>
      <c r="C120" s="468">
        <v>89301594</v>
      </c>
      <c r="D120" s="504" t="s">
        <v>289</v>
      </c>
      <c r="E120" s="505" t="s">
        <v>303</v>
      </c>
      <c r="F120" s="468" t="s">
        <v>290</v>
      </c>
      <c r="G120" s="468" t="s">
        <v>307</v>
      </c>
      <c r="H120" s="468" t="s">
        <v>292</v>
      </c>
      <c r="I120" s="468" t="s">
        <v>375</v>
      </c>
      <c r="J120" s="468" t="s">
        <v>376</v>
      </c>
      <c r="K120" s="468" t="s">
        <v>336</v>
      </c>
      <c r="L120" s="506">
        <v>194.26</v>
      </c>
      <c r="M120" s="506">
        <v>27002.139999999996</v>
      </c>
      <c r="N120" s="468">
        <v>139</v>
      </c>
      <c r="O120" s="507">
        <v>7.5</v>
      </c>
      <c r="P120" s="506">
        <v>9907.2599999999984</v>
      </c>
      <c r="Q120" s="482">
        <v>0.36690647482014388</v>
      </c>
      <c r="R120" s="468">
        <v>51</v>
      </c>
      <c r="S120" s="482">
        <v>0.36690647482014388</v>
      </c>
      <c r="T120" s="507">
        <v>3</v>
      </c>
      <c r="U120" s="483">
        <v>0.4</v>
      </c>
    </row>
    <row r="121" spans="1:21" ht="14.4" customHeight="1" x14ac:dyDescent="0.3">
      <c r="A121" s="478">
        <v>57</v>
      </c>
      <c r="B121" s="468" t="s">
        <v>289</v>
      </c>
      <c r="C121" s="468">
        <v>89301594</v>
      </c>
      <c r="D121" s="504" t="s">
        <v>289</v>
      </c>
      <c r="E121" s="505" t="s">
        <v>303</v>
      </c>
      <c r="F121" s="468" t="s">
        <v>290</v>
      </c>
      <c r="G121" s="468" t="s">
        <v>307</v>
      </c>
      <c r="H121" s="468" t="s">
        <v>292</v>
      </c>
      <c r="I121" s="468" t="s">
        <v>474</v>
      </c>
      <c r="J121" s="468" t="s">
        <v>475</v>
      </c>
      <c r="K121" s="468" t="s">
        <v>389</v>
      </c>
      <c r="L121" s="506">
        <v>129.51</v>
      </c>
      <c r="M121" s="506">
        <v>7770.5999999999995</v>
      </c>
      <c r="N121" s="468">
        <v>60</v>
      </c>
      <c r="O121" s="507">
        <v>0.5</v>
      </c>
      <c r="P121" s="506"/>
      <c r="Q121" s="482">
        <v>0</v>
      </c>
      <c r="R121" s="468"/>
      <c r="S121" s="482">
        <v>0</v>
      </c>
      <c r="T121" s="507"/>
      <c r="U121" s="483">
        <v>0</v>
      </c>
    </row>
    <row r="122" spans="1:21" ht="14.4" customHeight="1" x14ac:dyDescent="0.3">
      <c r="A122" s="478">
        <v>57</v>
      </c>
      <c r="B122" s="468" t="s">
        <v>289</v>
      </c>
      <c r="C122" s="468">
        <v>89301594</v>
      </c>
      <c r="D122" s="504" t="s">
        <v>289</v>
      </c>
      <c r="E122" s="505" t="s">
        <v>303</v>
      </c>
      <c r="F122" s="468" t="s">
        <v>290</v>
      </c>
      <c r="G122" s="468" t="s">
        <v>307</v>
      </c>
      <c r="H122" s="468" t="s">
        <v>493</v>
      </c>
      <c r="I122" s="468" t="s">
        <v>476</v>
      </c>
      <c r="J122" s="468" t="s">
        <v>477</v>
      </c>
      <c r="K122" s="468" t="s">
        <v>313</v>
      </c>
      <c r="L122" s="506">
        <v>100</v>
      </c>
      <c r="M122" s="506">
        <v>9000</v>
      </c>
      <c r="N122" s="468">
        <v>90</v>
      </c>
      <c r="O122" s="507">
        <v>2</v>
      </c>
      <c r="P122" s="506"/>
      <c r="Q122" s="482">
        <v>0</v>
      </c>
      <c r="R122" s="468"/>
      <c r="S122" s="482">
        <v>0</v>
      </c>
      <c r="T122" s="507"/>
      <c r="U122" s="483">
        <v>0</v>
      </c>
    </row>
    <row r="123" spans="1:21" ht="14.4" customHeight="1" x14ac:dyDescent="0.3">
      <c r="A123" s="478">
        <v>57</v>
      </c>
      <c r="B123" s="468" t="s">
        <v>289</v>
      </c>
      <c r="C123" s="468">
        <v>89301594</v>
      </c>
      <c r="D123" s="504" t="s">
        <v>289</v>
      </c>
      <c r="E123" s="505" t="s">
        <v>303</v>
      </c>
      <c r="F123" s="468" t="s">
        <v>290</v>
      </c>
      <c r="G123" s="468" t="s">
        <v>307</v>
      </c>
      <c r="H123" s="468" t="s">
        <v>292</v>
      </c>
      <c r="I123" s="468" t="s">
        <v>478</v>
      </c>
      <c r="J123" s="468" t="s">
        <v>479</v>
      </c>
      <c r="K123" s="468" t="s">
        <v>381</v>
      </c>
      <c r="L123" s="506">
        <v>34.76</v>
      </c>
      <c r="M123" s="506">
        <v>1042.8</v>
      </c>
      <c r="N123" s="468">
        <v>30</v>
      </c>
      <c r="O123" s="507">
        <v>0.5</v>
      </c>
      <c r="P123" s="506">
        <v>1042.8</v>
      </c>
      <c r="Q123" s="482">
        <v>1</v>
      </c>
      <c r="R123" s="468">
        <v>30</v>
      </c>
      <c r="S123" s="482">
        <v>1</v>
      </c>
      <c r="T123" s="507">
        <v>0.5</v>
      </c>
      <c r="U123" s="483">
        <v>1</v>
      </c>
    </row>
    <row r="124" spans="1:21" ht="14.4" customHeight="1" x14ac:dyDescent="0.3">
      <c r="A124" s="478">
        <v>57</v>
      </c>
      <c r="B124" s="468" t="s">
        <v>289</v>
      </c>
      <c r="C124" s="468">
        <v>89301594</v>
      </c>
      <c r="D124" s="504" t="s">
        <v>289</v>
      </c>
      <c r="E124" s="505" t="s">
        <v>303</v>
      </c>
      <c r="F124" s="468" t="s">
        <v>290</v>
      </c>
      <c r="G124" s="468" t="s">
        <v>480</v>
      </c>
      <c r="H124" s="468" t="s">
        <v>493</v>
      </c>
      <c r="I124" s="468" t="s">
        <v>481</v>
      </c>
      <c r="J124" s="468" t="s">
        <v>482</v>
      </c>
      <c r="K124" s="468" t="s">
        <v>483</v>
      </c>
      <c r="L124" s="506">
        <v>140.03</v>
      </c>
      <c r="M124" s="506">
        <v>420.09000000000003</v>
      </c>
      <c r="N124" s="468">
        <v>3</v>
      </c>
      <c r="O124" s="507">
        <v>0.5</v>
      </c>
      <c r="P124" s="506">
        <v>420.09000000000003</v>
      </c>
      <c r="Q124" s="482">
        <v>1</v>
      </c>
      <c r="R124" s="468">
        <v>3</v>
      </c>
      <c r="S124" s="482">
        <v>1</v>
      </c>
      <c r="T124" s="507">
        <v>0.5</v>
      </c>
      <c r="U124" s="483">
        <v>1</v>
      </c>
    </row>
    <row r="125" spans="1:21" ht="14.4" customHeight="1" x14ac:dyDescent="0.3">
      <c r="A125" s="478">
        <v>57</v>
      </c>
      <c r="B125" s="468" t="s">
        <v>289</v>
      </c>
      <c r="C125" s="468">
        <v>89301594</v>
      </c>
      <c r="D125" s="504" t="s">
        <v>289</v>
      </c>
      <c r="E125" s="505" t="s">
        <v>303</v>
      </c>
      <c r="F125" s="468" t="s">
        <v>290</v>
      </c>
      <c r="G125" s="468" t="s">
        <v>484</v>
      </c>
      <c r="H125" s="468" t="s">
        <v>292</v>
      </c>
      <c r="I125" s="468" t="s">
        <v>485</v>
      </c>
      <c r="J125" s="468" t="s">
        <v>486</v>
      </c>
      <c r="K125" s="468" t="s">
        <v>487</v>
      </c>
      <c r="L125" s="506">
        <v>116.52</v>
      </c>
      <c r="M125" s="506">
        <v>116.52</v>
      </c>
      <c r="N125" s="468">
        <v>1</v>
      </c>
      <c r="O125" s="507">
        <v>1</v>
      </c>
      <c r="P125" s="506">
        <v>116.52</v>
      </c>
      <c r="Q125" s="482">
        <v>1</v>
      </c>
      <c r="R125" s="468">
        <v>1</v>
      </c>
      <c r="S125" s="482">
        <v>1</v>
      </c>
      <c r="T125" s="507">
        <v>1</v>
      </c>
      <c r="U125" s="483">
        <v>1</v>
      </c>
    </row>
    <row r="126" spans="1:21" ht="14.4" customHeight="1" x14ac:dyDescent="0.3">
      <c r="A126" s="478">
        <v>57</v>
      </c>
      <c r="B126" s="468" t="s">
        <v>289</v>
      </c>
      <c r="C126" s="468">
        <v>89301594</v>
      </c>
      <c r="D126" s="504" t="s">
        <v>289</v>
      </c>
      <c r="E126" s="505" t="s">
        <v>303</v>
      </c>
      <c r="F126" s="468" t="s">
        <v>290</v>
      </c>
      <c r="G126" s="468" t="s">
        <v>488</v>
      </c>
      <c r="H126" s="468" t="s">
        <v>292</v>
      </c>
      <c r="I126" s="468" t="s">
        <v>489</v>
      </c>
      <c r="J126" s="468" t="s">
        <v>490</v>
      </c>
      <c r="K126" s="468" t="s">
        <v>491</v>
      </c>
      <c r="L126" s="506">
        <v>314.33999999999997</v>
      </c>
      <c r="M126" s="506">
        <v>314.33999999999997</v>
      </c>
      <c r="N126" s="468">
        <v>1</v>
      </c>
      <c r="O126" s="507">
        <v>1</v>
      </c>
      <c r="P126" s="506"/>
      <c r="Q126" s="482">
        <v>0</v>
      </c>
      <c r="R126" s="468"/>
      <c r="S126" s="482">
        <v>0</v>
      </c>
      <c r="T126" s="507"/>
      <c r="U126" s="483">
        <v>0</v>
      </c>
    </row>
    <row r="127" spans="1:21" ht="14.4" customHeight="1" thickBot="1" x14ac:dyDescent="0.35">
      <c r="A127" s="479">
        <v>57</v>
      </c>
      <c r="B127" s="471" t="s">
        <v>289</v>
      </c>
      <c r="C127" s="471">
        <v>89301594</v>
      </c>
      <c r="D127" s="508" t="s">
        <v>289</v>
      </c>
      <c r="E127" s="509" t="s">
        <v>303</v>
      </c>
      <c r="F127" s="471" t="s">
        <v>291</v>
      </c>
      <c r="G127" s="471" t="s">
        <v>304</v>
      </c>
      <c r="H127" s="471" t="s">
        <v>292</v>
      </c>
      <c r="I127" s="471" t="s">
        <v>492</v>
      </c>
      <c r="J127" s="471" t="s">
        <v>306</v>
      </c>
      <c r="K127" s="471"/>
      <c r="L127" s="510">
        <v>0</v>
      </c>
      <c r="M127" s="510">
        <v>0</v>
      </c>
      <c r="N127" s="471">
        <v>1</v>
      </c>
      <c r="O127" s="511">
        <v>1</v>
      </c>
      <c r="P127" s="510"/>
      <c r="Q127" s="484"/>
      <c r="R127" s="471"/>
      <c r="S127" s="484">
        <v>0</v>
      </c>
      <c r="T127" s="511"/>
      <c r="U127" s="485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2014-12-18T09:41:01Z</dcterms:modified>
</cp:coreProperties>
</file>