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PL" sheetId="388" r:id="rId9"/>
    <sheet name="LRp PL Detail" sheetId="390" r:id="rId10"/>
    <sheet name="Materiál Žádanky" sheetId="420" r:id="rId11"/>
    <sheet name="MŽ Detail" sheetId="403" r:id="rId12"/>
    <sheet name="Osobní náklady" sheetId="419" r:id="rId13"/>
    <sheet name="ZV Vykáz.-A" sheetId="344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7" hidden="1">'LRp Lékaři'!$A$4:$N$4</definedName>
    <definedName name="_xlnm._FilterDatabase" localSheetId="8" hidden="1">'LRp PL'!$A$3:$F$50</definedName>
    <definedName name="_xlnm._FilterDatabase" localSheetId="9" hidden="1">'LRp PL Detail'!$A$5:$M$1005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4" hidden="1">'ZV Vykáz.-A Detail'!$A$5:$P$5</definedName>
    <definedName name="_xlnm._FilterDatabase" localSheetId="16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I26" i="419" l="1"/>
  <c r="AI25" i="419"/>
  <c r="C11" i="340" l="1"/>
  <c r="A15" i="383" l="1"/>
  <c r="C14" i="414"/>
  <c r="D14" i="414"/>
  <c r="AJ20" i="419" l="1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D18" i="419" l="1"/>
  <c r="H18" i="419"/>
  <c r="T18" i="419"/>
  <c r="X18" i="419"/>
  <c r="AB18" i="419"/>
  <c r="AJ18" i="419"/>
  <c r="F18" i="419"/>
  <c r="J18" i="419"/>
  <c r="N18" i="419"/>
  <c r="R18" i="419"/>
  <c r="V18" i="419"/>
  <c r="Z18" i="419"/>
  <c r="AD18" i="419"/>
  <c r="AH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I18" i="419"/>
  <c r="C25" i="419"/>
  <c r="AI27" i="419" l="1"/>
  <c r="G26" i="419"/>
  <c r="C26" i="419"/>
  <c r="B26" i="419" l="1"/>
  <c r="B27" i="419" s="1"/>
  <c r="C28" i="419"/>
  <c r="G27" i="419"/>
  <c r="C27" i="419"/>
  <c r="AI28" i="419" l="1"/>
  <c r="G25" i="419"/>
  <c r="B25" i="419" l="1"/>
  <c r="G28" i="419"/>
  <c r="B28" i="419" s="1"/>
  <c r="A7" i="339"/>
  <c r="AG6" i="419" l="1"/>
  <c r="AC6" i="419"/>
  <c r="Y6" i="419"/>
  <c r="U6" i="419"/>
  <c r="Q6" i="419"/>
  <c r="M6" i="419"/>
  <c r="I6" i="419"/>
  <c r="E6" i="419"/>
  <c r="AJ6" i="419"/>
  <c r="AF6" i="419"/>
  <c r="AB6" i="419"/>
  <c r="X6" i="419"/>
  <c r="T6" i="419"/>
  <c r="P6" i="419"/>
  <c r="L6" i="419"/>
  <c r="H6" i="419"/>
  <c r="D6" i="419"/>
  <c r="AI6" i="419"/>
  <c r="AE6" i="419"/>
  <c r="AA6" i="419"/>
  <c r="W6" i="419"/>
  <c r="S6" i="419"/>
  <c r="O6" i="419"/>
  <c r="K6" i="419"/>
  <c r="G6" i="419"/>
  <c r="AH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D4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C20" i="414"/>
  <c r="D20" i="414"/>
  <c r="P3" i="345" l="1"/>
  <c r="F13" i="339"/>
  <c r="E13" i="339"/>
  <c r="E15" i="339" s="1"/>
  <c r="H12" i="339"/>
  <c r="G12" i="339"/>
  <c r="K3" i="390"/>
  <c r="A4" i="383"/>
  <c r="A23" i="383"/>
  <c r="A22" i="383"/>
  <c r="A21" i="383"/>
  <c r="A20" i="383"/>
  <c r="A17" i="383"/>
  <c r="A16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<sst xmlns="http://schemas.openxmlformats.org/spreadsheetml/2006/main" count="1266" uniqueCount="509">
  <si>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</si>
  <si>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</si>
  <si>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</si>
  <si>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</si>
  <si>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</si>
  <si>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</si>
  <si>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</si>
  <si>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</si>
  <si>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</si>
  <si>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</si>
  <si>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</si>
  <si>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</si>
  <si>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</si>
  <si>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</si>
  <si>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</si>
  <si>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</si>
  <si>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</si>
  <si>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</si>
  <si>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</si>
  <si>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</si>
  <si>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</si>
  <si>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</si>
  <si>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</si>
  <si>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</si>
  <si>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</si>
  <si>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</si>
  <si>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</si>
  <si>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</si>
  <si>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</si>
  <si>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</si>
  <si>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</si>
  <si>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</si>
  <si>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</si>
  <si>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</si>
  <si>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</si>
  <si>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</si>
  <si>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</si>
  <si>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</si>
  <si>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</si>
  <si>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</si>
  <si>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</si>
  <si>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</si>
  <si>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</si>
  <si>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</si>
  <si>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</si>
  <si>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</si>
  <si>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</si>
  <si>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</si>
  <si>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</si>
  <si>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</si>
  <si>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</si>
  <si>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</si>
  <si>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</si>
  <si>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</si>
  <si>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</si>
  <si>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</si>
  <si>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</si>
  <si>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</si>
  <si>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</si>
  <si>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</si>
  <si>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</si>
  <si>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</si>
  <si>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</si>
  <si>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</si>
  <si>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</si>
  <si>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</si>
  <si>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</si>
  <si>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</si>
  <si>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</si>
  <si>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</si>
  <si>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</si>
  <si>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</si>
  <si>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</si>
  <si>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</si>
  <si>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</si>
  <si>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</si>
  <si>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</si>
  <si>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</si>
  <si>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</si>
  <si>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</si>
  <si>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</si>
  <si>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</si>
  <si>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</si>
  <si>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</si>
  <si>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</si>
  <si>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</si>
  <si>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</si>
  <si>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</si>
  <si>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</si>
  <si>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</si>
  <si>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</si>
  <si>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</si>
  <si>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</si>
  <si>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</si>
  <si>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</si>
  <si>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</si>
  <si>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</si>
  <si>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</si>
  <si>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</si>
  <si>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</si>
  <si>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</si>
  <si>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</si>
  <si>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</si>
  <si>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</si>
  <si>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</si>
  <si>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</si>
  <si>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</si>
  <si>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</si>
  <si>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</si>
  <si>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</si>
  <si>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</si>
  <si>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</si>
  <si>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</si>
  <si>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</si>
  <si>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</si>
  <si>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</si>
  <si>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</si>
  <si>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</si>
  <si>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</si>
  <si>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</si>
  <si>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</si>
  <si>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</si>
  <si>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</si>
  <si>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</si>
  <si>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</si>
  <si>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</si>
  <si>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</si>
  <si>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</si>
  <si>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</si>
  <si>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</si>
  <si>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</si>
  <si>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</si>
  <si>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</si>
  <si>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</si>
  <si>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</si>
  <si>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</si>
  <si>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</si>
  <si>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</si>
  <si>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</si>
  <si>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</si>
  <si>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</si>
  <si>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</si>
  <si>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</si>
  <si>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</si>
  <si>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</si>
  <si>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</si>
  <si>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</si>
  <si>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</si>
  <si>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</si>
  <si>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</si>
  <si>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</si>
  <si>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</si>
  <si>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</si>
  <si>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</si>
  <si>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</si>
  <si>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</si>
  <si>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</si>
  <si>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</si>
  <si>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</si>
  <si>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</si>
  <si>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</si>
  <si>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</si>
  <si>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</si>
  <si>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</si>
  <si>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</si>
  <si>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</si>
  <si>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</si>
  <si>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</si>
  <si>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</si>
  <si>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</si>
  <si>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</si>
  <si>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</si>
  <si>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</si>
  <si>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</si>
  <si>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</si>
  <si>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</si>
  <si>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</si>
  <si>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</si>
  <si>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</si>
  <si>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</si>
  <si>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</si>
  <si>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</si>
  <si>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</si>
  <si>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</si>
  <si>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</si>
  <si>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</si>
  <si>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</si>
  <si>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</si>
  <si>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</si>
  <si>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</si>
  <si>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</si>
  <si>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</si>
  <si>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</si>
  <si>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</si>
  <si>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</si>
  <si>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</si>
  <si>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</si>
  <si>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</si>
  <si>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</si>
  <si>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</si>
  <si>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</si>
  <si>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</si>
  <si>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</si>
  <si>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</si>
  <si>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</si>
  <si>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</si>
  <si>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</si>
  <si>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</si>
  <si>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</si>
  <si>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</si>
  <si>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</si>
  <si>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</si>
  <si>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</si>
  <si>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</si>
  <si>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</si>
  <si>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</si>
  <si>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</si>
  <si>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</si>
  <si>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</si>
  <si>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</si>
  <si>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</si>
  <si>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</si>
  <si>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</si>
  <si>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</si>
  <si>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</si>
  <si>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</si>
  <si>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</si>
  <si>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</si>
  <si>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</si>
  <si>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</si>
  <si>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</si>
  <si>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</si>
  <si>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</si>
  <si>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</si>
  <si>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</si>
  <si>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</si>
  <si>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</si>
  <si>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</si>
  <si>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</si>
  <si>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</si>
  <si>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</si>
  <si>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</si>
  <si>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</si>
  <si>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</si>
  <si>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</si>
  <si>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</si>
  <si>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50119     DDHM a textil</t>
  </si>
  <si>
    <t>50119101     jednorázový operační materiál (sk.T18B)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</si>
  <si>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</si>
  <si>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</si>
  <si>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</si>
  <si>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</si>
  <si>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</si>
  <si>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</si>
  <si>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</si>
  <si>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</si>
  <si>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</si>
  <si>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</si>
  <si>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</si>
  <si>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</si>
  <si>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</si>
  <si>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</si>
  <si>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</si>
  <si>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</si>
  <si>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</si>
  <si>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</si>
  <si>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</si>
  <si>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Nutriční ambulance</t>
  </si>
  <si>
    <t>HVLP</t>
  </si>
  <si>
    <t>IPLP</t>
  </si>
  <si>
    <t/>
  </si>
  <si>
    <t>57</t>
  </si>
  <si>
    <t>SumaKL</t>
  </si>
  <si>
    <t>89301594</t>
  </si>
  <si>
    <t>Nutriční ambulance Celkem</t>
  </si>
  <si>
    <t>SumaNS</t>
  </si>
  <si>
    <t>mezeraNS</t>
  </si>
  <si>
    <t>Bohanes Tomáš</t>
  </si>
  <si>
    <t>Hrabalová Monika</t>
  </si>
  <si>
    <t>Karásková Eva</t>
  </si>
  <si>
    <t>Molitorová Ivana</t>
  </si>
  <si>
    <t>Vrzalová Drahomíra</t>
  </si>
  <si>
    <t>Přehled plnění pozitivního listu (PL) - 
   preskripce léčivých přípravků dle objemu Kč mimo PL</t>
  </si>
  <si>
    <t>V06XX - Potraviny pro zvláštní lékařské účely (PZLÚ)</t>
  </si>
  <si>
    <t>J01FF01 - Klindamycin</t>
  </si>
  <si>
    <t>A03FA - Prokinetika</t>
  </si>
  <si>
    <t>J01CR02 - Amoxicilin a enzymový inhibitor</t>
  </si>
  <si>
    <t>V06XX</t>
  </si>
  <si>
    <t>33739</t>
  </si>
  <si>
    <t>NUTRIDRINK COMPACT PROTEIN S PŘÍCHUTÍ VANILKOVOU</t>
  </si>
  <si>
    <t>POR SOL 4X125ML</t>
  </si>
  <si>
    <t>33322</t>
  </si>
  <si>
    <t>NUTRIDRINK S PŘÍCHUTÍ ČOKOLÁDOVOU</t>
  </si>
  <si>
    <t>POR SOL 1X200ML</t>
  </si>
  <si>
    <t>33327</t>
  </si>
  <si>
    <t>NUTRIDRINK NEUTRAL</t>
  </si>
  <si>
    <t>33328</t>
  </si>
  <si>
    <t>NUTRIDRINK S PŘÍCHUTÍ TROPICKÉHO OVOCE</t>
  </si>
  <si>
    <t>33331</t>
  </si>
  <si>
    <t>NUTRIDRINK BALÍČEK 5+1</t>
  </si>
  <si>
    <t>POR SOL 6X200ML</t>
  </si>
  <si>
    <t>33340</t>
  </si>
  <si>
    <t>DIASIP S PŘÍCHUTÍ VANILKOVOU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</si>
  <si>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</si>
  <si>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</si>
  <si>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</si>
  <si>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</si>
  <si>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</si>
  <si>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</si>
  <si>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33490</t>
  </si>
  <si>
    <t>NUTRIDRINK PROTEIN S PŘÍCHUTÍ LESNÍHO OVOCE</t>
  </si>
  <si>
    <t>33526</t>
  </si>
  <si>
    <t>NUTRISON</t>
  </si>
  <si>
    <t>POR SOL 1X1000ML</t>
  </si>
  <si>
    <t>33530</t>
  </si>
  <si>
    <t>NUTRISON MULTI FIBRE</t>
  </si>
  <si>
    <t>33704</t>
  </si>
  <si>
    <t>DIASIP S PŘÍCHUTÍ CAPPUCCINO</t>
  </si>
  <si>
    <t>33705</t>
  </si>
  <si>
    <t>NUTRIDRINK S PŘÍCHUTÍ VANILKOVOU</t>
  </si>
  <si>
    <t>33741</t>
  </si>
  <si>
    <t>NUTRIDRINK COMPACT PROTEIN S PŘÍCHUTÍ BANÁNOVOU</t>
  </si>
  <si>
    <t>33531</t>
  </si>
  <si>
    <t>NUTRISON ENERGY MULTI FIBRE</t>
  </si>
  <si>
    <t>33345</t>
  </si>
  <si>
    <t>FORTICARE S PŘÍCHUTÍ CAPPUCCINO</t>
  </si>
  <si>
    <t>POR SOL 1X125ML</t>
  </si>
  <si>
    <t>33751</t>
  </si>
  <si>
    <t>NUTRIDRINK CREME S PŘÍCHUTÍ ČOKOLÁDOVOU</t>
  </si>
  <si>
    <t>POR SOL 4X125GM</t>
  </si>
  <si>
    <t>33750</t>
  </si>
  <si>
    <t>NUTRIDRINK CREME S PŘÍCHUTÍ VANILKOVOU</t>
  </si>
  <si>
    <t>33677</t>
  </si>
  <si>
    <t>POR SOL 1X1500ML</t>
  </si>
  <si>
    <t>33488</t>
  </si>
  <si>
    <t>NUTRIDRINK PROTEIN S PŘÍCHUTÍ VANILKOVOU</t>
  </si>
  <si>
    <t>33489</t>
  </si>
  <si>
    <t>NUTRIDRINK PROTEIN S PŘÍCHUTÍ ČOKOLÁDOVOU</t>
  </si>
  <si>
    <t>A03FA</t>
  </si>
  <si>
    <t>166760</t>
  </si>
  <si>
    <t>KINITO 50 MG, POTAHOVANÉ TABLETY</t>
  </si>
  <si>
    <t>POR TBL FLM 100X50MG</t>
  </si>
  <si>
    <t>J01CR02</t>
  </si>
  <si>
    <t>5951</t>
  </si>
  <si>
    <t>AMOKSIKLAV 1 G</t>
  </si>
  <si>
    <t>POR TBL FLM 14X1GM</t>
  </si>
  <si>
    <t>J01FF01</t>
  </si>
  <si>
    <t>83459</t>
  </si>
  <si>
    <t>DALACIN C 300 MG</t>
  </si>
  <si>
    <t>POR CPS DUR 100X300MG</t>
  </si>
  <si>
    <t>33329</t>
  </si>
  <si>
    <t>NUTRIDRINK YOGHURT S PŘÍCHUTÍ MALINA</t>
  </si>
  <si>
    <t>33339</t>
  </si>
  <si>
    <t>DIASIP S PŘÍCHUTÍ JAHODOVOU</t>
  </si>
  <si>
    <t>33527</t>
  </si>
  <si>
    <t>POR SOL 1X500ML</t>
  </si>
  <si>
    <t>33740</t>
  </si>
  <si>
    <t>NUTRIDRINK COMPACT PROTEIN S PŘÍCHUTÍ KÁVY</t>
  </si>
  <si>
    <t>33788</t>
  </si>
  <si>
    <t>ENSURE PLUS ADVANCE PŘÍCHUŤ BANÁN</t>
  </si>
  <si>
    <t>POR SOL 1X220ML</t>
  </si>
  <si>
    <t>33578</t>
  </si>
  <si>
    <t>FRESUBIN 2 KCAL DRINK NEUTRAL</t>
  </si>
  <si>
    <t>POR SOL 4X200ML</t>
  </si>
  <si>
    <t>33678</t>
  </si>
  <si>
    <t>POR SOL 6X1500ML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</si>
  <si>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</si>
  <si>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</si>
  <si>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</si>
  <si>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</si>
  <si>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</si>
  <si>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</si>
  <si>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ZA315</t>
  </si>
  <si>
    <t>Kompresa NT   5 x  5 cm / 2 ks sterilní 26501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</si>
  <si>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</si>
  <si>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</si>
  <si>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</si>
  <si>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</si>
  <si>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</si>
  <si>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</si>
  <si>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</si>
  <si>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</si>
  <si>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ZC702</t>
  </si>
  <si>
    <t>Náplast tegaderm 6,0 cm x 7,0 cm bal. á 100 ks 1624W</t>
  </si>
  <si>
    <t>ZC854</t>
  </si>
  <si>
    <t xml:space="preserve">Kompresa NT 7,5 x 7,5 cm / 2 ks sterilní 26510 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</si>
  <si>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</si>
  <si>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</si>
  <si>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</si>
  <si>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</si>
  <si>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</si>
  <si>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</si>
  <si>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</si>
  <si>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</si>
  <si>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ZF749</t>
  </si>
  <si>
    <t>Nasofix niko S střední bal. á 100 ks 49-625-S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</si>
  <si>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</si>
  <si>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</si>
  <si>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</si>
  <si>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</si>
  <si>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</si>
  <si>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</si>
  <si>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</si>
  <si>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</si>
  <si>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</si>
  <si>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</si>
  <si>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</si>
  <si>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</si>
  <si>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</si>
  <si>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</si>
  <si>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</si>
  <si>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</si>
  <si>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ZF159</t>
  </si>
  <si>
    <t>Nádoba na kontaminovaný odpad 1 l 15-0002</t>
  </si>
  <si>
    <t>ZH168</t>
  </si>
  <si>
    <t>Stříkačka injekční 3-dílná 1 ml L tuberculin KD-JECT III 831786</t>
  </si>
  <si>
    <t>ZH546</t>
  </si>
  <si>
    <t>Flocare infinity pack set mobile 2778307</t>
  </si>
  <si>
    <t>Flocare infinity pack set mobile 569572 ,2778307</t>
  </si>
  <si>
    <t>ZK798</t>
  </si>
  <si>
    <t xml:space="preserve">Zátka combi modrá 4495152 </t>
  </si>
  <si>
    <t>ZL781</t>
  </si>
  <si>
    <t>Konektor bezjehlový K-NECT 7 denní M79400845</t>
  </si>
  <si>
    <t>ZF973</t>
  </si>
  <si>
    <t>Hadička tlaková spojovací unicath 1,5 x 25 cm LL na obou koncích male-male bal. á 40 ks PN 1202</t>
  </si>
  <si>
    <t>ZA240</t>
  </si>
  <si>
    <t>Katetr broviak 1 lumen 6,6Fr x 90 cm 0600540CE</t>
  </si>
  <si>
    <t>ZA715</t>
  </si>
  <si>
    <t>Set infuzní intrafix 4062957</t>
  </si>
  <si>
    <t>Set infuzní intrafix primeline classic 150 cm 4062957</t>
  </si>
  <si>
    <t>ZB715</t>
  </si>
  <si>
    <t>Set kangaro univerzální bal. á 30 ks 777304</t>
  </si>
  <si>
    <t>Set kangaro univ. pro enterální výživu bal. á 30 ks 777304</t>
  </si>
  <si>
    <t>ZE973</t>
  </si>
  <si>
    <t>Set pro parenterenterální výživu á 100 ks 8701148SP</t>
  </si>
  <si>
    <t>ZB556</t>
  </si>
  <si>
    <t>Jehla injekční 1,2 x   40 mm růžová 4665120</t>
  </si>
  <si>
    <t>ZB781</t>
  </si>
  <si>
    <t>Jehla cytocan žlutá bal. á 25 ks 4439767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</si>
  <si>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</si>
  <si>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</si>
  <si>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</si>
  <si>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</si>
  <si>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</si>
  <si>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</si>
  <si>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</si>
  <si>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</si>
  <si>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</si>
  <si>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</si>
  <si>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</si>
  <si>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</si>
  <si>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</si>
  <si>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</si>
  <si>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</si>
  <si>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</si>
  <si>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</si>
  <si>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</si>
  <si>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</si>
  <si>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</si>
  <si>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</si>
  <si>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</si>
  <si>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</si>
  <si>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</si>
  <si>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</si>
  <si>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</si>
  <si>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</si>
  <si>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</si>
  <si>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</si>
  <si>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</si>
  <si>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</si>
  <si>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</si>
  <si>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</si>
  <si>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</si>
  <si>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</si>
  <si>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</si>
  <si>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</si>
  <si>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</si>
  <si>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</si>
  <si>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</si>
  <si>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</si>
  <si>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</si>
  <si>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</si>
  <si>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</si>
  <si>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</si>
  <si>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</si>
  <si>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</si>
  <si>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</si>
  <si>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</si>
  <si>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</si>
  <si>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</si>
  <si>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</si>
  <si>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</si>
  <si>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</si>
  <si>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</si>
  <si>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</si>
  <si>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</si>
  <si>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</si>
  <si>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</si>
  <si>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10</t>
  </si>
  <si>
    <t>16</t>
  </si>
  <si>
    <t>17</t>
  </si>
  <si>
    <t>18</t>
  </si>
  <si>
    <t>21</t>
  </si>
  <si>
    <t>25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</si>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</sst>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6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2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7" xfId="81" applyNumberFormat="1" applyFont="1" applyFill="1" applyBorder="1"/>
    <xf numFmtId="3" fontId="27" fillId="5" borderId="11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9" xfId="81" applyNumberFormat="1" applyFont="1" applyFill="1" applyBorder="1"/>
    <xf numFmtId="3" fontId="27" fillId="5" borderId="12" xfId="81" applyNumberFormat="1" applyFont="1" applyFill="1" applyBorder="1"/>
    <xf numFmtId="3" fontId="27" fillId="5" borderId="13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2" fontId="28" fillId="3" borderId="26" xfId="81" applyNumberFormat="1" applyFont="1" applyFill="1" applyBorder="1"/>
    <xf numFmtId="172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0" fontId="52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9" fillId="0" borderId="82" xfId="0" applyNumberFormat="1" applyFont="1" applyBorder="1"/>
    <xf numFmtId="174" fontId="32" fillId="0" borderId="83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2" borderId="84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69" xfId="0" applyNumberFormat="1" applyFont="1" applyBorder="1"/>
    <xf numFmtId="174" fontId="32" fillId="0" borderId="85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48" xfId="80" applyFont="1" applyFill="1" applyBorder="1" applyAlignment="1">
      <alignment horizontal="left"/>
    </xf>
    <xf numFmtId="174" fontId="32" fillId="0" borderId="94" xfId="0" applyNumberFormat="1" applyFont="1" applyBorder="1" applyAlignment="1">
      <alignment horizontal="right"/>
    </xf>
    <xf numFmtId="174" fontId="32" fillId="0" borderId="92" xfId="0" applyNumberFormat="1" applyFont="1" applyBorder="1" applyAlignment="1">
      <alignment horizontal="right"/>
    </xf>
    <xf numFmtId="174" fontId="32" fillId="0" borderId="83" xfId="0" applyNumberFormat="1" applyFont="1" applyBorder="1" applyAlignment="1">
      <alignment horizontal="right"/>
    </xf>
    <xf numFmtId="176" fontId="32" fillId="0" borderId="87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8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176" fontId="32" fillId="0" borderId="93" xfId="0" applyNumberFormat="1" applyFont="1" applyBorder="1" applyAlignment="1">
      <alignment horizontal="right"/>
    </xf>
    <xf numFmtId="176" fontId="32" fillId="0" borderId="91" xfId="0" applyNumberFormat="1" applyFont="1" applyBorder="1" applyAlignment="1">
      <alignment horizontal="right"/>
    </xf>
    <xf numFmtId="176" fontId="32" fillId="0" borderId="75" xfId="0" applyNumberFormat="1" applyFont="1" applyBorder="1" applyAlignment="1">
      <alignment horizontal="right"/>
    </xf>
    <xf numFmtId="174" fontId="32" fillId="0" borderId="87" xfId="0" applyNumberFormat="1" applyFont="1" applyBorder="1" applyAlignment="1">
      <alignment horizontal="right"/>
    </xf>
    <xf numFmtId="174" fontId="32" fillId="0" borderId="71" xfId="0" applyNumberFormat="1" applyFont="1" applyBorder="1" applyAlignment="1">
      <alignment horizontal="right"/>
    </xf>
    <xf numFmtId="174" fontId="32" fillId="0" borderId="93" xfId="0" applyNumberFormat="1" applyFont="1" applyBorder="1" applyAlignment="1">
      <alignment horizontal="right"/>
    </xf>
    <xf numFmtId="174" fontId="32" fillId="0" borderId="91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  <xf numFmtId="174" fontId="39" fillId="4" borderId="89" xfId="0" applyNumberFormat="1" applyFont="1" applyFill="1" applyBorder="1" applyAlignment="1">
      <alignment horizontal="center"/>
    </xf>
    <xf numFmtId="174" fontId="39" fillId="4" borderId="90" xfId="0" applyNumberFormat="1" applyFont="1" applyFill="1" applyBorder="1" applyAlignment="1">
      <alignment horizontal="center"/>
    </xf>
    <xf numFmtId="174" fontId="39" fillId="4" borderId="85" xfId="0" applyNumberFormat="1" applyFont="1" applyFill="1" applyBorder="1" applyAlignment="1">
      <alignment horizontal="center"/>
    </xf>
    <xf numFmtId="174" fontId="32" fillId="0" borderId="87" xfId="0" applyNumberFormat="1" applyFont="1" applyBorder="1" applyAlignment="1">
      <alignment horizontal="right" wrapText="1"/>
    </xf>
    <xf numFmtId="174" fontId="32" fillId="0" borderId="91" xfId="0" applyNumberFormat="1" applyFont="1" applyBorder="1" applyAlignment="1">
      <alignment horizontal="right" wrapText="1"/>
    </xf>
    <xf numFmtId="174" fontId="32" fillId="0" borderId="75" xfId="0" applyNumberFormat="1" applyFont="1" applyBorder="1" applyAlignment="1">
      <alignment horizontal="right" wrapText="1"/>
    </xf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9" fillId="4" borderId="69" xfId="0" applyNumberFormat="1" applyFont="1" applyFill="1" applyBorder="1" applyAlignment="1">
      <alignment horizontal="center"/>
    </xf>
    <xf numFmtId="0" fontId="0" fillId="0" borderId="71" xfId="0" applyBorder="1" applyAlignment="1">
      <alignment horizontal="right"/>
    </xf>
    <xf numFmtId="174" fontId="39" fillId="4" borderId="9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7" borderId="97" xfId="0" applyNumberFormat="1" applyFont="1" applyFill="1" applyBorder="1" applyAlignment="1">
      <alignment horizontal="right" vertical="top"/>
    </xf>
    <xf numFmtId="3" fontId="33" fillId="7" borderId="98" xfId="0" applyNumberFormat="1" applyFont="1" applyFill="1" applyBorder="1" applyAlignment="1">
      <alignment horizontal="right" vertical="top"/>
    </xf>
    <xf numFmtId="177" fontId="33" fillId="7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7" borderId="100" xfId="0" applyNumberFormat="1" applyFont="1" applyFill="1" applyBorder="1" applyAlignment="1">
      <alignment horizontal="right" vertical="top"/>
    </xf>
    <xf numFmtId="3" fontId="35" fillId="7" borderId="102" xfId="0" applyNumberFormat="1" applyFont="1" applyFill="1" applyBorder="1" applyAlignment="1">
      <alignment horizontal="right" vertical="top"/>
    </xf>
    <xf numFmtId="3" fontId="35" fillId="7" borderId="103" xfId="0" applyNumberFormat="1" applyFont="1" applyFill="1" applyBorder="1" applyAlignment="1">
      <alignment horizontal="right" vertical="top"/>
    </xf>
    <xf numFmtId="177" fontId="35" fillId="7" borderId="104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7" borderId="105" xfId="0" applyFont="1" applyFill="1" applyBorder="1" applyAlignment="1">
      <alignment horizontal="right" vertical="top"/>
    </xf>
    <xf numFmtId="0" fontId="33" fillId="7" borderId="100" xfId="0" applyFont="1" applyFill="1" applyBorder="1" applyAlignment="1">
      <alignment horizontal="right" vertical="top"/>
    </xf>
    <xf numFmtId="177" fontId="35" fillId="7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7" fontId="35" fillId="7" borderId="109" xfId="0" applyNumberFormat="1" applyFont="1" applyFill="1" applyBorder="1" applyAlignment="1">
      <alignment horizontal="right" vertical="top"/>
    </xf>
    <xf numFmtId="0" fontId="37" fillId="8" borderId="96" xfId="0" applyFont="1" applyFill="1" applyBorder="1" applyAlignment="1">
      <alignment vertical="top"/>
    </xf>
    <xf numFmtId="0" fontId="37" fillId="8" borderId="96" xfId="0" applyFont="1" applyFill="1" applyBorder="1" applyAlignment="1">
      <alignment vertical="top" indent="2"/>
    </xf>
    <xf numFmtId="0" fontId="37" fillId="8" borderId="96" xfId="0" applyFont="1" applyFill="1" applyBorder="1" applyAlignment="1">
      <alignment vertical="top" indent="4"/>
    </xf>
    <xf numFmtId="0" fontId="38" fillId="8" borderId="101" xfId="0" applyFont="1" applyFill="1" applyBorder="1" applyAlignment="1">
      <alignment vertical="top" indent="6"/>
    </xf>
    <xf numFmtId="0" fontId="37" fillId="8" borderId="96" xfId="0" applyFont="1" applyFill="1" applyBorder="1" applyAlignment="1">
      <alignment vertical="top" indent="8"/>
    </xf>
    <xf numFmtId="0" fontId="38" fillId="8" borderId="101" xfId="0" applyFont="1" applyFill="1" applyBorder="1" applyAlignment="1">
      <alignment vertical="top" indent="2"/>
    </xf>
    <xf numFmtId="0" fontId="38" fillId="8" borderId="101" xfId="0" applyFont="1" applyFill="1" applyBorder="1" applyAlignment="1">
      <alignment vertical="top" indent="4"/>
    </xf>
    <xf numFmtId="0" fontId="32" fillId="8" borderId="96" xfId="0" applyFont="1" applyFill="1" applyBorder="1"/>
    <xf numFmtId="0" fontId="38" fillId="8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0" fontId="39" fillId="8" borderId="95" xfId="0" applyFont="1" applyFill="1" applyBorder="1"/>
    <xf numFmtId="0" fontId="39" fillId="8" borderId="93" xfId="0" applyFont="1" applyFill="1" applyBorder="1"/>
    <xf numFmtId="0" fontId="39" fillId="8" borderId="94" xfId="0" applyFont="1" applyFill="1" applyBorder="1"/>
    <xf numFmtId="3" fontId="3" fillId="2" borderId="79" xfId="80" applyNumberFormat="1" applyFont="1" applyFill="1" applyBorder="1"/>
    <xf numFmtId="0" fontId="3" fillId="2" borderId="79" xfId="80" applyFont="1" applyFill="1" applyBorder="1"/>
    <xf numFmtId="3" fontId="32" fillId="0" borderId="62" xfId="0" applyNumberFormat="1" applyFont="1" applyFill="1" applyBorder="1"/>
    <xf numFmtId="0" fontId="32" fillId="0" borderId="63" xfId="0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0" fontId="32" fillId="0" borderId="66" xfId="0" applyFont="1" applyFill="1" applyBorder="1"/>
    <xf numFmtId="3" fontId="32" fillId="0" borderId="66" xfId="0" applyNumberFormat="1" applyFont="1" applyFill="1" applyBorder="1"/>
    <xf numFmtId="3" fontId="32" fillId="0" borderId="89" xfId="0" applyNumberFormat="1" applyFont="1" applyFill="1" applyBorder="1"/>
    <xf numFmtId="3" fontId="32" fillId="0" borderId="87" xfId="0" applyNumberFormat="1" applyFont="1" applyFill="1" applyBorder="1"/>
    <xf numFmtId="3" fontId="32" fillId="0" borderId="88" xfId="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2" fillId="0" borderId="62" xfId="0" applyFont="1" applyFill="1" applyBorder="1"/>
    <xf numFmtId="0" fontId="32" fillId="0" borderId="72" xfId="0" applyFont="1" applyFill="1" applyBorder="1"/>
    <xf numFmtId="0" fontId="32" fillId="0" borderId="65" xfId="0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2" fillId="0" borderId="95" xfId="0" applyFont="1" applyFill="1" applyBorder="1"/>
    <xf numFmtId="0" fontId="32" fillId="0" borderId="93" xfId="0" applyFont="1" applyFill="1" applyBorder="1"/>
    <xf numFmtId="0" fontId="32" fillId="0" borderId="94" xfId="0" applyFont="1" applyFill="1" applyBorder="1"/>
    <xf numFmtId="3" fontId="32" fillId="0" borderId="85" xfId="0" applyNumberFormat="1" applyFont="1" applyFill="1" applyBorder="1"/>
    <xf numFmtId="3" fontId="32" fillId="0" borderId="75" xfId="0" applyNumberFormat="1" applyFont="1" applyFill="1" applyBorder="1"/>
    <xf numFmtId="3" fontId="32" fillId="0" borderId="83" xfId="0" applyNumberFormat="1" applyFont="1" applyFill="1" applyBorder="1"/>
    <xf numFmtId="0" fontId="39" fillId="2" borderId="110" xfId="0" applyFont="1" applyFill="1" applyBorder="1"/>
    <xf numFmtId="3" fontId="39" fillId="2" borderId="114" xfId="0" applyNumberFormat="1" applyFont="1" applyFill="1" applyBorder="1"/>
    <xf numFmtId="9" fontId="39" fillId="2" borderId="59" xfId="0" applyNumberFormat="1" applyFont="1" applyFill="1" applyBorder="1"/>
    <xf numFmtId="3" fontId="39" fillId="2" borderId="113" xfId="0" applyNumberFormat="1" applyFont="1" applyFill="1" applyBorder="1"/>
    <xf numFmtId="3" fontId="32" fillId="0" borderId="64" xfId="0" applyNumberFormat="1" applyFont="1" applyFill="1" applyBorder="1"/>
    <xf numFmtId="3" fontId="32" fillId="0" borderId="74" xfId="0" applyNumberFormat="1" applyFont="1" applyFill="1" applyBorder="1"/>
    <xf numFmtId="3" fontId="32" fillId="0" borderId="67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9" fontId="32" fillId="0" borderId="26" xfId="0" applyNumberFormat="1" applyFont="1" applyFill="1" applyBorder="1"/>
    <xf numFmtId="0" fontId="39" fillId="8" borderId="18" xfId="0" applyFont="1" applyFill="1" applyBorder="1"/>
    <xf numFmtId="3" fontId="39" fillId="8" borderId="26" xfId="0" applyNumberFormat="1" applyFont="1" applyFill="1" applyBorder="1"/>
    <xf numFmtId="9" fontId="39" fillId="8" borderId="26" xfId="0" applyNumberFormat="1" applyFont="1" applyFill="1" applyBorder="1"/>
    <xf numFmtId="3" fontId="39" fillId="8" borderId="19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115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3" fontId="31" fillId="2" borderId="112" xfId="53" applyNumberFormat="1" applyFont="1" applyFill="1" applyBorder="1" applyAlignment="1">
      <alignment horizontal="left"/>
    </xf>
    <xf numFmtId="3" fontId="31" fillId="2" borderId="113" xfId="53" applyNumberFormat="1" applyFont="1" applyFill="1" applyBorder="1" applyAlignment="1">
      <alignment horizontal="left"/>
    </xf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0" fontId="32" fillId="2" borderId="11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3" xfId="0" applyNumberFormat="1" applyFont="1" applyFill="1" applyBorder="1"/>
    <xf numFmtId="170" fontId="32" fillId="0" borderId="73" xfId="0" applyNumberFormat="1" applyFont="1" applyFill="1" applyBorder="1"/>
    <xf numFmtId="170" fontId="32" fillId="0" borderId="66" xfId="0" applyNumberFormat="1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2.7122880678338945</c:v>
                </c:pt>
                <c:pt idx="1">
                  <c:v>3.1181920672365377</c:v>
                </c:pt>
                <c:pt idx="2">
                  <c:v>3.0032749620857504</c:v>
                </c:pt>
                <c:pt idx="3">
                  <c:v>3.0744577209147583</c:v>
                </c:pt>
                <c:pt idx="4">
                  <c:v>2.895315890720878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6864"/>
        <c:axId val="904061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1.7390654885659933</c:v>
                </c:pt>
                <c:pt idx="1">
                  <c:v>1.7390654885659933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4384"/>
        <c:axId val="906434432"/>
      </c:scatterChart>
      <c:catAx>
        <c:axId val="90163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6864"/>
        <c:crosses val="autoZero"/>
        <c:crossBetween val="between"/>
      </c:valAx>
      <c:valAx>
        <c:axId val="9040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4432"/>
        <c:crosses val="max"/>
        <c:crossBetween val="midCat"/>
      </c:valAx>
      <c:valAx>
        <c:axId val="906434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0" bestFit="1" customWidth="1"/>
    <col min="2" max="2" width="102.21875" style="120" bestFit="1" customWidth="1"/>
    <col min="3" max="3" width="16.109375" style="47" hidden="1" customWidth="1"/>
    <col min="4" max="16384" width="8.88671875" style="120"/>
  </cols>
  <sheetData>
    <row r="1" spans="1:3" ht="18.600000000000001" customHeight="1" thickBot="1" x14ac:dyDescent="0.4">
      <c r="A1" s="297" t="s">
        <v>97</v>
      </c>
      <c r="B1" s="297"/>
    </row>
    <row r="2" spans="1:3" ht="14.4" customHeight="1" thickBot="1" x14ac:dyDescent="0.35">
      <c r="A2" s="217" t="s">
        <v>230</v>
      </c>
      <c r="B2" s="46"/>
    </row>
    <row r="3" spans="1:3" ht="14.4" customHeight="1" thickBot="1" x14ac:dyDescent="0.35">
      <c r="A3" s="293" t="s">
        <v>125</v>
      </c>
      <c r="B3" s="294"/>
    </row>
    <row r="4" spans="1:3" ht="14.4" customHeight="1" x14ac:dyDescent="0.3">
      <c r="A4" s="135" t="str">
        <f t="shared" ref="A4:A8" si="0">HYPERLINK("#'"&amp;C4&amp;"'!A1",C4)</f>
        <v>Motivace</v>
      </c>
      <c r="B4" s="78" t="s">
        <v>107</v>
      </c>
      <c r="C4" s="47" t="s">
        <v>108</v>
      </c>
    </row>
    <row r="5" spans="1:3" ht="14.4" customHeight="1" x14ac:dyDescent="0.3">
      <c r="A5" s="136" t="str">
        <f t="shared" si="0"/>
        <v>HI</v>
      </c>
      <c r="B5" s="79" t="s">
        <v>122</v>
      </c>
      <c r="C5" s="47" t="s">
        <v>100</v>
      </c>
    </row>
    <row r="6" spans="1:3" ht="14.4" customHeight="1" x14ac:dyDescent="0.3">
      <c r="A6" s="137" t="str">
        <f t="shared" si="0"/>
        <v>HI Graf</v>
      </c>
      <c r="B6" s="80" t="s">
        <v>93</v>
      </c>
      <c r="C6" s="47" t="s">
        <v>101</v>
      </c>
    </row>
    <row r="7" spans="1:3" ht="14.4" customHeight="1" x14ac:dyDescent="0.3">
      <c r="A7" s="137" t="str">
        <f t="shared" si="0"/>
        <v>Man Tab</v>
      </c>
      <c r="B7" s="80" t="s">
        <v>232</v>
      </c>
      <c r="C7" s="47" t="s">
        <v>102</v>
      </c>
    </row>
    <row r="8" spans="1:3" ht="14.4" customHeight="1" thickBot="1" x14ac:dyDescent="0.35">
      <c r="A8" s="138" t="str">
        <f t="shared" si="0"/>
        <v>HV</v>
      </c>
      <c r="B8" s="81" t="s">
        <v>50</v>
      </c>
      <c r="C8" s="47" t="s">
        <v>55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295" t="s">
        <v>98</v>
      </c>
      <c r="B10" s="294"/>
    </row>
    <row r="11" spans="1:3" ht="14.4" customHeight="1" x14ac:dyDescent="0.3">
      <c r="A11" s="137" t="str">
        <f t="shared" ref="A11:A17" si="1">HYPERLINK("#'"&amp;C11&amp;"'!A1",C11)</f>
        <v>Léky Recepty</v>
      </c>
      <c r="B11" s="80" t="s">
        <v>123</v>
      </c>
      <c r="C11" s="47" t="s">
        <v>103</v>
      </c>
    </row>
    <row r="12" spans="1:3" ht="14.4" customHeight="1" x14ac:dyDescent="0.3">
      <c r="A12" s="137" t="str">
        <f t="shared" si="1"/>
        <v>LRp Lékaři</v>
      </c>
      <c r="B12" s="80" t="s">
        <v>131</v>
      </c>
      <c r="C12" s="47" t="s">
        <v>132</v>
      </c>
    </row>
    <row r="13" spans="1:3" ht="28.8" customHeight="1" x14ac:dyDescent="0.3">
      <c r="A13" s="137" t="str">
        <f t="shared" si="1"/>
        <v>LRp PL</v>
      </c>
      <c r="B13" s="472" t="s">
        <v>282</v>
      </c>
      <c r="C13" s="47" t="s">
        <v>128</v>
      </c>
    </row>
    <row r="14" spans="1:3" ht="14.4" customHeight="1" x14ac:dyDescent="0.3">
      <c r="A14" s="137" t="str">
        <f>HYPERLINK("#'"&amp;C14&amp;"'!A1",C14)</f>
        <v>LRp PL Detail</v>
      </c>
      <c r="B14" s="80" t="s">
        <v>366</v>
      </c>
      <c r="C14" s="47" t="s">
        <v>129</v>
      </c>
    </row>
    <row r="15" spans="1:3" ht="14.4" customHeight="1" x14ac:dyDescent="0.3">
      <c r="A15" s="139" t="str">
        <f t="shared" ref="A15" si="2">HYPERLINK("#'"&amp;C15&amp;"'!A1",C15)</f>
        <v>Materiál Žádanky</v>
      </c>
      <c r="B15" s="80" t="s">
        <v>124</v>
      </c>
      <c r="C15" s="47" t="s">
        <v>104</v>
      </c>
    </row>
    <row r="16" spans="1:3" ht="14.4" customHeight="1" x14ac:dyDescent="0.3">
      <c r="A16" s="137" t="str">
        <f t="shared" si="1"/>
        <v>MŽ Detail</v>
      </c>
      <c r="B16" s="80" t="s">
        <v>457</v>
      </c>
      <c r="C16" s="47" t="s">
        <v>105</v>
      </c>
    </row>
    <row r="17" spans="1:3" ht="14.4" customHeight="1" thickBot="1" x14ac:dyDescent="0.35">
      <c r="A17" s="139" t="str">
        <f t="shared" si="1"/>
        <v>Osobní náklady</v>
      </c>
      <c r="B17" s="80" t="s">
        <v>95</v>
      </c>
      <c r="C17" s="47" t="s">
        <v>106</v>
      </c>
    </row>
    <row r="18" spans="1:3" ht="14.4" customHeight="1" thickBot="1" x14ac:dyDescent="0.35">
      <c r="A18" s="83"/>
      <c r="B18" s="83"/>
    </row>
    <row r="19" spans="1:3" ht="14.4" customHeight="1" thickBot="1" x14ac:dyDescent="0.35">
      <c r="A19" s="296" t="s">
        <v>99</v>
      </c>
      <c r="B19" s="294"/>
    </row>
    <row r="20" spans="1:3" ht="14.4" customHeight="1" x14ac:dyDescent="0.3">
      <c r="A20" s="140" t="str">
        <f t="shared" ref="A20:A23" si="3">HYPERLINK("#'"&amp;C20&amp;"'!A1",C20)</f>
        <v>ZV Vykáz.-A</v>
      </c>
      <c r="B20" s="79" t="s">
        <v>462</v>
      </c>
      <c r="C20" s="47" t="s">
        <v>109</v>
      </c>
    </row>
    <row r="21" spans="1:3" ht="14.4" customHeight="1" x14ac:dyDescent="0.3">
      <c r="A21" s="137" t="str">
        <f t="shared" si="3"/>
        <v>ZV Vykáz.-A Detail</v>
      </c>
      <c r="B21" s="80" t="s">
        <v>479</v>
      </c>
      <c r="C21" s="47" t="s">
        <v>110</v>
      </c>
    </row>
    <row r="22" spans="1:3" ht="14.4" customHeight="1" x14ac:dyDescent="0.3">
      <c r="A22" s="137" t="str">
        <f t="shared" si="3"/>
        <v>ZV Vykáz.-H</v>
      </c>
      <c r="B22" s="80" t="s">
        <v>113</v>
      </c>
      <c r="C22" s="47" t="s">
        <v>111</v>
      </c>
    </row>
    <row r="23" spans="1:3" ht="14.4" customHeight="1" x14ac:dyDescent="0.3">
      <c r="A23" s="137" t="str">
        <f t="shared" si="3"/>
        <v>ZV Vykáz.-H Detail</v>
      </c>
      <c r="B23" s="80" t="s">
        <v>508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0" customWidth="1"/>
    <col min="2" max="2" width="8.88671875" style="120" bestFit="1" customWidth="1"/>
    <col min="3" max="3" width="7" style="120" bestFit="1" customWidth="1"/>
    <col min="4" max="5" width="22.21875" style="120" customWidth="1"/>
    <col min="6" max="6" width="6.6640625" style="198" customWidth="1"/>
    <col min="7" max="7" width="10" style="198" customWidth="1"/>
    <col min="8" max="8" width="6.77734375" style="201" customWidth="1"/>
    <col min="9" max="9" width="6.6640625" style="198" customWidth="1"/>
    <col min="10" max="10" width="10" style="198" customWidth="1"/>
    <col min="11" max="11" width="6.77734375" style="201" customWidth="1"/>
    <col min="12" max="12" width="6.6640625" style="198" customWidth="1"/>
    <col min="13" max="13" width="10" style="198" customWidth="1"/>
    <col min="14" max="16384" width="8.88671875" style="120"/>
  </cols>
  <sheetData>
    <row r="1" spans="1:13" ht="18.600000000000001" customHeight="1" thickBot="1" x14ac:dyDescent="0.4">
      <c r="A1" s="333" t="s">
        <v>366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297"/>
      <c r="M1" s="297"/>
    </row>
    <row r="2" spans="1:13" ht="14.4" customHeight="1" thickBot="1" x14ac:dyDescent="0.35">
      <c r="A2" s="217" t="s">
        <v>230</v>
      </c>
      <c r="B2" s="197"/>
      <c r="C2" s="197"/>
      <c r="D2" s="197"/>
      <c r="E2" s="197"/>
      <c r="F2" s="205"/>
      <c r="G2" s="205"/>
      <c r="H2" s="206"/>
      <c r="I2" s="205"/>
      <c r="J2" s="205"/>
      <c r="K2" s="206"/>
      <c r="L2" s="205"/>
    </row>
    <row r="3" spans="1:13" ht="14.4" customHeight="1" thickBot="1" x14ac:dyDescent="0.35">
      <c r="E3" s="71" t="s">
        <v>114</v>
      </c>
      <c r="F3" s="43">
        <f>SUBTOTAL(9,F6:F1048576)</f>
        <v>156</v>
      </c>
      <c r="G3" s="43">
        <f>SUBTOTAL(9,G6:G1048576)</f>
        <v>7898.9499999999989</v>
      </c>
      <c r="H3" s="44">
        <f>IF(M3=0,0,G3/M3)</f>
        <v>1.0193914281117746E-2</v>
      </c>
      <c r="I3" s="43">
        <f>SUBTOTAL(9,I6:I1048576)</f>
        <v>7746</v>
      </c>
      <c r="J3" s="43">
        <f>SUBTOTAL(9,J6:J1048576)</f>
        <v>766970.2300000001</v>
      </c>
      <c r="K3" s="44">
        <f>IF(M3=0,0,J3/M3)</f>
        <v>0.98980608571888218</v>
      </c>
      <c r="L3" s="43">
        <f>SUBTOTAL(9,L6:L1048576)</f>
        <v>7902</v>
      </c>
      <c r="M3" s="45">
        <f>SUBTOTAL(9,M6:M1048576)</f>
        <v>774869.18000000017</v>
      </c>
    </row>
    <row r="4" spans="1:13" ht="14.4" customHeight="1" thickBot="1" x14ac:dyDescent="0.35">
      <c r="A4" s="41"/>
      <c r="B4" s="41"/>
      <c r="C4" s="41"/>
      <c r="D4" s="41"/>
      <c r="E4" s="42"/>
      <c r="F4" s="337" t="s">
        <v>116</v>
      </c>
      <c r="G4" s="338"/>
      <c r="H4" s="339"/>
      <c r="I4" s="340" t="s">
        <v>115</v>
      </c>
      <c r="J4" s="338"/>
      <c r="K4" s="339"/>
      <c r="L4" s="341" t="s">
        <v>3</v>
      </c>
      <c r="M4" s="342"/>
    </row>
    <row r="5" spans="1:13" ht="14.4" customHeight="1" thickBot="1" x14ac:dyDescent="0.35">
      <c r="A5" s="454" t="s">
        <v>121</v>
      </c>
      <c r="B5" s="473" t="s">
        <v>117</v>
      </c>
      <c r="C5" s="473" t="s">
        <v>59</v>
      </c>
      <c r="D5" s="473" t="s">
        <v>118</v>
      </c>
      <c r="E5" s="473" t="s">
        <v>119</v>
      </c>
      <c r="F5" s="474" t="s">
        <v>17</v>
      </c>
      <c r="G5" s="474" t="s">
        <v>10</v>
      </c>
      <c r="H5" s="456" t="s">
        <v>120</v>
      </c>
      <c r="I5" s="455" t="s">
        <v>17</v>
      </c>
      <c r="J5" s="474" t="s">
        <v>10</v>
      </c>
      <c r="K5" s="456" t="s">
        <v>120</v>
      </c>
      <c r="L5" s="455" t="s">
        <v>17</v>
      </c>
      <c r="M5" s="475" t="s">
        <v>10</v>
      </c>
    </row>
    <row r="6" spans="1:13" ht="14.4" customHeight="1" x14ac:dyDescent="0.3">
      <c r="A6" s="439" t="s">
        <v>277</v>
      </c>
      <c r="B6" s="426" t="s">
        <v>287</v>
      </c>
      <c r="C6" s="426" t="s">
        <v>288</v>
      </c>
      <c r="D6" s="426" t="s">
        <v>289</v>
      </c>
      <c r="E6" s="426" t="s">
        <v>290</v>
      </c>
      <c r="F6" s="427"/>
      <c r="G6" s="427"/>
      <c r="H6" s="442">
        <v>0</v>
      </c>
      <c r="I6" s="427">
        <v>12</v>
      </c>
      <c r="J6" s="427">
        <v>1515.3600000000001</v>
      </c>
      <c r="K6" s="442">
        <v>1</v>
      </c>
      <c r="L6" s="427">
        <v>12</v>
      </c>
      <c r="M6" s="458">
        <v>1515.3600000000001</v>
      </c>
    </row>
    <row r="7" spans="1:13" ht="14.4" customHeight="1" x14ac:dyDescent="0.3">
      <c r="A7" s="440" t="s">
        <v>278</v>
      </c>
      <c r="B7" s="429" t="s">
        <v>287</v>
      </c>
      <c r="C7" s="429" t="s">
        <v>291</v>
      </c>
      <c r="D7" s="429" t="s">
        <v>292</v>
      </c>
      <c r="E7" s="429" t="s">
        <v>293</v>
      </c>
      <c r="F7" s="430"/>
      <c r="G7" s="430"/>
      <c r="H7" s="444">
        <v>0</v>
      </c>
      <c r="I7" s="430">
        <v>8</v>
      </c>
      <c r="J7" s="430">
        <v>260.8</v>
      </c>
      <c r="K7" s="444">
        <v>1</v>
      </c>
      <c r="L7" s="430">
        <v>8</v>
      </c>
      <c r="M7" s="459">
        <v>260.8</v>
      </c>
    </row>
    <row r="8" spans="1:13" ht="14.4" customHeight="1" x14ac:dyDescent="0.3">
      <c r="A8" s="440" t="s">
        <v>278</v>
      </c>
      <c r="B8" s="429" t="s">
        <v>287</v>
      </c>
      <c r="C8" s="429" t="s">
        <v>294</v>
      </c>
      <c r="D8" s="429" t="s">
        <v>295</v>
      </c>
      <c r="E8" s="429" t="s">
        <v>293</v>
      </c>
      <c r="F8" s="430"/>
      <c r="G8" s="430"/>
      <c r="H8" s="444">
        <v>0</v>
      </c>
      <c r="I8" s="430">
        <v>15</v>
      </c>
      <c r="J8" s="430">
        <v>485.70000000000005</v>
      </c>
      <c r="K8" s="444">
        <v>1</v>
      </c>
      <c r="L8" s="430">
        <v>15</v>
      </c>
      <c r="M8" s="459">
        <v>485.70000000000005</v>
      </c>
    </row>
    <row r="9" spans="1:13" ht="14.4" customHeight="1" x14ac:dyDescent="0.3">
      <c r="A9" s="440" t="s">
        <v>278</v>
      </c>
      <c r="B9" s="429" t="s">
        <v>287</v>
      </c>
      <c r="C9" s="429" t="s">
        <v>296</v>
      </c>
      <c r="D9" s="429" t="s">
        <v>297</v>
      </c>
      <c r="E9" s="429" t="s">
        <v>293</v>
      </c>
      <c r="F9" s="430"/>
      <c r="G9" s="430"/>
      <c r="H9" s="444">
        <v>0</v>
      </c>
      <c r="I9" s="430">
        <v>10</v>
      </c>
      <c r="J9" s="430">
        <v>323.8</v>
      </c>
      <c r="K9" s="444">
        <v>1</v>
      </c>
      <c r="L9" s="430">
        <v>10</v>
      </c>
      <c r="M9" s="459">
        <v>323.8</v>
      </c>
    </row>
    <row r="10" spans="1:13" ht="14.4" customHeight="1" x14ac:dyDescent="0.3">
      <c r="A10" s="440" t="s">
        <v>278</v>
      </c>
      <c r="B10" s="429" t="s">
        <v>287</v>
      </c>
      <c r="C10" s="429" t="s">
        <v>298</v>
      </c>
      <c r="D10" s="429" t="s">
        <v>299</v>
      </c>
      <c r="E10" s="429" t="s">
        <v>300</v>
      </c>
      <c r="F10" s="430"/>
      <c r="G10" s="430"/>
      <c r="H10" s="444">
        <v>0</v>
      </c>
      <c r="I10" s="430">
        <v>316</v>
      </c>
      <c r="J10" s="430">
        <v>60850.359999999993</v>
      </c>
      <c r="K10" s="444">
        <v>1</v>
      </c>
      <c r="L10" s="430">
        <v>316</v>
      </c>
      <c r="M10" s="459">
        <v>60850.359999999993</v>
      </c>
    </row>
    <row r="11" spans="1:13" ht="14.4" customHeight="1" x14ac:dyDescent="0.3">
      <c r="A11" s="440" t="s">
        <v>278</v>
      </c>
      <c r="B11" s="429" t="s">
        <v>287</v>
      </c>
      <c r="C11" s="429" t="s">
        <v>301</v>
      </c>
      <c r="D11" s="429" t="s">
        <v>302</v>
      </c>
      <c r="E11" s="429" t="s">
        <v>293</v>
      </c>
      <c r="F11" s="430"/>
      <c r="G11" s="430"/>
      <c r="H11" s="444">
        <v>0</v>
      </c>
      <c r="I11" s="430">
        <v>55</v>
      </c>
      <c r="J11" s="430">
        <v>1158.3</v>
      </c>
      <c r="K11" s="444">
        <v>1</v>
      </c>
      <c r="L11" s="430">
        <v>55</v>
      </c>
      <c r="M11" s="459">
        <v>1158.3</v>
      </c>
    </row>
    <row r="12" spans="1:13" ht="14.4" customHeight="1" x14ac:dyDescent="0.3">
      <c r="A12" s="440" t="s">
        <v>278</v>
      </c>
      <c r="B12" s="429" t="s">
        <v>287</v>
      </c>
      <c r="C12" s="429" t="s">
        <v>303</v>
      </c>
      <c r="D12" s="429" t="s">
        <v>304</v>
      </c>
      <c r="E12" s="429" t="s">
        <v>293</v>
      </c>
      <c r="F12" s="430"/>
      <c r="G12" s="430"/>
      <c r="H12" s="444">
        <v>0</v>
      </c>
      <c r="I12" s="430">
        <v>25</v>
      </c>
      <c r="J12" s="430">
        <v>658.25</v>
      </c>
      <c r="K12" s="444">
        <v>1</v>
      </c>
      <c r="L12" s="430">
        <v>25</v>
      </c>
      <c r="M12" s="459">
        <v>658.25</v>
      </c>
    </row>
    <row r="13" spans="1:13" ht="14.4" customHeight="1" x14ac:dyDescent="0.3">
      <c r="A13" s="440" t="s">
        <v>278</v>
      </c>
      <c r="B13" s="429" t="s">
        <v>287</v>
      </c>
      <c r="C13" s="429" t="s">
        <v>305</v>
      </c>
      <c r="D13" s="429" t="s">
        <v>306</v>
      </c>
      <c r="E13" s="429" t="s">
        <v>293</v>
      </c>
      <c r="F13" s="430"/>
      <c r="G13" s="430"/>
      <c r="H13" s="444">
        <v>0</v>
      </c>
      <c r="I13" s="430">
        <v>10</v>
      </c>
      <c r="J13" s="430">
        <v>263.29999999999995</v>
      </c>
      <c r="K13" s="444">
        <v>1</v>
      </c>
      <c r="L13" s="430">
        <v>10</v>
      </c>
      <c r="M13" s="459">
        <v>263.29999999999995</v>
      </c>
    </row>
    <row r="14" spans="1:13" ht="14.4" customHeight="1" x14ac:dyDescent="0.3">
      <c r="A14" s="440" t="s">
        <v>278</v>
      </c>
      <c r="B14" s="429" t="s">
        <v>287</v>
      </c>
      <c r="C14" s="429" t="s">
        <v>307</v>
      </c>
      <c r="D14" s="429" t="s">
        <v>308</v>
      </c>
      <c r="E14" s="429" t="s">
        <v>293</v>
      </c>
      <c r="F14" s="430"/>
      <c r="G14" s="430"/>
      <c r="H14" s="444">
        <v>0</v>
      </c>
      <c r="I14" s="430">
        <v>55</v>
      </c>
      <c r="J14" s="430">
        <v>1448.1499999999999</v>
      </c>
      <c r="K14" s="444">
        <v>1</v>
      </c>
      <c r="L14" s="430">
        <v>55</v>
      </c>
      <c r="M14" s="459">
        <v>1448.1499999999999</v>
      </c>
    </row>
    <row r="15" spans="1:13" ht="14.4" customHeight="1" x14ac:dyDescent="0.3">
      <c r="A15" s="440" t="s">
        <v>278</v>
      </c>
      <c r="B15" s="429" t="s">
        <v>287</v>
      </c>
      <c r="C15" s="429" t="s">
        <v>309</v>
      </c>
      <c r="D15" s="429" t="s">
        <v>310</v>
      </c>
      <c r="E15" s="429" t="s">
        <v>293</v>
      </c>
      <c r="F15" s="430"/>
      <c r="G15" s="430"/>
      <c r="H15" s="444">
        <v>0</v>
      </c>
      <c r="I15" s="430">
        <v>15</v>
      </c>
      <c r="J15" s="430">
        <v>473.85</v>
      </c>
      <c r="K15" s="444">
        <v>1</v>
      </c>
      <c r="L15" s="430">
        <v>15</v>
      </c>
      <c r="M15" s="459">
        <v>473.85</v>
      </c>
    </row>
    <row r="16" spans="1:13" ht="14.4" customHeight="1" x14ac:dyDescent="0.3">
      <c r="A16" s="440" t="s">
        <v>278</v>
      </c>
      <c r="B16" s="429" t="s">
        <v>287</v>
      </c>
      <c r="C16" s="429" t="s">
        <v>311</v>
      </c>
      <c r="D16" s="429" t="s">
        <v>312</v>
      </c>
      <c r="E16" s="429" t="s">
        <v>313</v>
      </c>
      <c r="F16" s="430"/>
      <c r="G16" s="430"/>
      <c r="H16" s="444">
        <v>0</v>
      </c>
      <c r="I16" s="430">
        <v>938</v>
      </c>
      <c r="J16" s="430">
        <v>98780.78</v>
      </c>
      <c r="K16" s="444">
        <v>1</v>
      </c>
      <c r="L16" s="430">
        <v>938</v>
      </c>
      <c r="M16" s="459">
        <v>98780.78</v>
      </c>
    </row>
    <row r="17" spans="1:13" ht="14.4" customHeight="1" x14ac:dyDescent="0.3">
      <c r="A17" s="440" t="s">
        <v>278</v>
      </c>
      <c r="B17" s="429" t="s">
        <v>287</v>
      </c>
      <c r="C17" s="429" t="s">
        <v>314</v>
      </c>
      <c r="D17" s="429" t="s">
        <v>315</v>
      </c>
      <c r="E17" s="429" t="s">
        <v>313</v>
      </c>
      <c r="F17" s="430"/>
      <c r="G17" s="430"/>
      <c r="H17" s="444">
        <v>0</v>
      </c>
      <c r="I17" s="430">
        <v>151</v>
      </c>
      <c r="J17" s="430">
        <v>16378.969999999998</v>
      </c>
      <c r="K17" s="444">
        <v>1</v>
      </c>
      <c r="L17" s="430">
        <v>151</v>
      </c>
      <c r="M17" s="459">
        <v>16378.969999999998</v>
      </c>
    </row>
    <row r="18" spans="1:13" ht="14.4" customHeight="1" x14ac:dyDescent="0.3">
      <c r="A18" s="440" t="s">
        <v>278</v>
      </c>
      <c r="B18" s="429" t="s">
        <v>287</v>
      </c>
      <c r="C18" s="429" t="s">
        <v>316</v>
      </c>
      <c r="D18" s="429" t="s">
        <v>317</v>
      </c>
      <c r="E18" s="429" t="s">
        <v>293</v>
      </c>
      <c r="F18" s="430"/>
      <c r="G18" s="430"/>
      <c r="H18" s="444">
        <v>0</v>
      </c>
      <c r="I18" s="430">
        <v>15</v>
      </c>
      <c r="J18" s="430">
        <v>328.65</v>
      </c>
      <c r="K18" s="444">
        <v>1</v>
      </c>
      <c r="L18" s="430">
        <v>15</v>
      </c>
      <c r="M18" s="459">
        <v>328.65</v>
      </c>
    </row>
    <row r="19" spans="1:13" ht="14.4" customHeight="1" x14ac:dyDescent="0.3">
      <c r="A19" s="440" t="s">
        <v>278</v>
      </c>
      <c r="B19" s="429" t="s">
        <v>287</v>
      </c>
      <c r="C19" s="429" t="s">
        <v>318</v>
      </c>
      <c r="D19" s="429" t="s">
        <v>319</v>
      </c>
      <c r="E19" s="429" t="s">
        <v>293</v>
      </c>
      <c r="F19" s="430"/>
      <c r="G19" s="430"/>
      <c r="H19" s="444">
        <v>0</v>
      </c>
      <c r="I19" s="430">
        <v>8</v>
      </c>
      <c r="J19" s="430">
        <v>259.04000000000002</v>
      </c>
      <c r="K19" s="444">
        <v>1</v>
      </c>
      <c r="L19" s="430">
        <v>8</v>
      </c>
      <c r="M19" s="459">
        <v>259.04000000000002</v>
      </c>
    </row>
    <row r="20" spans="1:13" ht="14.4" customHeight="1" x14ac:dyDescent="0.3">
      <c r="A20" s="440" t="s">
        <v>278</v>
      </c>
      <c r="B20" s="429" t="s">
        <v>287</v>
      </c>
      <c r="C20" s="429" t="s">
        <v>320</v>
      </c>
      <c r="D20" s="429" t="s">
        <v>321</v>
      </c>
      <c r="E20" s="429" t="s">
        <v>290</v>
      </c>
      <c r="F20" s="430"/>
      <c r="G20" s="430"/>
      <c r="H20" s="444">
        <v>0</v>
      </c>
      <c r="I20" s="430">
        <v>20</v>
      </c>
      <c r="J20" s="430">
        <v>2536.1999999999998</v>
      </c>
      <c r="K20" s="444">
        <v>1</v>
      </c>
      <c r="L20" s="430">
        <v>20</v>
      </c>
      <c r="M20" s="459">
        <v>2536.1999999999998</v>
      </c>
    </row>
    <row r="21" spans="1:13" ht="14.4" customHeight="1" x14ac:dyDescent="0.3">
      <c r="A21" s="440" t="s">
        <v>278</v>
      </c>
      <c r="B21" s="429" t="s">
        <v>287</v>
      </c>
      <c r="C21" s="429" t="s">
        <v>322</v>
      </c>
      <c r="D21" s="429" t="s">
        <v>323</v>
      </c>
      <c r="E21" s="429" t="s">
        <v>313</v>
      </c>
      <c r="F21" s="430"/>
      <c r="G21" s="430"/>
      <c r="H21" s="444">
        <v>0</v>
      </c>
      <c r="I21" s="430">
        <v>14</v>
      </c>
      <c r="J21" s="430">
        <v>2271.92</v>
      </c>
      <c r="K21" s="444">
        <v>1</v>
      </c>
      <c r="L21" s="430">
        <v>14</v>
      </c>
      <c r="M21" s="459">
        <v>2271.92</v>
      </c>
    </row>
    <row r="22" spans="1:13" ht="14.4" customHeight="1" x14ac:dyDescent="0.3">
      <c r="A22" s="440" t="s">
        <v>278</v>
      </c>
      <c r="B22" s="429" t="s">
        <v>287</v>
      </c>
      <c r="C22" s="429" t="s">
        <v>324</v>
      </c>
      <c r="D22" s="429" t="s">
        <v>325</v>
      </c>
      <c r="E22" s="429" t="s">
        <v>326</v>
      </c>
      <c r="F22" s="430">
        <v>15</v>
      </c>
      <c r="G22" s="430">
        <v>300</v>
      </c>
      <c r="H22" s="444">
        <v>1</v>
      </c>
      <c r="I22" s="430"/>
      <c r="J22" s="430"/>
      <c r="K22" s="444">
        <v>0</v>
      </c>
      <c r="L22" s="430">
        <v>15</v>
      </c>
      <c r="M22" s="459">
        <v>300</v>
      </c>
    </row>
    <row r="23" spans="1:13" ht="14.4" customHeight="1" x14ac:dyDescent="0.3">
      <c r="A23" s="440" t="s">
        <v>278</v>
      </c>
      <c r="B23" s="429" t="s">
        <v>287</v>
      </c>
      <c r="C23" s="429" t="s">
        <v>327</v>
      </c>
      <c r="D23" s="429" t="s">
        <v>328</v>
      </c>
      <c r="E23" s="429" t="s">
        <v>329</v>
      </c>
      <c r="F23" s="430"/>
      <c r="G23" s="430"/>
      <c r="H23" s="444">
        <v>0</v>
      </c>
      <c r="I23" s="430">
        <v>7</v>
      </c>
      <c r="J23" s="430">
        <v>592.82999999999993</v>
      </c>
      <c r="K23" s="444">
        <v>1</v>
      </c>
      <c r="L23" s="430">
        <v>7</v>
      </c>
      <c r="M23" s="459">
        <v>592.82999999999993</v>
      </c>
    </row>
    <row r="24" spans="1:13" ht="14.4" customHeight="1" x14ac:dyDescent="0.3">
      <c r="A24" s="440" t="s">
        <v>278</v>
      </c>
      <c r="B24" s="429" t="s">
        <v>287</v>
      </c>
      <c r="C24" s="429" t="s">
        <v>330</v>
      </c>
      <c r="D24" s="429" t="s">
        <v>331</v>
      </c>
      <c r="E24" s="429" t="s">
        <v>329</v>
      </c>
      <c r="F24" s="430"/>
      <c r="G24" s="430"/>
      <c r="H24" s="444">
        <v>0</v>
      </c>
      <c r="I24" s="430">
        <v>7</v>
      </c>
      <c r="J24" s="430">
        <v>592.82999999999993</v>
      </c>
      <c r="K24" s="444">
        <v>1</v>
      </c>
      <c r="L24" s="430">
        <v>7</v>
      </c>
      <c r="M24" s="459">
        <v>592.82999999999993</v>
      </c>
    </row>
    <row r="25" spans="1:13" ht="14.4" customHeight="1" x14ac:dyDescent="0.3">
      <c r="A25" s="440" t="s">
        <v>278</v>
      </c>
      <c r="B25" s="429" t="s">
        <v>287</v>
      </c>
      <c r="C25" s="429" t="s">
        <v>332</v>
      </c>
      <c r="D25" s="429" t="s">
        <v>323</v>
      </c>
      <c r="E25" s="429" t="s">
        <v>333</v>
      </c>
      <c r="F25" s="430"/>
      <c r="G25" s="430"/>
      <c r="H25" s="444">
        <v>0</v>
      </c>
      <c r="I25" s="430">
        <v>165</v>
      </c>
      <c r="J25" s="430">
        <v>39939.950000000004</v>
      </c>
      <c r="K25" s="444">
        <v>1</v>
      </c>
      <c r="L25" s="430">
        <v>165</v>
      </c>
      <c r="M25" s="459">
        <v>39939.950000000004</v>
      </c>
    </row>
    <row r="26" spans="1:13" ht="14.4" customHeight="1" x14ac:dyDescent="0.3">
      <c r="A26" s="440" t="s">
        <v>279</v>
      </c>
      <c r="B26" s="429" t="s">
        <v>287</v>
      </c>
      <c r="C26" s="429" t="s">
        <v>334</v>
      </c>
      <c r="D26" s="429" t="s">
        <v>335</v>
      </c>
      <c r="E26" s="429" t="s">
        <v>293</v>
      </c>
      <c r="F26" s="430"/>
      <c r="G26" s="430"/>
      <c r="H26" s="444">
        <v>0</v>
      </c>
      <c r="I26" s="430">
        <v>30</v>
      </c>
      <c r="J26" s="430">
        <v>947.7</v>
      </c>
      <c r="K26" s="444">
        <v>1</v>
      </c>
      <c r="L26" s="430">
        <v>30</v>
      </c>
      <c r="M26" s="459">
        <v>947.7</v>
      </c>
    </row>
    <row r="27" spans="1:13" ht="14.4" customHeight="1" x14ac:dyDescent="0.3">
      <c r="A27" s="440" t="s">
        <v>279</v>
      </c>
      <c r="B27" s="429" t="s">
        <v>287</v>
      </c>
      <c r="C27" s="429" t="s">
        <v>336</v>
      </c>
      <c r="D27" s="429" t="s">
        <v>337</v>
      </c>
      <c r="E27" s="429" t="s">
        <v>293</v>
      </c>
      <c r="F27" s="430"/>
      <c r="G27" s="430"/>
      <c r="H27" s="444">
        <v>0</v>
      </c>
      <c r="I27" s="430">
        <v>30</v>
      </c>
      <c r="J27" s="430">
        <v>947.7</v>
      </c>
      <c r="K27" s="444">
        <v>1</v>
      </c>
      <c r="L27" s="430">
        <v>30</v>
      </c>
      <c r="M27" s="459">
        <v>947.7</v>
      </c>
    </row>
    <row r="28" spans="1:13" ht="14.4" customHeight="1" x14ac:dyDescent="0.3">
      <c r="A28" s="440" t="s">
        <v>279</v>
      </c>
      <c r="B28" s="429" t="s">
        <v>287</v>
      </c>
      <c r="C28" s="429" t="s">
        <v>309</v>
      </c>
      <c r="D28" s="429" t="s">
        <v>310</v>
      </c>
      <c r="E28" s="429" t="s">
        <v>293</v>
      </c>
      <c r="F28" s="430"/>
      <c r="G28" s="430"/>
      <c r="H28" s="444">
        <v>0</v>
      </c>
      <c r="I28" s="430">
        <v>30</v>
      </c>
      <c r="J28" s="430">
        <v>947.7</v>
      </c>
      <c r="K28" s="444">
        <v>1</v>
      </c>
      <c r="L28" s="430">
        <v>30</v>
      </c>
      <c r="M28" s="459">
        <v>947.7</v>
      </c>
    </row>
    <row r="29" spans="1:13" ht="14.4" customHeight="1" x14ac:dyDescent="0.3">
      <c r="A29" s="440" t="s">
        <v>280</v>
      </c>
      <c r="B29" s="429" t="s">
        <v>287</v>
      </c>
      <c r="C29" s="429" t="s">
        <v>311</v>
      </c>
      <c r="D29" s="429" t="s">
        <v>312</v>
      </c>
      <c r="E29" s="429" t="s">
        <v>313</v>
      </c>
      <c r="F29" s="430"/>
      <c r="G29" s="430"/>
      <c r="H29" s="444">
        <v>0</v>
      </c>
      <c r="I29" s="430">
        <v>16</v>
      </c>
      <c r="J29" s="430">
        <v>1684.96</v>
      </c>
      <c r="K29" s="444">
        <v>1</v>
      </c>
      <c r="L29" s="430">
        <v>16</v>
      </c>
      <c r="M29" s="459">
        <v>1684.96</v>
      </c>
    </row>
    <row r="30" spans="1:13" ht="14.4" customHeight="1" x14ac:dyDescent="0.3">
      <c r="A30" s="440" t="s">
        <v>281</v>
      </c>
      <c r="B30" s="429" t="s">
        <v>338</v>
      </c>
      <c r="C30" s="429" t="s">
        <v>339</v>
      </c>
      <c r="D30" s="429" t="s">
        <v>340</v>
      </c>
      <c r="E30" s="429" t="s">
        <v>341</v>
      </c>
      <c r="F30" s="430"/>
      <c r="G30" s="430"/>
      <c r="H30" s="444">
        <v>0</v>
      </c>
      <c r="I30" s="430">
        <v>3</v>
      </c>
      <c r="J30" s="430">
        <v>420.09000000000003</v>
      </c>
      <c r="K30" s="444">
        <v>1</v>
      </c>
      <c r="L30" s="430">
        <v>3</v>
      </c>
      <c r="M30" s="459">
        <v>420.09000000000003</v>
      </c>
    </row>
    <row r="31" spans="1:13" ht="14.4" customHeight="1" x14ac:dyDescent="0.3">
      <c r="A31" s="440" t="s">
        <v>281</v>
      </c>
      <c r="B31" s="429" t="s">
        <v>342</v>
      </c>
      <c r="C31" s="429" t="s">
        <v>343</v>
      </c>
      <c r="D31" s="429" t="s">
        <v>344</v>
      </c>
      <c r="E31" s="429" t="s">
        <v>345</v>
      </c>
      <c r="F31" s="430"/>
      <c r="G31" s="430"/>
      <c r="H31" s="444">
        <v>0</v>
      </c>
      <c r="I31" s="430">
        <v>4</v>
      </c>
      <c r="J31" s="430">
        <v>627.44000000000005</v>
      </c>
      <c r="K31" s="444">
        <v>1</v>
      </c>
      <c r="L31" s="430">
        <v>4</v>
      </c>
      <c r="M31" s="459">
        <v>627.44000000000005</v>
      </c>
    </row>
    <row r="32" spans="1:13" ht="14.4" customHeight="1" x14ac:dyDescent="0.3">
      <c r="A32" s="440" t="s">
        <v>281</v>
      </c>
      <c r="B32" s="429" t="s">
        <v>346</v>
      </c>
      <c r="C32" s="429" t="s">
        <v>347</v>
      </c>
      <c r="D32" s="429" t="s">
        <v>348</v>
      </c>
      <c r="E32" s="429" t="s">
        <v>349</v>
      </c>
      <c r="F32" s="430">
        <v>1</v>
      </c>
      <c r="G32" s="430">
        <v>0</v>
      </c>
      <c r="H32" s="444"/>
      <c r="I32" s="430"/>
      <c r="J32" s="430"/>
      <c r="K32" s="444"/>
      <c r="L32" s="430">
        <v>1</v>
      </c>
      <c r="M32" s="459">
        <v>0</v>
      </c>
    </row>
    <row r="33" spans="1:13" ht="14.4" customHeight="1" x14ac:dyDescent="0.3">
      <c r="A33" s="440" t="s">
        <v>281</v>
      </c>
      <c r="B33" s="429" t="s">
        <v>287</v>
      </c>
      <c r="C33" s="429" t="s">
        <v>291</v>
      </c>
      <c r="D33" s="429" t="s">
        <v>292</v>
      </c>
      <c r="E33" s="429" t="s">
        <v>293</v>
      </c>
      <c r="F33" s="430"/>
      <c r="G33" s="430"/>
      <c r="H33" s="444">
        <v>0</v>
      </c>
      <c r="I33" s="430">
        <v>626</v>
      </c>
      <c r="J33" s="430">
        <v>20359.12</v>
      </c>
      <c r="K33" s="444">
        <v>1</v>
      </c>
      <c r="L33" s="430">
        <v>626</v>
      </c>
      <c r="M33" s="459">
        <v>20359.12</v>
      </c>
    </row>
    <row r="34" spans="1:13" ht="14.4" customHeight="1" x14ac:dyDescent="0.3">
      <c r="A34" s="440" t="s">
        <v>281</v>
      </c>
      <c r="B34" s="429" t="s">
        <v>287</v>
      </c>
      <c r="C34" s="429" t="s">
        <v>294</v>
      </c>
      <c r="D34" s="429" t="s">
        <v>295</v>
      </c>
      <c r="E34" s="429" t="s">
        <v>293</v>
      </c>
      <c r="F34" s="430"/>
      <c r="G34" s="430"/>
      <c r="H34" s="444">
        <v>0</v>
      </c>
      <c r="I34" s="430">
        <v>430</v>
      </c>
      <c r="J34" s="430">
        <v>13844.400000000001</v>
      </c>
      <c r="K34" s="444">
        <v>1</v>
      </c>
      <c r="L34" s="430">
        <v>430</v>
      </c>
      <c r="M34" s="459">
        <v>13844.400000000001</v>
      </c>
    </row>
    <row r="35" spans="1:13" ht="14.4" customHeight="1" x14ac:dyDescent="0.3">
      <c r="A35" s="440" t="s">
        <v>281</v>
      </c>
      <c r="B35" s="429" t="s">
        <v>287</v>
      </c>
      <c r="C35" s="429" t="s">
        <v>296</v>
      </c>
      <c r="D35" s="429" t="s">
        <v>297</v>
      </c>
      <c r="E35" s="429" t="s">
        <v>293</v>
      </c>
      <c r="F35" s="430"/>
      <c r="G35" s="430"/>
      <c r="H35" s="444">
        <v>0</v>
      </c>
      <c r="I35" s="430">
        <v>72</v>
      </c>
      <c r="J35" s="430">
        <v>2331.3600000000006</v>
      </c>
      <c r="K35" s="444">
        <v>1</v>
      </c>
      <c r="L35" s="430">
        <v>72</v>
      </c>
      <c r="M35" s="459">
        <v>2331.3600000000006</v>
      </c>
    </row>
    <row r="36" spans="1:13" ht="14.4" customHeight="1" x14ac:dyDescent="0.3">
      <c r="A36" s="440" t="s">
        <v>281</v>
      </c>
      <c r="B36" s="429" t="s">
        <v>287</v>
      </c>
      <c r="C36" s="429" t="s">
        <v>350</v>
      </c>
      <c r="D36" s="429" t="s">
        <v>351</v>
      </c>
      <c r="E36" s="429" t="s">
        <v>293</v>
      </c>
      <c r="F36" s="430"/>
      <c r="G36" s="430"/>
      <c r="H36" s="444">
        <v>0</v>
      </c>
      <c r="I36" s="430">
        <v>300</v>
      </c>
      <c r="J36" s="430">
        <v>9477</v>
      </c>
      <c r="K36" s="444">
        <v>1</v>
      </c>
      <c r="L36" s="430">
        <v>300</v>
      </c>
      <c r="M36" s="459">
        <v>9477</v>
      </c>
    </row>
    <row r="37" spans="1:13" ht="14.4" customHeight="1" x14ac:dyDescent="0.3">
      <c r="A37" s="440" t="s">
        <v>281</v>
      </c>
      <c r="B37" s="429" t="s">
        <v>287</v>
      </c>
      <c r="C37" s="429" t="s">
        <v>298</v>
      </c>
      <c r="D37" s="429" t="s">
        <v>299</v>
      </c>
      <c r="E37" s="429" t="s">
        <v>300</v>
      </c>
      <c r="F37" s="430"/>
      <c r="G37" s="430"/>
      <c r="H37" s="444">
        <v>0</v>
      </c>
      <c r="I37" s="430">
        <v>713</v>
      </c>
      <c r="J37" s="430">
        <v>137459.28</v>
      </c>
      <c r="K37" s="444">
        <v>1</v>
      </c>
      <c r="L37" s="430">
        <v>713</v>
      </c>
      <c r="M37" s="459">
        <v>137459.28</v>
      </c>
    </row>
    <row r="38" spans="1:13" ht="14.4" customHeight="1" x14ac:dyDescent="0.3">
      <c r="A38" s="440" t="s">
        <v>281</v>
      </c>
      <c r="B38" s="429" t="s">
        <v>287</v>
      </c>
      <c r="C38" s="429" t="s">
        <v>352</v>
      </c>
      <c r="D38" s="429" t="s">
        <v>353</v>
      </c>
      <c r="E38" s="429" t="s">
        <v>293</v>
      </c>
      <c r="F38" s="430"/>
      <c r="G38" s="430"/>
      <c r="H38" s="444">
        <v>0</v>
      </c>
      <c r="I38" s="430">
        <v>60</v>
      </c>
      <c r="J38" s="430">
        <v>1263.5999999999999</v>
      </c>
      <c r="K38" s="444">
        <v>1</v>
      </c>
      <c r="L38" s="430">
        <v>60</v>
      </c>
      <c r="M38" s="459">
        <v>1263.5999999999999</v>
      </c>
    </row>
    <row r="39" spans="1:13" ht="14.4" customHeight="1" x14ac:dyDescent="0.3">
      <c r="A39" s="440" t="s">
        <v>281</v>
      </c>
      <c r="B39" s="429" t="s">
        <v>287</v>
      </c>
      <c r="C39" s="429" t="s">
        <v>301</v>
      </c>
      <c r="D39" s="429" t="s">
        <v>302</v>
      </c>
      <c r="E39" s="429" t="s">
        <v>293</v>
      </c>
      <c r="F39" s="430"/>
      <c r="G39" s="430"/>
      <c r="H39" s="444">
        <v>0</v>
      </c>
      <c r="I39" s="430">
        <v>60</v>
      </c>
      <c r="J39" s="430">
        <v>1263.5999999999999</v>
      </c>
      <c r="K39" s="444">
        <v>1</v>
      </c>
      <c r="L39" s="430">
        <v>60</v>
      </c>
      <c r="M39" s="459">
        <v>1263.5999999999999</v>
      </c>
    </row>
    <row r="40" spans="1:13" ht="14.4" customHeight="1" x14ac:dyDescent="0.3">
      <c r="A40" s="440" t="s">
        <v>281</v>
      </c>
      <c r="B40" s="429" t="s">
        <v>287</v>
      </c>
      <c r="C40" s="429" t="s">
        <v>303</v>
      </c>
      <c r="D40" s="429" t="s">
        <v>304</v>
      </c>
      <c r="E40" s="429" t="s">
        <v>293</v>
      </c>
      <c r="F40" s="430"/>
      <c r="G40" s="430"/>
      <c r="H40" s="444">
        <v>0</v>
      </c>
      <c r="I40" s="430">
        <v>250</v>
      </c>
      <c r="J40" s="430">
        <v>6582.5</v>
      </c>
      <c r="K40" s="444">
        <v>1</v>
      </c>
      <c r="L40" s="430">
        <v>250</v>
      </c>
      <c r="M40" s="459">
        <v>6582.5</v>
      </c>
    </row>
    <row r="41" spans="1:13" ht="14.4" customHeight="1" x14ac:dyDescent="0.3">
      <c r="A41" s="440" t="s">
        <v>281</v>
      </c>
      <c r="B41" s="429" t="s">
        <v>287</v>
      </c>
      <c r="C41" s="429" t="s">
        <v>305</v>
      </c>
      <c r="D41" s="429" t="s">
        <v>306</v>
      </c>
      <c r="E41" s="429" t="s">
        <v>293</v>
      </c>
      <c r="F41" s="430"/>
      <c r="G41" s="430"/>
      <c r="H41" s="444">
        <v>0</v>
      </c>
      <c r="I41" s="430">
        <v>180</v>
      </c>
      <c r="J41" s="430">
        <v>4739.3999999999996</v>
      </c>
      <c r="K41" s="444">
        <v>1</v>
      </c>
      <c r="L41" s="430">
        <v>180</v>
      </c>
      <c r="M41" s="459">
        <v>4739.3999999999996</v>
      </c>
    </row>
    <row r="42" spans="1:13" ht="14.4" customHeight="1" x14ac:dyDescent="0.3">
      <c r="A42" s="440" t="s">
        <v>281</v>
      </c>
      <c r="B42" s="429" t="s">
        <v>287</v>
      </c>
      <c r="C42" s="429" t="s">
        <v>307</v>
      </c>
      <c r="D42" s="429" t="s">
        <v>308</v>
      </c>
      <c r="E42" s="429" t="s">
        <v>293</v>
      </c>
      <c r="F42" s="430"/>
      <c r="G42" s="430"/>
      <c r="H42" s="444">
        <v>0</v>
      </c>
      <c r="I42" s="430">
        <v>180</v>
      </c>
      <c r="J42" s="430">
        <v>4739.3999999999996</v>
      </c>
      <c r="K42" s="444">
        <v>1</v>
      </c>
      <c r="L42" s="430">
        <v>180</v>
      </c>
      <c r="M42" s="459">
        <v>4739.3999999999996</v>
      </c>
    </row>
    <row r="43" spans="1:13" ht="14.4" customHeight="1" x14ac:dyDescent="0.3">
      <c r="A43" s="440" t="s">
        <v>281</v>
      </c>
      <c r="B43" s="429" t="s">
        <v>287</v>
      </c>
      <c r="C43" s="429" t="s">
        <v>336</v>
      </c>
      <c r="D43" s="429" t="s">
        <v>337</v>
      </c>
      <c r="E43" s="429" t="s">
        <v>293</v>
      </c>
      <c r="F43" s="430"/>
      <c r="G43" s="430"/>
      <c r="H43" s="444">
        <v>0</v>
      </c>
      <c r="I43" s="430">
        <v>120</v>
      </c>
      <c r="J43" s="430">
        <v>3790.8</v>
      </c>
      <c r="K43" s="444">
        <v>1</v>
      </c>
      <c r="L43" s="430">
        <v>120</v>
      </c>
      <c r="M43" s="459">
        <v>3790.8</v>
      </c>
    </row>
    <row r="44" spans="1:13" ht="14.4" customHeight="1" x14ac:dyDescent="0.3">
      <c r="A44" s="440" t="s">
        <v>281</v>
      </c>
      <c r="B44" s="429" t="s">
        <v>287</v>
      </c>
      <c r="C44" s="429" t="s">
        <v>311</v>
      </c>
      <c r="D44" s="429" t="s">
        <v>312</v>
      </c>
      <c r="E44" s="429" t="s">
        <v>313</v>
      </c>
      <c r="F44" s="430"/>
      <c r="G44" s="430"/>
      <c r="H44" s="444">
        <v>0</v>
      </c>
      <c r="I44" s="430">
        <v>360</v>
      </c>
      <c r="J44" s="430">
        <v>37911.600000000006</v>
      </c>
      <c r="K44" s="444">
        <v>1</v>
      </c>
      <c r="L44" s="430">
        <v>360</v>
      </c>
      <c r="M44" s="459">
        <v>37911.600000000006</v>
      </c>
    </row>
    <row r="45" spans="1:13" ht="14.4" customHeight="1" x14ac:dyDescent="0.3">
      <c r="A45" s="440" t="s">
        <v>281</v>
      </c>
      <c r="B45" s="429" t="s">
        <v>287</v>
      </c>
      <c r="C45" s="429" t="s">
        <v>354</v>
      </c>
      <c r="D45" s="429" t="s">
        <v>312</v>
      </c>
      <c r="E45" s="429" t="s">
        <v>355</v>
      </c>
      <c r="F45" s="430"/>
      <c r="G45" s="430"/>
      <c r="H45" s="444">
        <v>0</v>
      </c>
      <c r="I45" s="430">
        <v>240</v>
      </c>
      <c r="J45" s="430">
        <v>12638.4</v>
      </c>
      <c r="K45" s="444">
        <v>1</v>
      </c>
      <c r="L45" s="430">
        <v>240</v>
      </c>
      <c r="M45" s="459">
        <v>12638.4</v>
      </c>
    </row>
    <row r="46" spans="1:13" ht="14.4" customHeight="1" x14ac:dyDescent="0.3">
      <c r="A46" s="440" t="s">
        <v>281</v>
      </c>
      <c r="B46" s="429" t="s">
        <v>287</v>
      </c>
      <c r="C46" s="429" t="s">
        <v>314</v>
      </c>
      <c r="D46" s="429" t="s">
        <v>315</v>
      </c>
      <c r="E46" s="429" t="s">
        <v>313</v>
      </c>
      <c r="F46" s="430"/>
      <c r="G46" s="430"/>
      <c r="H46" s="444">
        <v>0</v>
      </c>
      <c r="I46" s="430">
        <v>1900</v>
      </c>
      <c r="J46" s="430">
        <v>206093</v>
      </c>
      <c r="K46" s="444">
        <v>1</v>
      </c>
      <c r="L46" s="430">
        <v>1900</v>
      </c>
      <c r="M46" s="459">
        <v>206093</v>
      </c>
    </row>
    <row r="47" spans="1:13" ht="14.4" customHeight="1" x14ac:dyDescent="0.3">
      <c r="A47" s="440" t="s">
        <v>281</v>
      </c>
      <c r="B47" s="429" t="s">
        <v>287</v>
      </c>
      <c r="C47" s="429" t="s">
        <v>356</v>
      </c>
      <c r="D47" s="429" t="s">
        <v>357</v>
      </c>
      <c r="E47" s="429" t="s">
        <v>290</v>
      </c>
      <c r="F47" s="430"/>
      <c r="G47" s="430"/>
      <c r="H47" s="444">
        <v>0</v>
      </c>
      <c r="I47" s="430">
        <v>80</v>
      </c>
      <c r="J47" s="430">
        <v>10123.6</v>
      </c>
      <c r="K47" s="444">
        <v>1</v>
      </c>
      <c r="L47" s="430">
        <v>80</v>
      </c>
      <c r="M47" s="459">
        <v>10123.6</v>
      </c>
    </row>
    <row r="48" spans="1:13" ht="14.4" customHeight="1" x14ac:dyDescent="0.3">
      <c r="A48" s="440" t="s">
        <v>281</v>
      </c>
      <c r="B48" s="429" t="s">
        <v>287</v>
      </c>
      <c r="C48" s="429" t="s">
        <v>358</v>
      </c>
      <c r="D48" s="429" t="s">
        <v>359</v>
      </c>
      <c r="E48" s="429" t="s">
        <v>360</v>
      </c>
      <c r="F48" s="430">
        <v>120</v>
      </c>
      <c r="G48" s="430">
        <v>4166.3999999999996</v>
      </c>
      <c r="H48" s="444">
        <v>1</v>
      </c>
      <c r="I48" s="430"/>
      <c r="J48" s="430"/>
      <c r="K48" s="444">
        <v>0</v>
      </c>
      <c r="L48" s="430">
        <v>120</v>
      </c>
      <c r="M48" s="459">
        <v>4166.3999999999996</v>
      </c>
    </row>
    <row r="49" spans="1:13" ht="14.4" customHeight="1" x14ac:dyDescent="0.3">
      <c r="A49" s="440" t="s">
        <v>281</v>
      </c>
      <c r="B49" s="429" t="s">
        <v>287</v>
      </c>
      <c r="C49" s="429" t="s">
        <v>361</v>
      </c>
      <c r="D49" s="429" t="s">
        <v>362</v>
      </c>
      <c r="E49" s="429" t="s">
        <v>363</v>
      </c>
      <c r="F49" s="430">
        <v>20</v>
      </c>
      <c r="G49" s="430">
        <v>3432.5499999999997</v>
      </c>
      <c r="H49" s="444">
        <v>1</v>
      </c>
      <c r="I49" s="430"/>
      <c r="J49" s="430"/>
      <c r="K49" s="444">
        <v>0</v>
      </c>
      <c r="L49" s="430">
        <v>20</v>
      </c>
      <c r="M49" s="459">
        <v>3432.5499999999997</v>
      </c>
    </row>
    <row r="50" spans="1:13" ht="14.4" customHeight="1" x14ac:dyDescent="0.3">
      <c r="A50" s="440" t="s">
        <v>281</v>
      </c>
      <c r="B50" s="429" t="s">
        <v>287</v>
      </c>
      <c r="C50" s="429" t="s">
        <v>332</v>
      </c>
      <c r="D50" s="429" t="s">
        <v>323</v>
      </c>
      <c r="E50" s="429" t="s">
        <v>333</v>
      </c>
      <c r="F50" s="430"/>
      <c r="G50" s="430"/>
      <c r="H50" s="444">
        <v>0</v>
      </c>
      <c r="I50" s="430">
        <v>210</v>
      </c>
      <c r="J50" s="430">
        <v>50952.3</v>
      </c>
      <c r="K50" s="444">
        <v>1</v>
      </c>
      <c r="L50" s="430">
        <v>210</v>
      </c>
      <c r="M50" s="459">
        <v>50952.3</v>
      </c>
    </row>
    <row r="51" spans="1:13" ht="14.4" customHeight="1" thickBot="1" x14ac:dyDescent="0.35">
      <c r="A51" s="441" t="s">
        <v>281</v>
      </c>
      <c r="B51" s="432" t="s">
        <v>287</v>
      </c>
      <c r="C51" s="432" t="s">
        <v>364</v>
      </c>
      <c r="D51" s="432" t="s">
        <v>323</v>
      </c>
      <c r="E51" s="432" t="s">
        <v>365</v>
      </c>
      <c r="F51" s="433"/>
      <c r="G51" s="433"/>
      <c r="H51" s="446">
        <v>0</v>
      </c>
      <c r="I51" s="433">
        <v>6</v>
      </c>
      <c r="J51" s="433">
        <v>8706.24</v>
      </c>
      <c r="K51" s="446">
        <v>1</v>
      </c>
      <c r="L51" s="433">
        <v>6</v>
      </c>
      <c r="M51" s="460">
        <v>8706.24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9" customWidth="1"/>
    <col min="2" max="2" width="61.109375" style="199" customWidth="1"/>
    <col min="3" max="3" width="9.5546875" style="120" customWidth="1"/>
    <col min="4" max="4" width="9.5546875" style="200" customWidth="1"/>
    <col min="5" max="5" width="2.21875" style="200" customWidth="1"/>
    <col min="6" max="6" width="9.5546875" style="201" customWidth="1"/>
    <col min="7" max="7" width="9.5546875" style="198" customWidth="1"/>
    <col min="8" max="9" width="9.5546875" style="120" customWidth="1"/>
    <col min="10" max="10" width="0" style="120" hidden="1" customWidth="1"/>
    <col min="11" max="16384" width="8.88671875" style="120"/>
  </cols>
  <sheetData>
    <row r="1" spans="1:10" ht="18.600000000000001" customHeight="1" thickBot="1" x14ac:dyDescent="0.4">
      <c r="A1" s="326" t="s">
        <v>124</v>
      </c>
      <c r="B1" s="327"/>
      <c r="C1" s="327"/>
      <c r="D1" s="327"/>
      <c r="E1" s="327"/>
      <c r="F1" s="327"/>
      <c r="G1" s="298"/>
      <c r="H1" s="328"/>
      <c r="I1" s="328"/>
    </row>
    <row r="2" spans="1:10" ht="14.4" customHeight="1" thickBot="1" x14ac:dyDescent="0.35">
      <c r="A2" s="217" t="s">
        <v>230</v>
      </c>
      <c r="B2" s="197"/>
      <c r="C2" s="197"/>
      <c r="D2" s="197"/>
      <c r="E2" s="197"/>
      <c r="F2" s="197"/>
    </row>
    <row r="3" spans="1:10" ht="14.4" customHeight="1" thickBot="1" x14ac:dyDescent="0.35">
      <c r="A3" s="217"/>
      <c r="B3" s="197"/>
      <c r="C3" s="285">
        <v>2012</v>
      </c>
      <c r="D3" s="286">
        <v>2013</v>
      </c>
      <c r="E3" s="7"/>
      <c r="F3" s="321">
        <v>2014</v>
      </c>
      <c r="G3" s="322"/>
      <c r="H3" s="322"/>
      <c r="I3" s="323"/>
    </row>
    <row r="4" spans="1:10" ht="14.4" customHeight="1" thickBot="1" x14ac:dyDescent="0.35">
      <c r="A4" s="290" t="s">
        <v>0</v>
      </c>
      <c r="B4" s="291" t="s">
        <v>229</v>
      </c>
      <c r="C4" s="324" t="s">
        <v>61</v>
      </c>
      <c r="D4" s="325"/>
      <c r="E4" s="292"/>
      <c r="F4" s="287" t="s">
        <v>61</v>
      </c>
      <c r="G4" s="288" t="s">
        <v>62</v>
      </c>
      <c r="H4" s="288" t="s">
        <v>56</v>
      </c>
      <c r="I4" s="289" t="s">
        <v>63</v>
      </c>
    </row>
    <row r="5" spans="1:10" ht="14.4" customHeight="1" x14ac:dyDescent="0.3">
      <c r="A5" s="415" t="s">
        <v>271</v>
      </c>
      <c r="B5" s="416" t="s">
        <v>267</v>
      </c>
      <c r="C5" s="476" t="s">
        <v>270</v>
      </c>
      <c r="D5" s="476" t="s">
        <v>270</v>
      </c>
      <c r="E5" s="476"/>
      <c r="F5" s="476" t="s">
        <v>270</v>
      </c>
      <c r="G5" s="476" t="s">
        <v>270</v>
      </c>
      <c r="H5" s="476" t="s">
        <v>270</v>
      </c>
      <c r="I5" s="477" t="s">
        <v>270</v>
      </c>
      <c r="J5" s="417" t="s">
        <v>57</v>
      </c>
    </row>
    <row r="6" spans="1:10" ht="14.4" customHeight="1" x14ac:dyDescent="0.3">
      <c r="A6" s="415" t="s">
        <v>271</v>
      </c>
      <c r="B6" s="416" t="s">
        <v>240</v>
      </c>
      <c r="C6" s="476">
        <v>4.8413299999999992</v>
      </c>
      <c r="D6" s="476">
        <v>5.06508</v>
      </c>
      <c r="E6" s="476"/>
      <c r="F6" s="476">
        <v>8.4160599999999981</v>
      </c>
      <c r="G6" s="476">
        <v>5.6009287350966659</v>
      </c>
      <c r="H6" s="476">
        <v>2.8151312649033322</v>
      </c>
      <c r="I6" s="477">
        <v>1.5026186545211857</v>
      </c>
      <c r="J6" s="417" t="s">
        <v>1</v>
      </c>
    </row>
    <row r="7" spans="1:10" ht="14.4" customHeight="1" x14ac:dyDescent="0.3">
      <c r="A7" s="415" t="s">
        <v>271</v>
      </c>
      <c r="B7" s="416" t="s">
        <v>241</v>
      </c>
      <c r="C7" s="476">
        <v>23.44153</v>
      </c>
      <c r="D7" s="476">
        <v>43.022649999999999</v>
      </c>
      <c r="E7" s="476"/>
      <c r="F7" s="476">
        <v>128.31700000000001</v>
      </c>
      <c r="G7" s="476">
        <v>88.235660285745837</v>
      </c>
      <c r="H7" s="476">
        <v>40.08133971425417</v>
      </c>
      <c r="I7" s="477">
        <v>1.4542532983201257</v>
      </c>
      <c r="J7" s="417" t="s">
        <v>1</v>
      </c>
    </row>
    <row r="8" spans="1:10" ht="14.4" customHeight="1" x14ac:dyDescent="0.3">
      <c r="A8" s="415" t="s">
        <v>271</v>
      </c>
      <c r="B8" s="416" t="s">
        <v>242</v>
      </c>
      <c r="C8" s="476">
        <v>2.2323999999999997</v>
      </c>
      <c r="D8" s="476">
        <v>11.006500000000001</v>
      </c>
      <c r="E8" s="476"/>
      <c r="F8" s="476">
        <v>26.5107</v>
      </c>
      <c r="G8" s="476">
        <v>14.004832500817919</v>
      </c>
      <c r="H8" s="476">
        <v>12.505867499182081</v>
      </c>
      <c r="I8" s="477">
        <v>1.8929680164651528</v>
      </c>
      <c r="J8" s="417" t="s">
        <v>1</v>
      </c>
    </row>
    <row r="9" spans="1:10" ht="14.4" customHeight="1" x14ac:dyDescent="0.3">
      <c r="A9" s="415" t="s">
        <v>271</v>
      </c>
      <c r="B9" s="416" t="s">
        <v>243</v>
      </c>
      <c r="C9" s="476">
        <v>1.7270000000000001</v>
      </c>
      <c r="D9" s="476">
        <v>1.8568</v>
      </c>
      <c r="E9" s="476"/>
      <c r="F9" s="476">
        <v>6.6139099999999997</v>
      </c>
      <c r="G9" s="476">
        <v>2.9696511561695833</v>
      </c>
      <c r="H9" s="476">
        <v>3.6442588438304164</v>
      </c>
      <c r="I9" s="477">
        <v>2.2271673177030591</v>
      </c>
      <c r="J9" s="417" t="s">
        <v>1</v>
      </c>
    </row>
    <row r="10" spans="1:10" ht="14.4" customHeight="1" x14ac:dyDescent="0.3">
      <c r="A10" s="415" t="s">
        <v>271</v>
      </c>
      <c r="B10" s="416" t="s">
        <v>244</v>
      </c>
      <c r="C10" s="476">
        <v>2.0787</v>
      </c>
      <c r="D10" s="476">
        <v>4.8778699999999997</v>
      </c>
      <c r="E10" s="476"/>
      <c r="F10" s="476">
        <v>6.1124999999999998</v>
      </c>
      <c r="G10" s="476">
        <v>6.3405406453095834</v>
      </c>
      <c r="H10" s="476">
        <v>-0.22804064530958357</v>
      </c>
      <c r="I10" s="477">
        <v>0.96403451092482517</v>
      </c>
      <c r="J10" s="417" t="s">
        <v>1</v>
      </c>
    </row>
    <row r="11" spans="1:10" ht="14.4" customHeight="1" x14ac:dyDescent="0.3">
      <c r="A11" s="415" t="s">
        <v>271</v>
      </c>
      <c r="B11" s="416" t="s">
        <v>245</v>
      </c>
      <c r="C11" s="476" t="s">
        <v>270</v>
      </c>
      <c r="D11" s="476">
        <v>0</v>
      </c>
      <c r="E11" s="476"/>
      <c r="F11" s="476">
        <v>9.2585200000000007</v>
      </c>
      <c r="G11" s="476">
        <v>5.6871274430979168</v>
      </c>
      <c r="H11" s="476">
        <v>3.5713925569020839</v>
      </c>
      <c r="I11" s="477">
        <v>1.6279782882721299</v>
      </c>
      <c r="J11" s="417" t="s">
        <v>1</v>
      </c>
    </row>
    <row r="12" spans="1:10" ht="14.4" customHeight="1" x14ac:dyDescent="0.3">
      <c r="A12" s="415" t="s">
        <v>271</v>
      </c>
      <c r="B12" s="416" t="s">
        <v>274</v>
      </c>
      <c r="C12" s="476">
        <v>34.320959999999992</v>
      </c>
      <c r="D12" s="476">
        <v>65.828900000000004</v>
      </c>
      <c r="E12" s="476"/>
      <c r="F12" s="476">
        <v>185.22869000000003</v>
      </c>
      <c r="G12" s="476">
        <v>122.83874076623751</v>
      </c>
      <c r="H12" s="476">
        <v>62.389949233762522</v>
      </c>
      <c r="I12" s="477">
        <v>1.5079012438957737</v>
      </c>
      <c r="J12" s="417" t="s">
        <v>272</v>
      </c>
    </row>
    <row r="14" spans="1:10" ht="14.4" customHeight="1" x14ac:dyDescent="0.3">
      <c r="A14" s="415" t="s">
        <v>271</v>
      </c>
      <c r="B14" s="416" t="s">
        <v>267</v>
      </c>
      <c r="C14" s="476" t="s">
        <v>270</v>
      </c>
      <c r="D14" s="476" t="s">
        <v>270</v>
      </c>
      <c r="E14" s="476"/>
      <c r="F14" s="476" t="s">
        <v>270</v>
      </c>
      <c r="G14" s="476" t="s">
        <v>270</v>
      </c>
      <c r="H14" s="476" t="s">
        <v>270</v>
      </c>
      <c r="I14" s="477" t="s">
        <v>270</v>
      </c>
      <c r="J14" s="417" t="s">
        <v>57</v>
      </c>
    </row>
    <row r="15" spans="1:10" ht="14.4" customHeight="1" x14ac:dyDescent="0.3">
      <c r="A15" s="415" t="s">
        <v>367</v>
      </c>
      <c r="B15" s="416" t="s">
        <v>368</v>
      </c>
      <c r="C15" s="476" t="s">
        <v>270</v>
      </c>
      <c r="D15" s="476" t="s">
        <v>270</v>
      </c>
      <c r="E15" s="476"/>
      <c r="F15" s="476" t="s">
        <v>270</v>
      </c>
      <c r="G15" s="476" t="s">
        <v>270</v>
      </c>
      <c r="H15" s="476" t="s">
        <v>270</v>
      </c>
      <c r="I15" s="477" t="s">
        <v>270</v>
      </c>
      <c r="J15" s="417" t="s">
        <v>0</v>
      </c>
    </row>
    <row r="16" spans="1:10" ht="14.4" customHeight="1" x14ac:dyDescent="0.3">
      <c r="A16" s="415" t="s">
        <v>367</v>
      </c>
      <c r="B16" s="416" t="s">
        <v>240</v>
      </c>
      <c r="C16" s="476">
        <v>4.8413299999999992</v>
      </c>
      <c r="D16" s="476">
        <v>5.06508</v>
      </c>
      <c r="E16" s="476"/>
      <c r="F16" s="476">
        <v>8.4160599999999981</v>
      </c>
      <c r="G16" s="476">
        <v>5.6009287350966659</v>
      </c>
      <c r="H16" s="476">
        <v>2.8151312649033322</v>
      </c>
      <c r="I16" s="477">
        <v>1.5026186545211857</v>
      </c>
      <c r="J16" s="417" t="s">
        <v>1</v>
      </c>
    </row>
    <row r="17" spans="1:10" ht="14.4" customHeight="1" x14ac:dyDescent="0.3">
      <c r="A17" s="415" t="s">
        <v>367</v>
      </c>
      <c r="B17" s="416" t="s">
        <v>241</v>
      </c>
      <c r="C17" s="476">
        <v>23.44153</v>
      </c>
      <c r="D17" s="476">
        <v>43.022649999999999</v>
      </c>
      <c r="E17" s="476"/>
      <c r="F17" s="476">
        <v>128.31700000000001</v>
      </c>
      <c r="G17" s="476">
        <v>88.235660285745837</v>
      </c>
      <c r="H17" s="476">
        <v>40.08133971425417</v>
      </c>
      <c r="I17" s="477">
        <v>1.4542532983201257</v>
      </c>
      <c r="J17" s="417" t="s">
        <v>1</v>
      </c>
    </row>
    <row r="18" spans="1:10" ht="14.4" customHeight="1" x14ac:dyDescent="0.3">
      <c r="A18" s="415" t="s">
        <v>367</v>
      </c>
      <c r="B18" s="416" t="s">
        <v>242</v>
      </c>
      <c r="C18" s="476">
        <v>2.2323999999999997</v>
      </c>
      <c r="D18" s="476">
        <v>11.006500000000001</v>
      </c>
      <c r="E18" s="476"/>
      <c r="F18" s="476">
        <v>26.5107</v>
      </c>
      <c r="G18" s="476">
        <v>14.004832500817919</v>
      </c>
      <c r="H18" s="476">
        <v>12.505867499182081</v>
      </c>
      <c r="I18" s="477">
        <v>1.8929680164651528</v>
      </c>
      <c r="J18" s="417" t="s">
        <v>1</v>
      </c>
    </row>
    <row r="19" spans="1:10" ht="14.4" customHeight="1" x14ac:dyDescent="0.3">
      <c r="A19" s="415" t="s">
        <v>367</v>
      </c>
      <c r="B19" s="416" t="s">
        <v>243</v>
      </c>
      <c r="C19" s="476">
        <v>1.7270000000000001</v>
      </c>
      <c r="D19" s="476">
        <v>1.8568</v>
      </c>
      <c r="E19" s="476"/>
      <c r="F19" s="476">
        <v>6.6139099999999997</v>
      </c>
      <c r="G19" s="476">
        <v>2.9696511561695833</v>
      </c>
      <c r="H19" s="476">
        <v>3.6442588438304164</v>
      </c>
      <c r="I19" s="477">
        <v>2.2271673177030591</v>
      </c>
      <c r="J19" s="417" t="s">
        <v>1</v>
      </c>
    </row>
    <row r="20" spans="1:10" ht="14.4" customHeight="1" x14ac:dyDescent="0.3">
      <c r="A20" s="415" t="s">
        <v>367</v>
      </c>
      <c r="B20" s="416" t="s">
        <v>244</v>
      </c>
      <c r="C20" s="476">
        <v>2.0787</v>
      </c>
      <c r="D20" s="476">
        <v>4.8778699999999997</v>
      </c>
      <c r="E20" s="476"/>
      <c r="F20" s="476">
        <v>6.1124999999999998</v>
      </c>
      <c r="G20" s="476">
        <v>6.3405406453095834</v>
      </c>
      <c r="H20" s="476">
        <v>-0.22804064530958357</v>
      </c>
      <c r="I20" s="477">
        <v>0.96403451092482517</v>
      </c>
      <c r="J20" s="417" t="s">
        <v>1</v>
      </c>
    </row>
    <row r="21" spans="1:10" ht="14.4" customHeight="1" x14ac:dyDescent="0.3">
      <c r="A21" s="415" t="s">
        <v>367</v>
      </c>
      <c r="B21" s="416" t="s">
        <v>245</v>
      </c>
      <c r="C21" s="476" t="s">
        <v>270</v>
      </c>
      <c r="D21" s="476">
        <v>0</v>
      </c>
      <c r="E21" s="476"/>
      <c r="F21" s="476">
        <v>9.2585200000000007</v>
      </c>
      <c r="G21" s="476">
        <v>5.6871274430979168</v>
      </c>
      <c r="H21" s="476">
        <v>3.5713925569020839</v>
      </c>
      <c r="I21" s="477">
        <v>1.6279782882721299</v>
      </c>
      <c r="J21" s="417" t="s">
        <v>1</v>
      </c>
    </row>
    <row r="22" spans="1:10" ht="14.4" customHeight="1" x14ac:dyDescent="0.3">
      <c r="A22" s="415" t="s">
        <v>367</v>
      </c>
      <c r="B22" s="416" t="s">
        <v>369</v>
      </c>
      <c r="C22" s="476">
        <v>34.320959999999992</v>
      </c>
      <c r="D22" s="476">
        <v>65.828900000000004</v>
      </c>
      <c r="E22" s="476"/>
      <c r="F22" s="476">
        <v>185.22869000000003</v>
      </c>
      <c r="G22" s="476">
        <v>122.83874076623751</v>
      </c>
      <c r="H22" s="476">
        <v>62.389949233762522</v>
      </c>
      <c r="I22" s="477">
        <v>1.5079012438957737</v>
      </c>
      <c r="J22" s="417" t="s">
        <v>275</v>
      </c>
    </row>
    <row r="23" spans="1:10" ht="14.4" customHeight="1" x14ac:dyDescent="0.3">
      <c r="A23" s="415" t="s">
        <v>270</v>
      </c>
      <c r="B23" s="416" t="s">
        <v>270</v>
      </c>
      <c r="C23" s="476" t="s">
        <v>270</v>
      </c>
      <c r="D23" s="476" t="s">
        <v>270</v>
      </c>
      <c r="E23" s="476"/>
      <c r="F23" s="476" t="s">
        <v>270</v>
      </c>
      <c r="G23" s="476" t="s">
        <v>270</v>
      </c>
      <c r="H23" s="476" t="s">
        <v>270</v>
      </c>
      <c r="I23" s="477" t="s">
        <v>270</v>
      </c>
      <c r="J23" s="417" t="s">
        <v>276</v>
      </c>
    </row>
    <row r="24" spans="1:10" ht="14.4" customHeight="1" x14ac:dyDescent="0.3">
      <c r="A24" s="415" t="s">
        <v>271</v>
      </c>
      <c r="B24" s="416" t="s">
        <v>274</v>
      </c>
      <c r="C24" s="476">
        <v>34.320959999999992</v>
      </c>
      <c r="D24" s="476">
        <v>65.828900000000004</v>
      </c>
      <c r="E24" s="476"/>
      <c r="F24" s="476">
        <v>185.22869000000003</v>
      </c>
      <c r="G24" s="476">
        <v>122.83874076623751</v>
      </c>
      <c r="H24" s="476">
        <v>62.389949233762522</v>
      </c>
      <c r="I24" s="477">
        <v>1.5079012438957737</v>
      </c>
      <c r="J24" s="417" t="s">
        <v>272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0" hidden="1" customWidth="1" outlineLevel="1"/>
    <col min="2" max="2" width="28.33203125" style="120" hidden="1" customWidth="1" outlineLevel="1"/>
    <col min="3" max="3" width="5.33203125" style="200" bestFit="1" customWidth="1" collapsed="1"/>
    <col min="4" max="4" width="18.77734375" style="204" customWidth="1"/>
    <col min="5" max="5" width="9" style="200" bestFit="1" customWidth="1"/>
    <col min="6" max="6" width="18.77734375" style="204" customWidth="1"/>
    <col min="7" max="7" width="12.44140625" style="200" hidden="1" customWidth="1" outlineLevel="1"/>
    <col min="8" max="8" width="25.77734375" style="200" customWidth="1" collapsed="1"/>
    <col min="9" max="9" width="7.77734375" style="198" customWidth="1"/>
    <col min="10" max="10" width="10" style="198" customWidth="1"/>
    <col min="11" max="11" width="11.109375" style="198" customWidth="1"/>
    <col min="12" max="16384" width="8.88671875" style="120"/>
  </cols>
  <sheetData>
    <row r="1" spans="1:11" ht="18.600000000000001" customHeight="1" thickBot="1" x14ac:dyDescent="0.4">
      <c r="A1" s="331" t="s">
        <v>457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17" t="s">
        <v>230</v>
      </c>
      <c r="B2" s="62"/>
      <c r="C2" s="202"/>
      <c r="D2" s="202"/>
      <c r="E2" s="202"/>
      <c r="F2" s="202"/>
      <c r="G2" s="202"/>
      <c r="H2" s="202"/>
      <c r="I2" s="203"/>
      <c r="J2" s="203"/>
      <c r="K2" s="203"/>
    </row>
    <row r="3" spans="1:11" ht="14.4" customHeight="1" thickBot="1" x14ac:dyDescent="0.35">
      <c r="A3" s="62"/>
      <c r="B3" s="62"/>
      <c r="C3" s="329"/>
      <c r="D3" s="330"/>
      <c r="E3" s="330"/>
      <c r="F3" s="330"/>
      <c r="G3" s="330"/>
      <c r="H3" s="132" t="s">
        <v>114</v>
      </c>
      <c r="I3" s="88">
        <f>IF(J3&lt;&gt;0,K3/J3,0)</f>
        <v>14.677559236737265</v>
      </c>
      <c r="J3" s="88">
        <f>SUBTOTAL(9,J5:J1048576)</f>
        <v>9538</v>
      </c>
      <c r="K3" s="89">
        <f>SUBTOTAL(9,K5:K1048576)</f>
        <v>139994.56000000003</v>
      </c>
    </row>
    <row r="4" spans="1:11" s="199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59</v>
      </c>
      <c r="H4" s="480" t="s">
        <v>8</v>
      </c>
      <c r="I4" s="481" t="s">
        <v>127</v>
      </c>
      <c r="J4" s="481" t="s">
        <v>9</v>
      </c>
      <c r="K4" s="482" t="s">
        <v>140</v>
      </c>
    </row>
    <row r="5" spans="1:11" ht="14.4" customHeight="1" x14ac:dyDescent="0.3">
      <c r="A5" s="439" t="s">
        <v>271</v>
      </c>
      <c r="B5" s="426" t="s">
        <v>267</v>
      </c>
      <c r="C5" s="483" t="s">
        <v>367</v>
      </c>
      <c r="D5" s="484" t="s">
        <v>267</v>
      </c>
      <c r="E5" s="483" t="s">
        <v>445</v>
      </c>
      <c r="F5" s="484" t="s">
        <v>446</v>
      </c>
      <c r="G5" s="483" t="s">
        <v>370</v>
      </c>
      <c r="H5" s="483" t="s">
        <v>371</v>
      </c>
      <c r="I5" s="427">
        <v>42.44</v>
      </c>
      <c r="J5" s="427">
        <v>3</v>
      </c>
      <c r="K5" s="458">
        <v>127.31</v>
      </c>
    </row>
    <row r="6" spans="1:11" ht="14.4" customHeight="1" x14ac:dyDescent="0.3">
      <c r="A6" s="440" t="s">
        <v>271</v>
      </c>
      <c r="B6" s="429" t="s">
        <v>267</v>
      </c>
      <c r="C6" s="485" t="s">
        <v>367</v>
      </c>
      <c r="D6" s="486" t="s">
        <v>267</v>
      </c>
      <c r="E6" s="485" t="s">
        <v>445</v>
      </c>
      <c r="F6" s="486" t="s">
        <v>446</v>
      </c>
      <c r="G6" s="485" t="s">
        <v>372</v>
      </c>
      <c r="H6" s="485" t="s">
        <v>373</v>
      </c>
      <c r="I6" s="430">
        <v>0.39</v>
      </c>
      <c r="J6" s="430">
        <v>100</v>
      </c>
      <c r="K6" s="459">
        <v>39</v>
      </c>
    </row>
    <row r="7" spans="1:11" ht="14.4" customHeight="1" x14ac:dyDescent="0.3">
      <c r="A7" s="440" t="s">
        <v>271</v>
      </c>
      <c r="B7" s="429" t="s">
        <v>267</v>
      </c>
      <c r="C7" s="485" t="s">
        <v>367</v>
      </c>
      <c r="D7" s="486" t="s">
        <v>267</v>
      </c>
      <c r="E7" s="485" t="s">
        <v>445</v>
      </c>
      <c r="F7" s="486" t="s">
        <v>446</v>
      </c>
      <c r="G7" s="485" t="s">
        <v>374</v>
      </c>
      <c r="H7" s="485" t="s">
        <v>375</v>
      </c>
      <c r="I7" s="430">
        <v>4.6100000000000003</v>
      </c>
      <c r="J7" s="430">
        <v>50</v>
      </c>
      <c r="K7" s="459">
        <v>230.5</v>
      </c>
    </row>
    <row r="8" spans="1:11" ht="14.4" customHeight="1" x14ac:dyDescent="0.3">
      <c r="A8" s="440" t="s">
        <v>271</v>
      </c>
      <c r="B8" s="429" t="s">
        <v>267</v>
      </c>
      <c r="C8" s="485" t="s">
        <v>367</v>
      </c>
      <c r="D8" s="486" t="s">
        <v>267</v>
      </c>
      <c r="E8" s="485" t="s">
        <v>445</v>
      </c>
      <c r="F8" s="486" t="s">
        <v>446</v>
      </c>
      <c r="G8" s="485" t="s">
        <v>376</v>
      </c>
      <c r="H8" s="485" t="s">
        <v>377</v>
      </c>
      <c r="I8" s="430">
        <v>0.87</v>
      </c>
      <c r="J8" s="430">
        <v>400</v>
      </c>
      <c r="K8" s="459">
        <v>348</v>
      </c>
    </row>
    <row r="9" spans="1:11" ht="14.4" customHeight="1" x14ac:dyDescent="0.3">
      <c r="A9" s="440" t="s">
        <v>271</v>
      </c>
      <c r="B9" s="429" t="s">
        <v>267</v>
      </c>
      <c r="C9" s="485" t="s">
        <v>367</v>
      </c>
      <c r="D9" s="486" t="s">
        <v>267</v>
      </c>
      <c r="E9" s="485" t="s">
        <v>445</v>
      </c>
      <c r="F9" s="486" t="s">
        <v>446</v>
      </c>
      <c r="G9" s="485" t="s">
        <v>378</v>
      </c>
      <c r="H9" s="485" t="s">
        <v>379</v>
      </c>
      <c r="I9" s="430">
        <v>0.6</v>
      </c>
      <c r="J9" s="430">
        <v>1000</v>
      </c>
      <c r="K9" s="459">
        <v>600</v>
      </c>
    </row>
    <row r="10" spans="1:11" ht="14.4" customHeight="1" x14ac:dyDescent="0.3">
      <c r="A10" s="440" t="s">
        <v>271</v>
      </c>
      <c r="B10" s="429" t="s">
        <v>267</v>
      </c>
      <c r="C10" s="485" t="s">
        <v>367</v>
      </c>
      <c r="D10" s="486" t="s">
        <v>267</v>
      </c>
      <c r="E10" s="485" t="s">
        <v>445</v>
      </c>
      <c r="F10" s="486" t="s">
        <v>446</v>
      </c>
      <c r="G10" s="485" t="s">
        <v>380</v>
      </c>
      <c r="H10" s="485" t="s">
        <v>381</v>
      </c>
      <c r="I10" s="430">
        <v>8.58</v>
      </c>
      <c r="J10" s="430">
        <v>3</v>
      </c>
      <c r="K10" s="459">
        <v>25.74</v>
      </c>
    </row>
    <row r="11" spans="1:11" ht="14.4" customHeight="1" x14ac:dyDescent="0.3">
      <c r="A11" s="440" t="s">
        <v>271</v>
      </c>
      <c r="B11" s="429" t="s">
        <v>267</v>
      </c>
      <c r="C11" s="485" t="s">
        <v>367</v>
      </c>
      <c r="D11" s="486" t="s">
        <v>267</v>
      </c>
      <c r="E11" s="485" t="s">
        <v>445</v>
      </c>
      <c r="F11" s="486" t="s">
        <v>446</v>
      </c>
      <c r="G11" s="485" t="s">
        <v>382</v>
      </c>
      <c r="H11" s="485" t="s">
        <v>383</v>
      </c>
      <c r="I11" s="430">
        <v>3</v>
      </c>
      <c r="J11" s="430">
        <v>70</v>
      </c>
      <c r="K11" s="459">
        <v>210</v>
      </c>
    </row>
    <row r="12" spans="1:11" ht="14.4" customHeight="1" x14ac:dyDescent="0.3">
      <c r="A12" s="440" t="s">
        <v>271</v>
      </c>
      <c r="B12" s="429" t="s">
        <v>267</v>
      </c>
      <c r="C12" s="485" t="s">
        <v>367</v>
      </c>
      <c r="D12" s="486" t="s">
        <v>267</v>
      </c>
      <c r="E12" s="485" t="s">
        <v>445</v>
      </c>
      <c r="F12" s="486" t="s">
        <v>446</v>
      </c>
      <c r="G12" s="485" t="s">
        <v>384</v>
      </c>
      <c r="H12" s="485" t="s">
        <v>385</v>
      </c>
      <c r="I12" s="430">
        <v>1.1755555555555555</v>
      </c>
      <c r="J12" s="430">
        <v>1652</v>
      </c>
      <c r="K12" s="459">
        <v>1942.8600000000001</v>
      </c>
    </row>
    <row r="13" spans="1:11" ht="14.4" customHeight="1" x14ac:dyDescent="0.3">
      <c r="A13" s="440" t="s">
        <v>271</v>
      </c>
      <c r="B13" s="429" t="s">
        <v>267</v>
      </c>
      <c r="C13" s="485" t="s">
        <v>367</v>
      </c>
      <c r="D13" s="486" t="s">
        <v>267</v>
      </c>
      <c r="E13" s="485" t="s">
        <v>445</v>
      </c>
      <c r="F13" s="486" t="s">
        <v>446</v>
      </c>
      <c r="G13" s="485" t="s">
        <v>386</v>
      </c>
      <c r="H13" s="485" t="s">
        <v>387</v>
      </c>
      <c r="I13" s="430">
        <v>7.5</v>
      </c>
      <c r="J13" s="430">
        <v>2</v>
      </c>
      <c r="K13" s="459">
        <v>15</v>
      </c>
    </row>
    <row r="14" spans="1:11" ht="14.4" customHeight="1" x14ac:dyDescent="0.3">
      <c r="A14" s="440" t="s">
        <v>271</v>
      </c>
      <c r="B14" s="429" t="s">
        <v>267</v>
      </c>
      <c r="C14" s="485" t="s">
        <v>367</v>
      </c>
      <c r="D14" s="486" t="s">
        <v>267</v>
      </c>
      <c r="E14" s="485" t="s">
        <v>445</v>
      </c>
      <c r="F14" s="486" t="s">
        <v>446</v>
      </c>
      <c r="G14" s="485" t="s">
        <v>388</v>
      </c>
      <c r="H14" s="485" t="s">
        <v>389</v>
      </c>
      <c r="I14" s="430">
        <v>0.85333333333333339</v>
      </c>
      <c r="J14" s="430">
        <v>131</v>
      </c>
      <c r="K14" s="459">
        <v>111.36</v>
      </c>
    </row>
    <row r="15" spans="1:11" ht="14.4" customHeight="1" x14ac:dyDescent="0.3">
      <c r="A15" s="440" t="s">
        <v>271</v>
      </c>
      <c r="B15" s="429" t="s">
        <v>267</v>
      </c>
      <c r="C15" s="485" t="s">
        <v>367</v>
      </c>
      <c r="D15" s="486" t="s">
        <v>267</v>
      </c>
      <c r="E15" s="485" t="s">
        <v>445</v>
      </c>
      <c r="F15" s="486" t="s">
        <v>446</v>
      </c>
      <c r="G15" s="485" t="s">
        <v>390</v>
      </c>
      <c r="H15" s="485" t="s">
        <v>391</v>
      </c>
      <c r="I15" s="430">
        <v>1.52</v>
      </c>
      <c r="J15" s="430">
        <v>100</v>
      </c>
      <c r="K15" s="459">
        <v>152</v>
      </c>
    </row>
    <row r="16" spans="1:11" ht="14.4" customHeight="1" x14ac:dyDescent="0.3">
      <c r="A16" s="440" t="s">
        <v>271</v>
      </c>
      <c r="B16" s="429" t="s">
        <v>267</v>
      </c>
      <c r="C16" s="485" t="s">
        <v>367</v>
      </c>
      <c r="D16" s="486" t="s">
        <v>267</v>
      </c>
      <c r="E16" s="485" t="s">
        <v>445</v>
      </c>
      <c r="F16" s="486" t="s">
        <v>446</v>
      </c>
      <c r="G16" s="485" t="s">
        <v>392</v>
      </c>
      <c r="H16" s="485" t="s">
        <v>393</v>
      </c>
      <c r="I16" s="430">
        <v>42.58</v>
      </c>
      <c r="J16" s="430">
        <v>25</v>
      </c>
      <c r="K16" s="459">
        <v>1064.6099999999999</v>
      </c>
    </row>
    <row r="17" spans="1:11" ht="14.4" customHeight="1" x14ac:dyDescent="0.3">
      <c r="A17" s="440" t="s">
        <v>271</v>
      </c>
      <c r="B17" s="429" t="s">
        <v>267</v>
      </c>
      <c r="C17" s="485" t="s">
        <v>367</v>
      </c>
      <c r="D17" s="486" t="s">
        <v>267</v>
      </c>
      <c r="E17" s="485" t="s">
        <v>445</v>
      </c>
      <c r="F17" s="486" t="s">
        <v>446</v>
      </c>
      <c r="G17" s="485" t="s">
        <v>394</v>
      </c>
      <c r="H17" s="485" t="s">
        <v>395</v>
      </c>
      <c r="I17" s="430">
        <v>8.6300000000000008</v>
      </c>
      <c r="J17" s="430">
        <v>100</v>
      </c>
      <c r="K17" s="459">
        <v>862.5</v>
      </c>
    </row>
    <row r="18" spans="1:11" ht="14.4" customHeight="1" x14ac:dyDescent="0.3">
      <c r="A18" s="440" t="s">
        <v>271</v>
      </c>
      <c r="B18" s="429" t="s">
        <v>267</v>
      </c>
      <c r="C18" s="485" t="s">
        <v>367</v>
      </c>
      <c r="D18" s="486" t="s">
        <v>267</v>
      </c>
      <c r="E18" s="485" t="s">
        <v>447</v>
      </c>
      <c r="F18" s="486" t="s">
        <v>448</v>
      </c>
      <c r="G18" s="485" t="s">
        <v>396</v>
      </c>
      <c r="H18" s="485" t="s">
        <v>397</v>
      </c>
      <c r="I18" s="430">
        <v>3.51</v>
      </c>
      <c r="J18" s="430">
        <v>20</v>
      </c>
      <c r="K18" s="459">
        <v>70.2</v>
      </c>
    </row>
    <row r="19" spans="1:11" ht="14.4" customHeight="1" x14ac:dyDescent="0.3">
      <c r="A19" s="440" t="s">
        <v>271</v>
      </c>
      <c r="B19" s="429" t="s">
        <v>267</v>
      </c>
      <c r="C19" s="485" t="s">
        <v>367</v>
      </c>
      <c r="D19" s="486" t="s">
        <v>267</v>
      </c>
      <c r="E19" s="485" t="s">
        <v>447</v>
      </c>
      <c r="F19" s="486" t="s">
        <v>448</v>
      </c>
      <c r="G19" s="485" t="s">
        <v>398</v>
      </c>
      <c r="H19" s="485" t="s">
        <v>399</v>
      </c>
      <c r="I19" s="430">
        <v>11.15</v>
      </c>
      <c r="J19" s="430">
        <v>100</v>
      </c>
      <c r="K19" s="459">
        <v>1115</v>
      </c>
    </row>
    <row r="20" spans="1:11" ht="14.4" customHeight="1" x14ac:dyDescent="0.3">
      <c r="A20" s="440" t="s">
        <v>271</v>
      </c>
      <c r="B20" s="429" t="s">
        <v>267</v>
      </c>
      <c r="C20" s="485" t="s">
        <v>367</v>
      </c>
      <c r="D20" s="486" t="s">
        <v>267</v>
      </c>
      <c r="E20" s="485" t="s">
        <v>447</v>
      </c>
      <c r="F20" s="486" t="s">
        <v>448</v>
      </c>
      <c r="G20" s="485" t="s">
        <v>400</v>
      </c>
      <c r="H20" s="485" t="s">
        <v>401</v>
      </c>
      <c r="I20" s="430">
        <v>0.93</v>
      </c>
      <c r="J20" s="430">
        <v>1250</v>
      </c>
      <c r="K20" s="459">
        <v>1162.5</v>
      </c>
    </row>
    <row r="21" spans="1:11" ht="14.4" customHeight="1" x14ac:dyDescent="0.3">
      <c r="A21" s="440" t="s">
        <v>271</v>
      </c>
      <c r="B21" s="429" t="s">
        <v>267</v>
      </c>
      <c r="C21" s="485" t="s">
        <v>367</v>
      </c>
      <c r="D21" s="486" t="s">
        <v>267</v>
      </c>
      <c r="E21" s="485" t="s">
        <v>447</v>
      </c>
      <c r="F21" s="486" t="s">
        <v>448</v>
      </c>
      <c r="G21" s="485" t="s">
        <v>402</v>
      </c>
      <c r="H21" s="485" t="s">
        <v>403</v>
      </c>
      <c r="I21" s="430">
        <v>1.4354545454545453</v>
      </c>
      <c r="J21" s="430">
        <v>840</v>
      </c>
      <c r="K21" s="459">
        <v>1207.9999999999998</v>
      </c>
    </row>
    <row r="22" spans="1:11" ht="14.4" customHeight="1" x14ac:dyDescent="0.3">
      <c r="A22" s="440" t="s">
        <v>271</v>
      </c>
      <c r="B22" s="429" t="s">
        <v>267</v>
      </c>
      <c r="C22" s="485" t="s">
        <v>367</v>
      </c>
      <c r="D22" s="486" t="s">
        <v>267</v>
      </c>
      <c r="E22" s="485" t="s">
        <v>447</v>
      </c>
      <c r="F22" s="486" t="s">
        <v>448</v>
      </c>
      <c r="G22" s="485" t="s">
        <v>404</v>
      </c>
      <c r="H22" s="485" t="s">
        <v>405</v>
      </c>
      <c r="I22" s="430">
        <v>0.57999999999999996</v>
      </c>
      <c r="J22" s="430">
        <v>100</v>
      </c>
      <c r="K22" s="459">
        <v>58</v>
      </c>
    </row>
    <row r="23" spans="1:11" ht="14.4" customHeight="1" x14ac:dyDescent="0.3">
      <c r="A23" s="440" t="s">
        <v>271</v>
      </c>
      <c r="B23" s="429" t="s">
        <v>267</v>
      </c>
      <c r="C23" s="485" t="s">
        <v>367</v>
      </c>
      <c r="D23" s="486" t="s">
        <v>267</v>
      </c>
      <c r="E23" s="485" t="s">
        <v>447</v>
      </c>
      <c r="F23" s="486" t="s">
        <v>448</v>
      </c>
      <c r="G23" s="485" t="s">
        <v>406</v>
      </c>
      <c r="H23" s="485" t="s">
        <v>407</v>
      </c>
      <c r="I23" s="430">
        <v>2.64</v>
      </c>
      <c r="J23" s="430">
        <v>10</v>
      </c>
      <c r="K23" s="459">
        <v>26.4</v>
      </c>
    </row>
    <row r="24" spans="1:11" ht="14.4" customHeight="1" x14ac:dyDescent="0.3">
      <c r="A24" s="440" t="s">
        <v>271</v>
      </c>
      <c r="B24" s="429" t="s">
        <v>267</v>
      </c>
      <c r="C24" s="485" t="s">
        <v>367</v>
      </c>
      <c r="D24" s="486" t="s">
        <v>267</v>
      </c>
      <c r="E24" s="485" t="s">
        <v>447</v>
      </c>
      <c r="F24" s="486" t="s">
        <v>448</v>
      </c>
      <c r="G24" s="485" t="s">
        <v>408</v>
      </c>
      <c r="H24" s="485" t="s">
        <v>409</v>
      </c>
      <c r="I24" s="430">
        <v>5.1308333333333342</v>
      </c>
      <c r="J24" s="430">
        <v>540</v>
      </c>
      <c r="K24" s="459">
        <v>2770.5000000000005</v>
      </c>
    </row>
    <row r="25" spans="1:11" ht="14.4" customHeight="1" x14ac:dyDescent="0.3">
      <c r="A25" s="440" t="s">
        <v>271</v>
      </c>
      <c r="B25" s="429" t="s">
        <v>267</v>
      </c>
      <c r="C25" s="485" t="s">
        <v>367</v>
      </c>
      <c r="D25" s="486" t="s">
        <v>267</v>
      </c>
      <c r="E25" s="485" t="s">
        <v>447</v>
      </c>
      <c r="F25" s="486" t="s">
        <v>448</v>
      </c>
      <c r="G25" s="485" t="s">
        <v>410</v>
      </c>
      <c r="H25" s="485" t="s">
        <v>411</v>
      </c>
      <c r="I25" s="430">
        <v>7.9475000000000016</v>
      </c>
      <c r="J25" s="430">
        <v>400</v>
      </c>
      <c r="K25" s="459">
        <v>3179.1</v>
      </c>
    </row>
    <row r="26" spans="1:11" ht="14.4" customHeight="1" x14ac:dyDescent="0.3">
      <c r="A26" s="440" t="s">
        <v>271</v>
      </c>
      <c r="B26" s="429" t="s">
        <v>267</v>
      </c>
      <c r="C26" s="485" t="s">
        <v>367</v>
      </c>
      <c r="D26" s="486" t="s">
        <v>267</v>
      </c>
      <c r="E26" s="485" t="s">
        <v>447</v>
      </c>
      <c r="F26" s="486" t="s">
        <v>448</v>
      </c>
      <c r="G26" s="485" t="s">
        <v>412</v>
      </c>
      <c r="H26" s="485" t="s">
        <v>413</v>
      </c>
      <c r="I26" s="430">
        <v>12.1</v>
      </c>
      <c r="J26" s="430">
        <v>8</v>
      </c>
      <c r="K26" s="459">
        <v>96.8</v>
      </c>
    </row>
    <row r="27" spans="1:11" ht="14.4" customHeight="1" x14ac:dyDescent="0.3">
      <c r="A27" s="440" t="s">
        <v>271</v>
      </c>
      <c r="B27" s="429" t="s">
        <v>267</v>
      </c>
      <c r="C27" s="485" t="s">
        <v>367</v>
      </c>
      <c r="D27" s="486" t="s">
        <v>267</v>
      </c>
      <c r="E27" s="485" t="s">
        <v>447</v>
      </c>
      <c r="F27" s="486" t="s">
        <v>448</v>
      </c>
      <c r="G27" s="485" t="s">
        <v>414</v>
      </c>
      <c r="H27" s="485" t="s">
        <v>415</v>
      </c>
      <c r="I27" s="430">
        <v>1.9350000000000001</v>
      </c>
      <c r="J27" s="430">
        <v>300</v>
      </c>
      <c r="K27" s="459">
        <v>580.5</v>
      </c>
    </row>
    <row r="28" spans="1:11" ht="14.4" customHeight="1" x14ac:dyDescent="0.3">
      <c r="A28" s="440" t="s">
        <v>271</v>
      </c>
      <c r="B28" s="429" t="s">
        <v>267</v>
      </c>
      <c r="C28" s="485" t="s">
        <v>367</v>
      </c>
      <c r="D28" s="486" t="s">
        <v>267</v>
      </c>
      <c r="E28" s="485" t="s">
        <v>447</v>
      </c>
      <c r="F28" s="486" t="s">
        <v>448</v>
      </c>
      <c r="G28" s="485" t="s">
        <v>416</v>
      </c>
      <c r="H28" s="485" t="s">
        <v>417</v>
      </c>
      <c r="I28" s="430">
        <v>194.304</v>
      </c>
      <c r="J28" s="430">
        <v>180</v>
      </c>
      <c r="K28" s="459">
        <v>34974.9</v>
      </c>
    </row>
    <row r="29" spans="1:11" ht="14.4" customHeight="1" x14ac:dyDescent="0.3">
      <c r="A29" s="440" t="s">
        <v>271</v>
      </c>
      <c r="B29" s="429" t="s">
        <v>267</v>
      </c>
      <c r="C29" s="485" t="s">
        <v>367</v>
      </c>
      <c r="D29" s="486" t="s">
        <v>267</v>
      </c>
      <c r="E29" s="485" t="s">
        <v>447</v>
      </c>
      <c r="F29" s="486" t="s">
        <v>448</v>
      </c>
      <c r="G29" s="485" t="s">
        <v>416</v>
      </c>
      <c r="H29" s="485" t="s">
        <v>418</v>
      </c>
      <c r="I29" s="430">
        <v>194.30374999999998</v>
      </c>
      <c r="J29" s="430">
        <v>232</v>
      </c>
      <c r="K29" s="459">
        <v>45077.950000000004</v>
      </c>
    </row>
    <row r="30" spans="1:11" ht="14.4" customHeight="1" x14ac:dyDescent="0.3">
      <c r="A30" s="440" t="s">
        <v>271</v>
      </c>
      <c r="B30" s="429" t="s">
        <v>267</v>
      </c>
      <c r="C30" s="485" t="s">
        <v>367</v>
      </c>
      <c r="D30" s="486" t="s">
        <v>267</v>
      </c>
      <c r="E30" s="485" t="s">
        <v>447</v>
      </c>
      <c r="F30" s="486" t="s">
        <v>448</v>
      </c>
      <c r="G30" s="485" t="s">
        <v>419</v>
      </c>
      <c r="H30" s="485" t="s">
        <v>420</v>
      </c>
      <c r="I30" s="430">
        <v>0.48</v>
      </c>
      <c r="J30" s="430">
        <v>200</v>
      </c>
      <c r="K30" s="459">
        <v>96</v>
      </c>
    </row>
    <row r="31" spans="1:11" ht="14.4" customHeight="1" x14ac:dyDescent="0.3">
      <c r="A31" s="440" t="s">
        <v>271</v>
      </c>
      <c r="B31" s="429" t="s">
        <v>267</v>
      </c>
      <c r="C31" s="485" t="s">
        <v>367</v>
      </c>
      <c r="D31" s="486" t="s">
        <v>267</v>
      </c>
      <c r="E31" s="485" t="s">
        <v>447</v>
      </c>
      <c r="F31" s="486" t="s">
        <v>448</v>
      </c>
      <c r="G31" s="485" t="s">
        <v>421</v>
      </c>
      <c r="H31" s="485" t="s">
        <v>422</v>
      </c>
      <c r="I31" s="430">
        <v>9.68</v>
      </c>
      <c r="J31" s="430">
        <v>60</v>
      </c>
      <c r="K31" s="459">
        <v>580.79999999999995</v>
      </c>
    </row>
    <row r="32" spans="1:11" ht="14.4" customHeight="1" x14ac:dyDescent="0.3">
      <c r="A32" s="440" t="s">
        <v>271</v>
      </c>
      <c r="B32" s="429" t="s">
        <v>267</v>
      </c>
      <c r="C32" s="485" t="s">
        <v>367</v>
      </c>
      <c r="D32" s="486" t="s">
        <v>267</v>
      </c>
      <c r="E32" s="485" t="s">
        <v>447</v>
      </c>
      <c r="F32" s="486" t="s">
        <v>448</v>
      </c>
      <c r="G32" s="485" t="s">
        <v>423</v>
      </c>
      <c r="H32" s="485" t="s">
        <v>424</v>
      </c>
      <c r="I32" s="430">
        <v>37.75</v>
      </c>
      <c r="J32" s="430">
        <v>40</v>
      </c>
      <c r="K32" s="459">
        <v>1510.1</v>
      </c>
    </row>
    <row r="33" spans="1:11" ht="14.4" customHeight="1" x14ac:dyDescent="0.3">
      <c r="A33" s="440" t="s">
        <v>271</v>
      </c>
      <c r="B33" s="429" t="s">
        <v>267</v>
      </c>
      <c r="C33" s="485" t="s">
        <v>367</v>
      </c>
      <c r="D33" s="486" t="s">
        <v>267</v>
      </c>
      <c r="E33" s="485" t="s">
        <v>449</v>
      </c>
      <c r="F33" s="486" t="s">
        <v>450</v>
      </c>
      <c r="G33" s="485" t="s">
        <v>425</v>
      </c>
      <c r="H33" s="485" t="s">
        <v>426</v>
      </c>
      <c r="I33" s="430">
        <v>4629.26</v>
      </c>
      <c r="J33" s="430">
        <v>2</v>
      </c>
      <c r="K33" s="459">
        <v>9258.52</v>
      </c>
    </row>
    <row r="34" spans="1:11" ht="14.4" customHeight="1" x14ac:dyDescent="0.3">
      <c r="A34" s="440" t="s">
        <v>271</v>
      </c>
      <c r="B34" s="429" t="s">
        <v>267</v>
      </c>
      <c r="C34" s="485" t="s">
        <v>367</v>
      </c>
      <c r="D34" s="486" t="s">
        <v>267</v>
      </c>
      <c r="E34" s="485" t="s">
        <v>451</v>
      </c>
      <c r="F34" s="486" t="s">
        <v>452</v>
      </c>
      <c r="G34" s="485" t="s">
        <v>427</v>
      </c>
      <c r="H34" s="485" t="s">
        <v>428</v>
      </c>
      <c r="I34" s="430">
        <v>8.1675000000000004</v>
      </c>
      <c r="J34" s="430">
        <v>250</v>
      </c>
      <c r="K34" s="459">
        <v>2041.9</v>
      </c>
    </row>
    <row r="35" spans="1:11" ht="14.4" customHeight="1" x14ac:dyDescent="0.3">
      <c r="A35" s="440" t="s">
        <v>271</v>
      </c>
      <c r="B35" s="429" t="s">
        <v>267</v>
      </c>
      <c r="C35" s="485" t="s">
        <v>367</v>
      </c>
      <c r="D35" s="486" t="s">
        <v>267</v>
      </c>
      <c r="E35" s="485" t="s">
        <v>451</v>
      </c>
      <c r="F35" s="486" t="s">
        <v>452</v>
      </c>
      <c r="G35" s="485" t="s">
        <v>427</v>
      </c>
      <c r="H35" s="485" t="s">
        <v>429</v>
      </c>
      <c r="I35" s="430">
        <v>8.17</v>
      </c>
      <c r="J35" s="430">
        <v>90</v>
      </c>
      <c r="K35" s="459">
        <v>735.30000000000007</v>
      </c>
    </row>
    <row r="36" spans="1:11" ht="14.4" customHeight="1" x14ac:dyDescent="0.3">
      <c r="A36" s="440" t="s">
        <v>271</v>
      </c>
      <c r="B36" s="429" t="s">
        <v>267</v>
      </c>
      <c r="C36" s="485" t="s">
        <v>367</v>
      </c>
      <c r="D36" s="486" t="s">
        <v>267</v>
      </c>
      <c r="E36" s="485" t="s">
        <v>451</v>
      </c>
      <c r="F36" s="486" t="s">
        <v>452</v>
      </c>
      <c r="G36" s="485" t="s">
        <v>430</v>
      </c>
      <c r="H36" s="485" t="s">
        <v>431</v>
      </c>
      <c r="I36" s="430">
        <v>162.63</v>
      </c>
      <c r="J36" s="430">
        <v>30</v>
      </c>
      <c r="K36" s="459">
        <v>4879</v>
      </c>
    </row>
    <row r="37" spans="1:11" ht="14.4" customHeight="1" x14ac:dyDescent="0.3">
      <c r="A37" s="440" t="s">
        <v>271</v>
      </c>
      <c r="B37" s="429" t="s">
        <v>267</v>
      </c>
      <c r="C37" s="485" t="s">
        <v>367</v>
      </c>
      <c r="D37" s="486" t="s">
        <v>267</v>
      </c>
      <c r="E37" s="485" t="s">
        <v>451</v>
      </c>
      <c r="F37" s="486" t="s">
        <v>452</v>
      </c>
      <c r="G37" s="485" t="s">
        <v>430</v>
      </c>
      <c r="H37" s="485" t="s">
        <v>432</v>
      </c>
      <c r="I37" s="430">
        <v>162.63</v>
      </c>
      <c r="J37" s="430">
        <v>60</v>
      </c>
      <c r="K37" s="459">
        <v>9757.7999999999993</v>
      </c>
    </row>
    <row r="38" spans="1:11" ht="14.4" customHeight="1" x14ac:dyDescent="0.3">
      <c r="A38" s="440" t="s">
        <v>271</v>
      </c>
      <c r="B38" s="429" t="s">
        <v>267</v>
      </c>
      <c r="C38" s="485" t="s">
        <v>367</v>
      </c>
      <c r="D38" s="486" t="s">
        <v>267</v>
      </c>
      <c r="E38" s="485" t="s">
        <v>451</v>
      </c>
      <c r="F38" s="486" t="s">
        <v>452</v>
      </c>
      <c r="G38" s="485" t="s">
        <v>433</v>
      </c>
      <c r="H38" s="485" t="s">
        <v>434</v>
      </c>
      <c r="I38" s="430">
        <v>73.81</v>
      </c>
      <c r="J38" s="430">
        <v>100</v>
      </c>
      <c r="K38" s="459">
        <v>7381</v>
      </c>
    </row>
    <row r="39" spans="1:11" ht="14.4" customHeight="1" x14ac:dyDescent="0.3">
      <c r="A39" s="440" t="s">
        <v>271</v>
      </c>
      <c r="B39" s="429" t="s">
        <v>267</v>
      </c>
      <c r="C39" s="485" t="s">
        <v>367</v>
      </c>
      <c r="D39" s="486" t="s">
        <v>267</v>
      </c>
      <c r="E39" s="485" t="s">
        <v>453</v>
      </c>
      <c r="F39" s="486" t="s">
        <v>454</v>
      </c>
      <c r="G39" s="485" t="s">
        <v>435</v>
      </c>
      <c r="H39" s="485" t="s">
        <v>436</v>
      </c>
      <c r="I39" s="430">
        <v>0.30333333333333329</v>
      </c>
      <c r="J39" s="430">
        <v>500</v>
      </c>
      <c r="K39" s="459">
        <v>151</v>
      </c>
    </row>
    <row r="40" spans="1:11" ht="14.4" customHeight="1" x14ac:dyDescent="0.3">
      <c r="A40" s="440" t="s">
        <v>271</v>
      </c>
      <c r="B40" s="429" t="s">
        <v>267</v>
      </c>
      <c r="C40" s="485" t="s">
        <v>367</v>
      </c>
      <c r="D40" s="486" t="s">
        <v>267</v>
      </c>
      <c r="E40" s="485" t="s">
        <v>453</v>
      </c>
      <c r="F40" s="486" t="s">
        <v>454</v>
      </c>
      <c r="G40" s="485" t="s">
        <v>437</v>
      </c>
      <c r="H40" s="485" t="s">
        <v>438</v>
      </c>
      <c r="I40" s="430">
        <v>132.68</v>
      </c>
      <c r="J40" s="430">
        <v>25</v>
      </c>
      <c r="K40" s="459">
        <v>3316.91</v>
      </c>
    </row>
    <row r="41" spans="1:11" ht="14.4" customHeight="1" x14ac:dyDescent="0.3">
      <c r="A41" s="440" t="s">
        <v>271</v>
      </c>
      <c r="B41" s="429" t="s">
        <v>267</v>
      </c>
      <c r="C41" s="485" t="s">
        <v>367</v>
      </c>
      <c r="D41" s="486" t="s">
        <v>267</v>
      </c>
      <c r="E41" s="485" t="s">
        <v>455</v>
      </c>
      <c r="F41" s="486" t="s">
        <v>456</v>
      </c>
      <c r="G41" s="485" t="s">
        <v>439</v>
      </c>
      <c r="H41" s="485" t="s">
        <v>440</v>
      </c>
      <c r="I41" s="430">
        <v>7.5</v>
      </c>
      <c r="J41" s="430">
        <v>190</v>
      </c>
      <c r="K41" s="459">
        <v>1425</v>
      </c>
    </row>
    <row r="42" spans="1:11" ht="14.4" customHeight="1" x14ac:dyDescent="0.3">
      <c r="A42" s="440" t="s">
        <v>271</v>
      </c>
      <c r="B42" s="429" t="s">
        <v>267</v>
      </c>
      <c r="C42" s="485" t="s">
        <v>367</v>
      </c>
      <c r="D42" s="486" t="s">
        <v>267</v>
      </c>
      <c r="E42" s="485" t="s">
        <v>455</v>
      </c>
      <c r="F42" s="486" t="s">
        <v>456</v>
      </c>
      <c r="G42" s="485" t="s">
        <v>441</v>
      </c>
      <c r="H42" s="485" t="s">
        <v>442</v>
      </c>
      <c r="I42" s="430">
        <v>7.5</v>
      </c>
      <c r="J42" s="430">
        <v>100</v>
      </c>
      <c r="K42" s="459">
        <v>750</v>
      </c>
    </row>
    <row r="43" spans="1:11" ht="14.4" customHeight="1" thickBot="1" x14ac:dyDescent="0.35">
      <c r="A43" s="441" t="s">
        <v>271</v>
      </c>
      <c r="B43" s="432" t="s">
        <v>267</v>
      </c>
      <c r="C43" s="487" t="s">
        <v>367</v>
      </c>
      <c r="D43" s="488" t="s">
        <v>267</v>
      </c>
      <c r="E43" s="487" t="s">
        <v>455</v>
      </c>
      <c r="F43" s="488" t="s">
        <v>456</v>
      </c>
      <c r="G43" s="487" t="s">
        <v>443</v>
      </c>
      <c r="H43" s="487" t="s">
        <v>444</v>
      </c>
      <c r="I43" s="433">
        <v>7.5</v>
      </c>
      <c r="J43" s="433">
        <v>275</v>
      </c>
      <c r="K43" s="460">
        <v>2062.5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J1"/>
    </sheetView>
  </sheetViews>
  <sheetFormatPr defaultRowHeight="14.4" outlineLevelRow="1" x14ac:dyDescent="0.3"/>
  <cols>
    <col min="1" max="1" width="37.21875" customWidth="1"/>
    <col min="2" max="36" width="13.109375" customWidth="1"/>
  </cols>
  <sheetData>
    <row r="1" spans="1:36" ht="18.600000000000001" thickBot="1" x14ac:dyDescent="0.4">
      <c r="A1" s="368" t="s">
        <v>95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</row>
    <row r="2" spans="1:36" ht="15" thickBot="1" x14ac:dyDescent="0.35">
      <c r="A2" s="217" t="s">
        <v>230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</row>
    <row r="3" spans="1:36" x14ac:dyDescent="0.3">
      <c r="A3" s="238" t="s">
        <v>189</v>
      </c>
      <c r="B3" s="369" t="s">
        <v>168</v>
      </c>
      <c r="C3" s="219">
        <v>0</v>
      </c>
      <c r="D3" s="220">
        <v>101</v>
      </c>
      <c r="E3" s="220">
        <v>102</v>
      </c>
      <c r="F3" s="240">
        <v>203</v>
      </c>
      <c r="G3" s="240">
        <v>305</v>
      </c>
      <c r="H3" s="240">
        <v>306</v>
      </c>
      <c r="I3" s="240">
        <v>408</v>
      </c>
      <c r="J3" s="240">
        <v>409</v>
      </c>
      <c r="K3" s="240">
        <v>410</v>
      </c>
      <c r="L3" s="240">
        <v>415</v>
      </c>
      <c r="M3" s="240">
        <v>416</v>
      </c>
      <c r="N3" s="240">
        <v>418</v>
      </c>
      <c r="O3" s="240">
        <v>419</v>
      </c>
      <c r="P3" s="240">
        <v>420</v>
      </c>
      <c r="Q3" s="240">
        <v>421</v>
      </c>
      <c r="R3" s="240">
        <v>522</v>
      </c>
      <c r="S3" s="240">
        <v>523</v>
      </c>
      <c r="T3" s="240">
        <v>524</v>
      </c>
      <c r="U3" s="240">
        <v>525</v>
      </c>
      <c r="V3" s="240">
        <v>526</v>
      </c>
      <c r="W3" s="240">
        <v>527</v>
      </c>
      <c r="X3" s="240">
        <v>528</v>
      </c>
      <c r="Y3" s="240">
        <v>629</v>
      </c>
      <c r="Z3" s="240">
        <v>630</v>
      </c>
      <c r="AA3" s="240">
        <v>636</v>
      </c>
      <c r="AB3" s="240">
        <v>637</v>
      </c>
      <c r="AC3" s="240">
        <v>640</v>
      </c>
      <c r="AD3" s="240">
        <v>642</v>
      </c>
      <c r="AE3" s="240">
        <v>743</v>
      </c>
      <c r="AF3" s="220">
        <v>745</v>
      </c>
      <c r="AG3" s="220">
        <v>746</v>
      </c>
      <c r="AH3" s="220">
        <v>747</v>
      </c>
      <c r="AI3" s="220">
        <v>930</v>
      </c>
      <c r="AJ3" s="221">
        <v>940</v>
      </c>
    </row>
    <row r="4" spans="1:36" ht="36.6" outlineLevel="1" thickBot="1" x14ac:dyDescent="0.35">
      <c r="A4" s="239">
        <v>2014</v>
      </c>
      <c r="B4" s="370"/>
      <c r="C4" s="222" t="s">
        <v>169</v>
      </c>
      <c r="D4" s="223" t="s">
        <v>170</v>
      </c>
      <c r="E4" s="223" t="s">
        <v>171</v>
      </c>
      <c r="F4" s="241" t="s">
        <v>172</v>
      </c>
      <c r="G4" s="241" t="s">
        <v>201</v>
      </c>
      <c r="H4" s="241" t="s">
        <v>202</v>
      </c>
      <c r="I4" s="241" t="s">
        <v>203</v>
      </c>
      <c r="J4" s="241" t="s">
        <v>204</v>
      </c>
      <c r="K4" s="241" t="s">
        <v>205</v>
      </c>
      <c r="L4" s="241" t="s">
        <v>206</v>
      </c>
      <c r="M4" s="241" t="s">
        <v>207</v>
      </c>
      <c r="N4" s="241" t="s">
        <v>208</v>
      </c>
      <c r="O4" s="241" t="s">
        <v>209</v>
      </c>
      <c r="P4" s="241" t="s">
        <v>210</v>
      </c>
      <c r="Q4" s="241" t="s">
        <v>211</v>
      </c>
      <c r="R4" s="241" t="s">
        <v>212</v>
      </c>
      <c r="S4" s="241" t="s">
        <v>213</v>
      </c>
      <c r="T4" s="241" t="s">
        <v>214</v>
      </c>
      <c r="U4" s="241" t="s">
        <v>215</v>
      </c>
      <c r="V4" s="241" t="s">
        <v>216</v>
      </c>
      <c r="W4" s="241" t="s">
        <v>217</v>
      </c>
      <c r="X4" s="241" t="s">
        <v>227</v>
      </c>
      <c r="Y4" s="241" t="s">
        <v>218</v>
      </c>
      <c r="Z4" s="241" t="s">
        <v>228</v>
      </c>
      <c r="AA4" s="241" t="s">
        <v>219</v>
      </c>
      <c r="AB4" s="241" t="s">
        <v>220</v>
      </c>
      <c r="AC4" s="241" t="s">
        <v>221</v>
      </c>
      <c r="AD4" s="241" t="s">
        <v>222</v>
      </c>
      <c r="AE4" s="241" t="s">
        <v>223</v>
      </c>
      <c r="AF4" s="223" t="s">
        <v>224</v>
      </c>
      <c r="AG4" s="223" t="s">
        <v>225</v>
      </c>
      <c r="AH4" s="223" t="s">
        <v>226</v>
      </c>
      <c r="AI4" s="223" t="s">
        <v>191</v>
      </c>
      <c r="AJ4" s="224" t="s">
        <v>173</v>
      </c>
    </row>
    <row r="5" spans="1:36" x14ac:dyDescent="0.3">
      <c r="A5" s="225" t="s">
        <v>174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</row>
    <row r="6" spans="1:36" ht="15" collapsed="1" thickBot="1" x14ac:dyDescent="0.35">
      <c r="A6" s="226" t="s">
        <v>61</v>
      </c>
      <c r="B6" s="270" t="e">
        <f xml:space="preserve">
TRUNC(IF($A$4&lt;=12,SUMIFS(#REF!,#REF!,$A$4,#REF!,1),SUMIFS(#REF!,#REF!,1)/#REF!),1)</f>
        <v>#REF!</v>
      </c>
      <c r="C6" s="271" t="e">
        <f xml:space="preserve">
TRUNC(IF($A$4&lt;=12,SUMIFS(#REF!,#REF!,$A$4,#REF!,1),SUMIFS(#REF!,#REF!,1)/#REF!),1)</f>
        <v>#REF!</v>
      </c>
      <c r="D6" s="272" t="e">
        <f xml:space="preserve">
TRUNC(IF($A$4&lt;=12,SUMIFS(#REF!,#REF!,$A$4,#REF!,1),SUMIFS(#REF!,#REF!,1)/#REF!),1)</f>
        <v>#REF!</v>
      </c>
      <c r="E6" s="272" t="e">
        <f xml:space="preserve">
TRUNC(IF($A$4&lt;=12,SUMIFS(#REF!,#REF!,$A$4,#REF!,1),SUMIFS(#REF!,#REF!,1)/#REF!),1)</f>
        <v>#REF!</v>
      </c>
      <c r="F6" s="272" t="e">
        <f xml:space="preserve">
TRUNC(IF($A$4&lt;=12,SUMIFS(#REF!,#REF!,$A$4,#REF!,1),SUMIFS(#REF!,#REF!,1)/#REF!),1)</f>
        <v>#REF!</v>
      </c>
      <c r="G6" s="272" t="e">
        <f xml:space="preserve">
TRUNC(IF($A$4&lt;=12,SUMIFS(#REF!,#REF!,$A$4,#REF!,1),SUMIFS(#REF!,#REF!,1)/#REF!),1)</f>
        <v>#REF!</v>
      </c>
      <c r="H6" s="272" t="e">
        <f xml:space="preserve">
TRUNC(IF($A$4&lt;=12,SUMIFS(#REF!,#REF!,$A$4,#REF!,1),SUMIFS(#REF!,#REF!,1)/#REF!),1)</f>
        <v>#REF!</v>
      </c>
      <c r="I6" s="272" t="e">
        <f xml:space="preserve">
TRUNC(IF($A$4&lt;=12,SUMIFS(#REF!,#REF!,$A$4,#REF!,1),SUMIFS(#REF!,#REF!,1)/#REF!),1)</f>
        <v>#REF!</v>
      </c>
      <c r="J6" s="272" t="e">
        <f xml:space="preserve">
TRUNC(IF($A$4&lt;=12,SUMIFS(#REF!,#REF!,$A$4,#REF!,1),SUMIFS(#REF!,#REF!,1)/#REF!),1)</f>
        <v>#REF!</v>
      </c>
      <c r="K6" s="272" t="e">
        <f xml:space="preserve">
TRUNC(IF($A$4&lt;=12,SUMIFS(#REF!,#REF!,$A$4,#REF!,1),SUMIFS(#REF!,#REF!,1)/#REF!),1)</f>
        <v>#REF!</v>
      </c>
      <c r="L6" s="272" t="e">
        <f xml:space="preserve">
TRUNC(IF($A$4&lt;=12,SUMIFS(#REF!,#REF!,$A$4,#REF!,1),SUMIFS(#REF!,#REF!,1)/#REF!),1)</f>
        <v>#REF!</v>
      </c>
      <c r="M6" s="272" t="e">
        <f xml:space="preserve">
TRUNC(IF($A$4&lt;=12,SUMIFS(#REF!,#REF!,$A$4,#REF!,1),SUMIFS(#REF!,#REF!,1)/#REF!),1)</f>
        <v>#REF!</v>
      </c>
      <c r="N6" s="272" t="e">
        <f xml:space="preserve">
TRUNC(IF($A$4&lt;=12,SUMIFS(#REF!,#REF!,$A$4,#REF!,1),SUMIFS(#REF!,#REF!,1)/#REF!),1)</f>
        <v>#REF!</v>
      </c>
      <c r="O6" s="272" t="e">
        <f xml:space="preserve">
TRUNC(IF($A$4&lt;=12,SUMIFS(#REF!,#REF!,$A$4,#REF!,1),SUMIFS(#REF!,#REF!,1)/#REF!),1)</f>
        <v>#REF!</v>
      </c>
      <c r="P6" s="272" t="e">
        <f xml:space="preserve">
TRUNC(IF($A$4&lt;=12,SUMIFS(#REF!,#REF!,$A$4,#REF!,1),SUMIFS(#REF!,#REF!,1)/#REF!),1)</f>
        <v>#REF!</v>
      </c>
      <c r="Q6" s="272" t="e">
        <f xml:space="preserve">
TRUNC(IF($A$4&lt;=12,SUMIFS(#REF!,#REF!,$A$4,#REF!,1),SUMIFS(#REF!,#REF!,1)/#REF!),1)</f>
        <v>#REF!</v>
      </c>
      <c r="R6" s="272" t="e">
        <f xml:space="preserve">
TRUNC(IF($A$4&lt;=12,SUMIFS(#REF!,#REF!,$A$4,#REF!,1),SUMIFS(#REF!,#REF!,1)/#REF!),1)</f>
        <v>#REF!</v>
      </c>
      <c r="S6" s="272" t="e">
        <f xml:space="preserve">
TRUNC(IF($A$4&lt;=12,SUMIFS(#REF!,#REF!,$A$4,#REF!,1),SUMIFS(#REF!,#REF!,1)/#REF!),1)</f>
        <v>#REF!</v>
      </c>
      <c r="T6" s="272" t="e">
        <f xml:space="preserve">
TRUNC(IF($A$4&lt;=12,SUMIFS(#REF!,#REF!,$A$4,#REF!,1),SUMIFS(#REF!,#REF!,1)/#REF!),1)</f>
        <v>#REF!</v>
      </c>
      <c r="U6" s="272" t="e">
        <f xml:space="preserve">
TRUNC(IF($A$4&lt;=12,SUMIFS(#REF!,#REF!,$A$4,#REF!,1),SUMIFS(#REF!,#REF!,1)/#REF!),1)</f>
        <v>#REF!</v>
      </c>
      <c r="V6" s="272" t="e">
        <f xml:space="preserve">
TRUNC(IF($A$4&lt;=12,SUMIFS(#REF!,#REF!,$A$4,#REF!,1),SUMIFS(#REF!,#REF!,1)/#REF!),1)</f>
        <v>#REF!</v>
      </c>
      <c r="W6" s="272" t="e">
        <f xml:space="preserve">
TRUNC(IF($A$4&lt;=12,SUMIFS(#REF!,#REF!,$A$4,#REF!,1),SUMIFS(#REF!,#REF!,1)/#REF!),1)</f>
        <v>#REF!</v>
      </c>
      <c r="X6" s="272" t="e">
        <f xml:space="preserve">
TRUNC(IF($A$4&lt;=12,SUMIFS(#REF!,#REF!,$A$4,#REF!,1),SUMIFS(#REF!,#REF!,1)/#REF!),1)</f>
        <v>#REF!</v>
      </c>
      <c r="Y6" s="272" t="e">
        <f xml:space="preserve">
TRUNC(IF($A$4&lt;=12,SUMIFS(#REF!,#REF!,$A$4,#REF!,1),SUMIFS(#REF!,#REF!,1)/#REF!),1)</f>
        <v>#REF!</v>
      </c>
      <c r="Z6" s="272" t="e">
        <f xml:space="preserve">
TRUNC(IF($A$4&lt;=12,SUMIFS(#REF!,#REF!,$A$4,#REF!,1),SUMIFS(#REF!,#REF!,1)/#REF!),1)</f>
        <v>#REF!</v>
      </c>
      <c r="AA6" s="272" t="e">
        <f xml:space="preserve">
TRUNC(IF($A$4&lt;=12,SUMIFS(#REF!,#REF!,$A$4,#REF!,1),SUMIFS(#REF!,#REF!,1)/#REF!),1)</f>
        <v>#REF!</v>
      </c>
      <c r="AB6" s="272" t="e">
        <f xml:space="preserve">
TRUNC(IF($A$4&lt;=12,SUMIFS(#REF!,#REF!,$A$4,#REF!,1),SUMIFS(#REF!,#REF!,1)/#REF!),1)</f>
        <v>#REF!</v>
      </c>
      <c r="AC6" s="272" t="e">
        <f xml:space="preserve">
TRUNC(IF($A$4&lt;=12,SUMIFS(#REF!,#REF!,$A$4,#REF!,1),SUMIFS(#REF!,#REF!,1)/#REF!),1)</f>
        <v>#REF!</v>
      </c>
      <c r="AD6" s="272" t="e">
        <f xml:space="preserve">
TRUNC(IF($A$4&lt;=12,SUMIFS(#REF!,#REF!,$A$4,#REF!,1),SUMIFS(#REF!,#REF!,1)/#REF!),1)</f>
        <v>#REF!</v>
      </c>
      <c r="AE6" s="272" t="e">
        <f xml:space="preserve">
TRUNC(IF($A$4&lt;=12,SUMIFS(#REF!,#REF!,$A$4,#REF!,1),SUMIFS(#REF!,#REF!,1)/#REF!),1)</f>
        <v>#REF!</v>
      </c>
      <c r="AF6" s="272" t="e">
        <f xml:space="preserve">
TRUNC(IF($A$4&lt;=12,SUMIFS(#REF!,#REF!,$A$4,#REF!,1),SUMIFS(#REF!,#REF!,1)/#REF!),1)</f>
        <v>#REF!</v>
      </c>
      <c r="AG6" s="272" t="e">
        <f xml:space="preserve">
TRUNC(IF($A$4&lt;=12,SUMIFS(#REF!,#REF!,$A$4,#REF!,1),SUMIFS(#REF!,#REF!,1)/#REF!),1)</f>
        <v>#REF!</v>
      </c>
      <c r="AH6" s="272" t="e">
        <f xml:space="preserve">
TRUNC(IF($A$4&lt;=12,SUMIFS(#REF!,#REF!,$A$4,#REF!,1),SUMIFS(#REF!,#REF!,1)/#REF!),1)</f>
        <v>#REF!</v>
      </c>
      <c r="AI6" s="272" t="e">
        <f xml:space="preserve">
TRUNC(IF($A$4&lt;=12,SUMIFS(#REF!,#REF!,$A$4,#REF!,1),SUMIFS(#REF!,#REF!,1)/#REF!),1)</f>
        <v>#REF!</v>
      </c>
      <c r="AJ6" s="273" t="e">
        <f xml:space="preserve">
TRUNC(IF($A$4&lt;=12,SUMIFS(#REF!,#REF!,$A$4,#REF!,1),SUMIFS(#REF!,#REF!,1)/#REF!),1)</f>
        <v>#REF!</v>
      </c>
    </row>
    <row r="7" spans="1:36" ht="15" hidden="1" outlineLevel="1" thickBot="1" x14ac:dyDescent="0.35">
      <c r="A7" s="226" t="s">
        <v>96</v>
      </c>
      <c r="B7" s="270"/>
      <c r="C7" s="274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3"/>
    </row>
    <row r="8" spans="1:36" ht="15" hidden="1" outlineLevel="1" thickBot="1" x14ac:dyDescent="0.35">
      <c r="A8" s="226" t="s">
        <v>63</v>
      </c>
      <c r="B8" s="270"/>
      <c r="C8" s="274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3"/>
    </row>
    <row r="9" spans="1:36" ht="15" hidden="1" outlineLevel="1" thickBot="1" x14ac:dyDescent="0.35">
      <c r="A9" s="227" t="s">
        <v>56</v>
      </c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8"/>
    </row>
    <row r="10" spans="1:36" x14ac:dyDescent="0.3">
      <c r="A10" s="228" t="s">
        <v>175</v>
      </c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5"/>
    </row>
    <row r="11" spans="1:36" x14ac:dyDescent="0.3">
      <c r="A11" s="229" t="s">
        <v>176</v>
      </c>
      <c r="B11" s="246" t="e">
        <f xml:space="preserve">
IF($A$4&lt;=12,SUMIFS(#REF!,#REF!,$A$4,#REF!,2),SUMIFS(#REF!,#REF!,2))</f>
        <v>#REF!</v>
      </c>
      <c r="C11" s="247" t="e">
        <f xml:space="preserve">
IF($A$4&lt;=12,SUMIFS(#REF!,#REF!,$A$4,#REF!,2),SUMIFS(#REF!,#REF!,2))</f>
        <v>#REF!</v>
      </c>
      <c r="D11" s="248" t="e">
        <f xml:space="preserve">
IF($A$4&lt;=12,SUMIFS(#REF!,#REF!,$A$4,#REF!,2),SUMIFS(#REF!,#REF!,2))</f>
        <v>#REF!</v>
      </c>
      <c r="E11" s="248" t="e">
        <f xml:space="preserve">
IF($A$4&lt;=12,SUMIFS(#REF!,#REF!,$A$4,#REF!,2),SUMIFS(#REF!,#REF!,2))</f>
        <v>#REF!</v>
      </c>
      <c r="F11" s="248" t="e">
        <f xml:space="preserve">
IF($A$4&lt;=12,SUMIFS(#REF!,#REF!,$A$4,#REF!,2),SUMIFS(#REF!,#REF!,2))</f>
        <v>#REF!</v>
      </c>
      <c r="G11" s="248" t="e">
        <f xml:space="preserve">
IF($A$4&lt;=12,SUMIFS(#REF!,#REF!,$A$4,#REF!,2),SUMIFS(#REF!,#REF!,2))</f>
        <v>#REF!</v>
      </c>
      <c r="H11" s="248" t="e">
        <f xml:space="preserve">
IF($A$4&lt;=12,SUMIFS(#REF!,#REF!,$A$4,#REF!,2),SUMIFS(#REF!,#REF!,2))</f>
        <v>#REF!</v>
      </c>
      <c r="I11" s="248" t="e">
        <f xml:space="preserve">
IF($A$4&lt;=12,SUMIFS(#REF!,#REF!,$A$4,#REF!,2),SUMIFS(#REF!,#REF!,2))</f>
        <v>#REF!</v>
      </c>
      <c r="J11" s="248" t="e">
        <f xml:space="preserve">
IF($A$4&lt;=12,SUMIFS(#REF!,#REF!,$A$4,#REF!,2),SUMIFS(#REF!,#REF!,2))</f>
        <v>#REF!</v>
      </c>
      <c r="K11" s="248" t="e">
        <f xml:space="preserve">
IF($A$4&lt;=12,SUMIFS(#REF!,#REF!,$A$4,#REF!,2),SUMIFS(#REF!,#REF!,2))</f>
        <v>#REF!</v>
      </c>
      <c r="L11" s="248" t="e">
        <f xml:space="preserve">
IF($A$4&lt;=12,SUMIFS(#REF!,#REF!,$A$4,#REF!,2),SUMIFS(#REF!,#REF!,2))</f>
        <v>#REF!</v>
      </c>
      <c r="M11" s="248" t="e">
        <f xml:space="preserve">
IF($A$4&lt;=12,SUMIFS(#REF!,#REF!,$A$4,#REF!,2),SUMIFS(#REF!,#REF!,2))</f>
        <v>#REF!</v>
      </c>
      <c r="N11" s="248" t="e">
        <f xml:space="preserve">
IF($A$4&lt;=12,SUMIFS(#REF!,#REF!,$A$4,#REF!,2),SUMIFS(#REF!,#REF!,2))</f>
        <v>#REF!</v>
      </c>
      <c r="O11" s="248" t="e">
        <f xml:space="preserve">
IF($A$4&lt;=12,SUMIFS(#REF!,#REF!,$A$4,#REF!,2),SUMIFS(#REF!,#REF!,2))</f>
        <v>#REF!</v>
      </c>
      <c r="P11" s="248" t="e">
        <f xml:space="preserve">
IF($A$4&lt;=12,SUMIFS(#REF!,#REF!,$A$4,#REF!,2),SUMIFS(#REF!,#REF!,2))</f>
        <v>#REF!</v>
      </c>
      <c r="Q11" s="248" t="e">
        <f xml:space="preserve">
IF($A$4&lt;=12,SUMIFS(#REF!,#REF!,$A$4,#REF!,2),SUMIFS(#REF!,#REF!,2))</f>
        <v>#REF!</v>
      </c>
      <c r="R11" s="248" t="e">
        <f xml:space="preserve">
IF($A$4&lt;=12,SUMIFS(#REF!,#REF!,$A$4,#REF!,2),SUMIFS(#REF!,#REF!,2))</f>
        <v>#REF!</v>
      </c>
      <c r="S11" s="248" t="e">
        <f xml:space="preserve">
IF($A$4&lt;=12,SUMIFS(#REF!,#REF!,$A$4,#REF!,2),SUMIFS(#REF!,#REF!,2))</f>
        <v>#REF!</v>
      </c>
      <c r="T11" s="248" t="e">
        <f xml:space="preserve">
IF($A$4&lt;=12,SUMIFS(#REF!,#REF!,$A$4,#REF!,2),SUMIFS(#REF!,#REF!,2))</f>
        <v>#REF!</v>
      </c>
      <c r="U11" s="248" t="e">
        <f xml:space="preserve">
IF($A$4&lt;=12,SUMIFS(#REF!,#REF!,$A$4,#REF!,2),SUMIFS(#REF!,#REF!,2))</f>
        <v>#REF!</v>
      </c>
      <c r="V11" s="248" t="e">
        <f xml:space="preserve">
IF($A$4&lt;=12,SUMIFS(#REF!,#REF!,$A$4,#REF!,2),SUMIFS(#REF!,#REF!,2))</f>
        <v>#REF!</v>
      </c>
      <c r="W11" s="248" t="e">
        <f xml:space="preserve">
IF($A$4&lt;=12,SUMIFS(#REF!,#REF!,$A$4,#REF!,2),SUMIFS(#REF!,#REF!,2))</f>
        <v>#REF!</v>
      </c>
      <c r="X11" s="248" t="e">
        <f xml:space="preserve">
IF($A$4&lt;=12,SUMIFS(#REF!,#REF!,$A$4,#REF!,2),SUMIFS(#REF!,#REF!,2))</f>
        <v>#REF!</v>
      </c>
      <c r="Y11" s="248" t="e">
        <f xml:space="preserve">
IF($A$4&lt;=12,SUMIFS(#REF!,#REF!,$A$4,#REF!,2),SUMIFS(#REF!,#REF!,2))</f>
        <v>#REF!</v>
      </c>
      <c r="Z11" s="248" t="e">
        <f xml:space="preserve">
IF($A$4&lt;=12,SUMIFS(#REF!,#REF!,$A$4,#REF!,2),SUMIFS(#REF!,#REF!,2))</f>
        <v>#REF!</v>
      </c>
      <c r="AA11" s="248" t="e">
        <f xml:space="preserve">
IF($A$4&lt;=12,SUMIFS(#REF!,#REF!,$A$4,#REF!,2),SUMIFS(#REF!,#REF!,2))</f>
        <v>#REF!</v>
      </c>
      <c r="AB11" s="248" t="e">
        <f xml:space="preserve">
IF($A$4&lt;=12,SUMIFS(#REF!,#REF!,$A$4,#REF!,2),SUMIFS(#REF!,#REF!,2))</f>
        <v>#REF!</v>
      </c>
      <c r="AC11" s="248" t="e">
        <f xml:space="preserve">
IF($A$4&lt;=12,SUMIFS(#REF!,#REF!,$A$4,#REF!,2),SUMIFS(#REF!,#REF!,2))</f>
        <v>#REF!</v>
      </c>
      <c r="AD11" s="248" t="e">
        <f xml:space="preserve">
IF($A$4&lt;=12,SUMIFS(#REF!,#REF!,$A$4,#REF!,2),SUMIFS(#REF!,#REF!,2))</f>
        <v>#REF!</v>
      </c>
      <c r="AE11" s="248" t="e">
        <f xml:space="preserve">
IF($A$4&lt;=12,SUMIFS(#REF!,#REF!,$A$4,#REF!,2),SUMIFS(#REF!,#REF!,2))</f>
        <v>#REF!</v>
      </c>
      <c r="AF11" s="248" t="e">
        <f xml:space="preserve">
IF($A$4&lt;=12,SUMIFS(#REF!,#REF!,$A$4,#REF!,2),SUMIFS(#REF!,#REF!,2))</f>
        <v>#REF!</v>
      </c>
      <c r="AG11" s="248" t="e">
        <f xml:space="preserve">
IF($A$4&lt;=12,SUMIFS(#REF!,#REF!,$A$4,#REF!,2),SUMIFS(#REF!,#REF!,2))</f>
        <v>#REF!</v>
      </c>
      <c r="AH11" s="248" t="e">
        <f xml:space="preserve">
IF($A$4&lt;=12,SUMIFS(#REF!,#REF!,$A$4,#REF!,2),SUMIFS(#REF!,#REF!,2))</f>
        <v>#REF!</v>
      </c>
      <c r="AI11" s="248" t="e">
        <f xml:space="preserve">
IF($A$4&lt;=12,SUMIFS(#REF!,#REF!,$A$4,#REF!,2),SUMIFS(#REF!,#REF!,2))</f>
        <v>#REF!</v>
      </c>
      <c r="AJ11" s="249" t="e">
        <f xml:space="preserve">
IF($A$4&lt;=12,SUMIFS(#REF!,#REF!,$A$4,#REF!,2),SUMIFS(#REF!,#REF!,2))</f>
        <v>#REF!</v>
      </c>
    </row>
    <row r="12" spans="1:36" x14ac:dyDescent="0.3">
      <c r="A12" s="229" t="s">
        <v>177</v>
      </c>
      <c r="B12" s="246" t="e">
        <f xml:space="preserve">
IF($A$4&lt;=12,SUMIFS(#REF!,#REF!,$A$4,#REF!,3),SUMIFS(#REF!,#REF!,3))</f>
        <v>#REF!</v>
      </c>
      <c r="C12" s="247" t="e">
        <f xml:space="preserve">
IF($A$4&lt;=12,SUMIFS(#REF!,#REF!,$A$4,#REF!,3),SUMIFS(#REF!,#REF!,3))</f>
        <v>#REF!</v>
      </c>
      <c r="D12" s="248" t="e">
        <f xml:space="preserve">
IF($A$4&lt;=12,SUMIFS(#REF!,#REF!,$A$4,#REF!,3),SUMIFS(#REF!,#REF!,3))</f>
        <v>#REF!</v>
      </c>
      <c r="E12" s="248" t="e">
        <f xml:space="preserve">
IF($A$4&lt;=12,SUMIFS(#REF!,#REF!,$A$4,#REF!,3),SUMIFS(#REF!,#REF!,3))</f>
        <v>#REF!</v>
      </c>
      <c r="F12" s="248" t="e">
        <f xml:space="preserve">
IF($A$4&lt;=12,SUMIFS(#REF!,#REF!,$A$4,#REF!,3),SUMIFS(#REF!,#REF!,3))</f>
        <v>#REF!</v>
      </c>
      <c r="G12" s="248" t="e">
        <f xml:space="preserve">
IF($A$4&lt;=12,SUMIFS(#REF!,#REF!,$A$4,#REF!,3),SUMIFS(#REF!,#REF!,3))</f>
        <v>#REF!</v>
      </c>
      <c r="H12" s="248" t="e">
        <f xml:space="preserve">
IF($A$4&lt;=12,SUMIFS(#REF!,#REF!,$A$4,#REF!,3),SUMIFS(#REF!,#REF!,3))</f>
        <v>#REF!</v>
      </c>
      <c r="I12" s="248" t="e">
        <f xml:space="preserve">
IF($A$4&lt;=12,SUMIFS(#REF!,#REF!,$A$4,#REF!,3),SUMIFS(#REF!,#REF!,3))</f>
        <v>#REF!</v>
      </c>
      <c r="J12" s="248" t="e">
        <f xml:space="preserve">
IF($A$4&lt;=12,SUMIFS(#REF!,#REF!,$A$4,#REF!,3),SUMIFS(#REF!,#REF!,3))</f>
        <v>#REF!</v>
      </c>
      <c r="K12" s="248" t="e">
        <f xml:space="preserve">
IF($A$4&lt;=12,SUMIFS(#REF!,#REF!,$A$4,#REF!,3),SUMIFS(#REF!,#REF!,3))</f>
        <v>#REF!</v>
      </c>
      <c r="L12" s="248" t="e">
        <f xml:space="preserve">
IF($A$4&lt;=12,SUMIFS(#REF!,#REF!,$A$4,#REF!,3),SUMIFS(#REF!,#REF!,3))</f>
        <v>#REF!</v>
      </c>
      <c r="M12" s="248" t="e">
        <f xml:space="preserve">
IF($A$4&lt;=12,SUMIFS(#REF!,#REF!,$A$4,#REF!,3),SUMIFS(#REF!,#REF!,3))</f>
        <v>#REF!</v>
      </c>
      <c r="N12" s="248" t="e">
        <f xml:space="preserve">
IF($A$4&lt;=12,SUMIFS(#REF!,#REF!,$A$4,#REF!,3),SUMIFS(#REF!,#REF!,3))</f>
        <v>#REF!</v>
      </c>
      <c r="O12" s="248" t="e">
        <f xml:space="preserve">
IF($A$4&lt;=12,SUMIFS(#REF!,#REF!,$A$4,#REF!,3),SUMIFS(#REF!,#REF!,3))</f>
        <v>#REF!</v>
      </c>
      <c r="P12" s="248" t="e">
        <f xml:space="preserve">
IF($A$4&lt;=12,SUMIFS(#REF!,#REF!,$A$4,#REF!,3),SUMIFS(#REF!,#REF!,3))</f>
        <v>#REF!</v>
      </c>
      <c r="Q12" s="248" t="e">
        <f xml:space="preserve">
IF($A$4&lt;=12,SUMIFS(#REF!,#REF!,$A$4,#REF!,3),SUMIFS(#REF!,#REF!,3))</f>
        <v>#REF!</v>
      </c>
      <c r="R12" s="248" t="e">
        <f xml:space="preserve">
IF($A$4&lt;=12,SUMIFS(#REF!,#REF!,$A$4,#REF!,3),SUMIFS(#REF!,#REF!,3))</f>
        <v>#REF!</v>
      </c>
      <c r="S12" s="248" t="e">
        <f xml:space="preserve">
IF($A$4&lt;=12,SUMIFS(#REF!,#REF!,$A$4,#REF!,3),SUMIFS(#REF!,#REF!,3))</f>
        <v>#REF!</v>
      </c>
      <c r="T12" s="248" t="e">
        <f xml:space="preserve">
IF($A$4&lt;=12,SUMIFS(#REF!,#REF!,$A$4,#REF!,3),SUMIFS(#REF!,#REF!,3))</f>
        <v>#REF!</v>
      </c>
      <c r="U12" s="248" t="e">
        <f xml:space="preserve">
IF($A$4&lt;=12,SUMIFS(#REF!,#REF!,$A$4,#REF!,3),SUMIFS(#REF!,#REF!,3))</f>
        <v>#REF!</v>
      </c>
      <c r="V12" s="248" t="e">
        <f xml:space="preserve">
IF($A$4&lt;=12,SUMIFS(#REF!,#REF!,$A$4,#REF!,3),SUMIFS(#REF!,#REF!,3))</f>
        <v>#REF!</v>
      </c>
      <c r="W12" s="248" t="e">
        <f xml:space="preserve">
IF($A$4&lt;=12,SUMIFS(#REF!,#REF!,$A$4,#REF!,3),SUMIFS(#REF!,#REF!,3))</f>
        <v>#REF!</v>
      </c>
      <c r="X12" s="248" t="e">
        <f xml:space="preserve">
IF($A$4&lt;=12,SUMIFS(#REF!,#REF!,$A$4,#REF!,3),SUMIFS(#REF!,#REF!,3))</f>
        <v>#REF!</v>
      </c>
      <c r="Y12" s="248" t="e">
        <f xml:space="preserve">
IF($A$4&lt;=12,SUMIFS(#REF!,#REF!,$A$4,#REF!,3),SUMIFS(#REF!,#REF!,3))</f>
        <v>#REF!</v>
      </c>
      <c r="Z12" s="248" t="e">
        <f xml:space="preserve">
IF($A$4&lt;=12,SUMIFS(#REF!,#REF!,$A$4,#REF!,3),SUMIFS(#REF!,#REF!,3))</f>
        <v>#REF!</v>
      </c>
      <c r="AA12" s="248" t="e">
        <f xml:space="preserve">
IF($A$4&lt;=12,SUMIFS(#REF!,#REF!,$A$4,#REF!,3),SUMIFS(#REF!,#REF!,3))</f>
        <v>#REF!</v>
      </c>
      <c r="AB12" s="248" t="e">
        <f xml:space="preserve">
IF($A$4&lt;=12,SUMIFS(#REF!,#REF!,$A$4,#REF!,3),SUMIFS(#REF!,#REF!,3))</f>
        <v>#REF!</v>
      </c>
      <c r="AC12" s="248" t="e">
        <f xml:space="preserve">
IF($A$4&lt;=12,SUMIFS(#REF!,#REF!,$A$4,#REF!,3),SUMIFS(#REF!,#REF!,3))</f>
        <v>#REF!</v>
      </c>
      <c r="AD12" s="248" t="e">
        <f xml:space="preserve">
IF($A$4&lt;=12,SUMIFS(#REF!,#REF!,$A$4,#REF!,3),SUMIFS(#REF!,#REF!,3))</f>
        <v>#REF!</v>
      </c>
      <c r="AE12" s="248" t="e">
        <f xml:space="preserve">
IF($A$4&lt;=12,SUMIFS(#REF!,#REF!,$A$4,#REF!,3),SUMIFS(#REF!,#REF!,3))</f>
        <v>#REF!</v>
      </c>
      <c r="AF12" s="248" t="e">
        <f xml:space="preserve">
IF($A$4&lt;=12,SUMIFS(#REF!,#REF!,$A$4,#REF!,3),SUMIFS(#REF!,#REF!,3))</f>
        <v>#REF!</v>
      </c>
      <c r="AG12" s="248" t="e">
        <f xml:space="preserve">
IF($A$4&lt;=12,SUMIFS(#REF!,#REF!,$A$4,#REF!,3),SUMIFS(#REF!,#REF!,3))</f>
        <v>#REF!</v>
      </c>
      <c r="AH12" s="248" t="e">
        <f xml:space="preserve">
IF($A$4&lt;=12,SUMIFS(#REF!,#REF!,$A$4,#REF!,3),SUMIFS(#REF!,#REF!,3))</f>
        <v>#REF!</v>
      </c>
      <c r="AI12" s="248" t="e">
        <f xml:space="preserve">
IF($A$4&lt;=12,SUMIFS(#REF!,#REF!,$A$4,#REF!,3),SUMIFS(#REF!,#REF!,3))</f>
        <v>#REF!</v>
      </c>
      <c r="AJ12" s="249" t="e">
        <f xml:space="preserve">
IF($A$4&lt;=12,SUMIFS(#REF!,#REF!,$A$4,#REF!,3),SUMIFS(#REF!,#REF!,3))</f>
        <v>#REF!</v>
      </c>
    </row>
    <row r="13" spans="1:36" x14ac:dyDescent="0.3">
      <c r="A13" s="229" t="s">
        <v>184</v>
      </c>
      <c r="B13" s="246" t="e">
        <f xml:space="preserve">
IF($A$4&lt;=12,SUMIFS(#REF!,#REF!,$A$4,#REF!,4),SUMIFS(#REF!,#REF!,4))</f>
        <v>#REF!</v>
      </c>
      <c r="C13" s="247" t="e">
        <f xml:space="preserve">
IF($A$4&lt;=12,SUMIFS(#REF!,#REF!,$A$4,#REF!,4),SUMIFS(#REF!,#REF!,4))</f>
        <v>#REF!</v>
      </c>
      <c r="D13" s="248" t="e">
        <f xml:space="preserve">
IF($A$4&lt;=12,SUMIFS(#REF!,#REF!,$A$4,#REF!,4),SUMIFS(#REF!,#REF!,4))</f>
        <v>#REF!</v>
      </c>
      <c r="E13" s="248" t="e">
        <f xml:space="preserve">
IF($A$4&lt;=12,SUMIFS(#REF!,#REF!,$A$4,#REF!,4),SUMIFS(#REF!,#REF!,4))</f>
        <v>#REF!</v>
      </c>
      <c r="F13" s="248" t="e">
        <f xml:space="preserve">
IF($A$4&lt;=12,SUMIFS(#REF!,#REF!,$A$4,#REF!,4),SUMIFS(#REF!,#REF!,4))</f>
        <v>#REF!</v>
      </c>
      <c r="G13" s="248" t="e">
        <f xml:space="preserve">
IF($A$4&lt;=12,SUMIFS(#REF!,#REF!,$A$4,#REF!,4),SUMIFS(#REF!,#REF!,4))</f>
        <v>#REF!</v>
      </c>
      <c r="H13" s="248" t="e">
        <f xml:space="preserve">
IF($A$4&lt;=12,SUMIFS(#REF!,#REF!,$A$4,#REF!,4),SUMIFS(#REF!,#REF!,4))</f>
        <v>#REF!</v>
      </c>
      <c r="I13" s="248" t="e">
        <f xml:space="preserve">
IF($A$4&lt;=12,SUMIFS(#REF!,#REF!,$A$4,#REF!,4),SUMIFS(#REF!,#REF!,4))</f>
        <v>#REF!</v>
      </c>
      <c r="J13" s="248" t="e">
        <f xml:space="preserve">
IF($A$4&lt;=12,SUMIFS(#REF!,#REF!,$A$4,#REF!,4),SUMIFS(#REF!,#REF!,4))</f>
        <v>#REF!</v>
      </c>
      <c r="K13" s="248" t="e">
        <f xml:space="preserve">
IF($A$4&lt;=12,SUMIFS(#REF!,#REF!,$A$4,#REF!,4),SUMIFS(#REF!,#REF!,4))</f>
        <v>#REF!</v>
      </c>
      <c r="L13" s="248" t="e">
        <f xml:space="preserve">
IF($A$4&lt;=12,SUMIFS(#REF!,#REF!,$A$4,#REF!,4),SUMIFS(#REF!,#REF!,4))</f>
        <v>#REF!</v>
      </c>
      <c r="M13" s="248" t="e">
        <f xml:space="preserve">
IF($A$4&lt;=12,SUMIFS(#REF!,#REF!,$A$4,#REF!,4),SUMIFS(#REF!,#REF!,4))</f>
        <v>#REF!</v>
      </c>
      <c r="N13" s="248" t="e">
        <f xml:space="preserve">
IF($A$4&lt;=12,SUMIFS(#REF!,#REF!,$A$4,#REF!,4),SUMIFS(#REF!,#REF!,4))</f>
        <v>#REF!</v>
      </c>
      <c r="O13" s="248" t="e">
        <f xml:space="preserve">
IF($A$4&lt;=12,SUMIFS(#REF!,#REF!,$A$4,#REF!,4),SUMIFS(#REF!,#REF!,4))</f>
        <v>#REF!</v>
      </c>
      <c r="P13" s="248" t="e">
        <f xml:space="preserve">
IF($A$4&lt;=12,SUMIFS(#REF!,#REF!,$A$4,#REF!,4),SUMIFS(#REF!,#REF!,4))</f>
        <v>#REF!</v>
      </c>
      <c r="Q13" s="248" t="e">
        <f xml:space="preserve">
IF($A$4&lt;=12,SUMIFS(#REF!,#REF!,$A$4,#REF!,4),SUMIFS(#REF!,#REF!,4))</f>
        <v>#REF!</v>
      </c>
      <c r="R13" s="248" t="e">
        <f xml:space="preserve">
IF($A$4&lt;=12,SUMIFS(#REF!,#REF!,$A$4,#REF!,4),SUMIFS(#REF!,#REF!,4))</f>
        <v>#REF!</v>
      </c>
      <c r="S13" s="248" t="e">
        <f xml:space="preserve">
IF($A$4&lt;=12,SUMIFS(#REF!,#REF!,$A$4,#REF!,4),SUMIFS(#REF!,#REF!,4))</f>
        <v>#REF!</v>
      </c>
      <c r="T13" s="248" t="e">
        <f xml:space="preserve">
IF($A$4&lt;=12,SUMIFS(#REF!,#REF!,$A$4,#REF!,4),SUMIFS(#REF!,#REF!,4))</f>
        <v>#REF!</v>
      </c>
      <c r="U13" s="248" t="e">
        <f xml:space="preserve">
IF($A$4&lt;=12,SUMIFS(#REF!,#REF!,$A$4,#REF!,4),SUMIFS(#REF!,#REF!,4))</f>
        <v>#REF!</v>
      </c>
      <c r="V13" s="248" t="e">
        <f xml:space="preserve">
IF($A$4&lt;=12,SUMIFS(#REF!,#REF!,$A$4,#REF!,4),SUMIFS(#REF!,#REF!,4))</f>
        <v>#REF!</v>
      </c>
      <c r="W13" s="248" t="e">
        <f xml:space="preserve">
IF($A$4&lt;=12,SUMIFS(#REF!,#REF!,$A$4,#REF!,4),SUMIFS(#REF!,#REF!,4))</f>
        <v>#REF!</v>
      </c>
      <c r="X13" s="248" t="e">
        <f xml:space="preserve">
IF($A$4&lt;=12,SUMIFS(#REF!,#REF!,$A$4,#REF!,4),SUMIFS(#REF!,#REF!,4))</f>
        <v>#REF!</v>
      </c>
      <c r="Y13" s="248" t="e">
        <f xml:space="preserve">
IF($A$4&lt;=12,SUMIFS(#REF!,#REF!,$A$4,#REF!,4),SUMIFS(#REF!,#REF!,4))</f>
        <v>#REF!</v>
      </c>
      <c r="Z13" s="248" t="e">
        <f xml:space="preserve">
IF($A$4&lt;=12,SUMIFS(#REF!,#REF!,$A$4,#REF!,4),SUMIFS(#REF!,#REF!,4))</f>
        <v>#REF!</v>
      </c>
      <c r="AA13" s="248" t="e">
        <f xml:space="preserve">
IF($A$4&lt;=12,SUMIFS(#REF!,#REF!,$A$4,#REF!,4),SUMIFS(#REF!,#REF!,4))</f>
        <v>#REF!</v>
      </c>
      <c r="AB13" s="248" t="e">
        <f xml:space="preserve">
IF($A$4&lt;=12,SUMIFS(#REF!,#REF!,$A$4,#REF!,4),SUMIFS(#REF!,#REF!,4))</f>
        <v>#REF!</v>
      </c>
      <c r="AC13" s="248" t="e">
        <f xml:space="preserve">
IF($A$4&lt;=12,SUMIFS(#REF!,#REF!,$A$4,#REF!,4),SUMIFS(#REF!,#REF!,4))</f>
        <v>#REF!</v>
      </c>
      <c r="AD13" s="248" t="e">
        <f xml:space="preserve">
IF($A$4&lt;=12,SUMIFS(#REF!,#REF!,$A$4,#REF!,4),SUMIFS(#REF!,#REF!,4))</f>
        <v>#REF!</v>
      </c>
      <c r="AE13" s="248" t="e">
        <f xml:space="preserve">
IF($A$4&lt;=12,SUMIFS(#REF!,#REF!,$A$4,#REF!,4),SUMIFS(#REF!,#REF!,4))</f>
        <v>#REF!</v>
      </c>
      <c r="AF13" s="248" t="e">
        <f xml:space="preserve">
IF($A$4&lt;=12,SUMIFS(#REF!,#REF!,$A$4,#REF!,4),SUMIFS(#REF!,#REF!,4))</f>
        <v>#REF!</v>
      </c>
      <c r="AG13" s="248" t="e">
        <f xml:space="preserve">
IF($A$4&lt;=12,SUMIFS(#REF!,#REF!,$A$4,#REF!,4),SUMIFS(#REF!,#REF!,4))</f>
        <v>#REF!</v>
      </c>
      <c r="AH13" s="248" t="e">
        <f xml:space="preserve">
IF($A$4&lt;=12,SUMIFS(#REF!,#REF!,$A$4,#REF!,4),SUMIFS(#REF!,#REF!,4))</f>
        <v>#REF!</v>
      </c>
      <c r="AI13" s="248" t="e">
        <f xml:space="preserve">
IF($A$4&lt;=12,SUMIFS(#REF!,#REF!,$A$4,#REF!,4),SUMIFS(#REF!,#REF!,4))</f>
        <v>#REF!</v>
      </c>
      <c r="AJ13" s="249" t="e">
        <f xml:space="preserve">
IF($A$4&lt;=12,SUMIFS(#REF!,#REF!,$A$4,#REF!,4),SUMIFS(#REF!,#REF!,4))</f>
        <v>#REF!</v>
      </c>
    </row>
    <row r="14" spans="1:36" ht="15" thickBot="1" x14ac:dyDescent="0.35">
      <c r="A14" s="230" t="s">
        <v>178</v>
      </c>
      <c r="B14" s="250" t="e">
        <f xml:space="preserve">
IF($A$4&lt;=12,SUMIFS(#REF!,#REF!,$A$4,#REF!,5),SUMIFS(#REF!,#REF!,5))</f>
        <v>#REF!</v>
      </c>
      <c r="C14" s="251" t="e">
        <f xml:space="preserve">
IF($A$4&lt;=12,SUMIFS(#REF!,#REF!,$A$4,#REF!,5),SUMIFS(#REF!,#REF!,5))</f>
        <v>#REF!</v>
      </c>
      <c r="D14" s="252" t="e">
        <f xml:space="preserve">
IF($A$4&lt;=12,SUMIFS(#REF!,#REF!,$A$4,#REF!,5),SUMIFS(#REF!,#REF!,5))</f>
        <v>#REF!</v>
      </c>
      <c r="E14" s="252" t="e">
        <f xml:space="preserve">
IF($A$4&lt;=12,SUMIFS(#REF!,#REF!,$A$4,#REF!,5),SUMIFS(#REF!,#REF!,5))</f>
        <v>#REF!</v>
      </c>
      <c r="F14" s="252" t="e">
        <f xml:space="preserve">
IF($A$4&lt;=12,SUMIFS(#REF!,#REF!,$A$4,#REF!,5),SUMIFS(#REF!,#REF!,5))</f>
        <v>#REF!</v>
      </c>
      <c r="G14" s="252" t="e">
        <f xml:space="preserve">
IF($A$4&lt;=12,SUMIFS(#REF!,#REF!,$A$4,#REF!,5),SUMIFS(#REF!,#REF!,5))</f>
        <v>#REF!</v>
      </c>
      <c r="H14" s="252" t="e">
        <f xml:space="preserve">
IF($A$4&lt;=12,SUMIFS(#REF!,#REF!,$A$4,#REF!,5),SUMIFS(#REF!,#REF!,5))</f>
        <v>#REF!</v>
      </c>
      <c r="I14" s="252" t="e">
        <f xml:space="preserve">
IF($A$4&lt;=12,SUMIFS(#REF!,#REF!,$A$4,#REF!,5),SUMIFS(#REF!,#REF!,5))</f>
        <v>#REF!</v>
      </c>
      <c r="J14" s="252" t="e">
        <f xml:space="preserve">
IF($A$4&lt;=12,SUMIFS(#REF!,#REF!,$A$4,#REF!,5),SUMIFS(#REF!,#REF!,5))</f>
        <v>#REF!</v>
      </c>
      <c r="K14" s="252" t="e">
        <f xml:space="preserve">
IF($A$4&lt;=12,SUMIFS(#REF!,#REF!,$A$4,#REF!,5),SUMIFS(#REF!,#REF!,5))</f>
        <v>#REF!</v>
      </c>
      <c r="L14" s="252" t="e">
        <f xml:space="preserve">
IF($A$4&lt;=12,SUMIFS(#REF!,#REF!,$A$4,#REF!,5),SUMIFS(#REF!,#REF!,5))</f>
        <v>#REF!</v>
      </c>
      <c r="M14" s="252" t="e">
        <f xml:space="preserve">
IF($A$4&lt;=12,SUMIFS(#REF!,#REF!,$A$4,#REF!,5),SUMIFS(#REF!,#REF!,5))</f>
        <v>#REF!</v>
      </c>
      <c r="N14" s="252" t="e">
        <f xml:space="preserve">
IF($A$4&lt;=12,SUMIFS(#REF!,#REF!,$A$4,#REF!,5),SUMIFS(#REF!,#REF!,5))</f>
        <v>#REF!</v>
      </c>
      <c r="O14" s="252" t="e">
        <f xml:space="preserve">
IF($A$4&lt;=12,SUMIFS(#REF!,#REF!,$A$4,#REF!,5),SUMIFS(#REF!,#REF!,5))</f>
        <v>#REF!</v>
      </c>
      <c r="P14" s="252" t="e">
        <f xml:space="preserve">
IF($A$4&lt;=12,SUMIFS(#REF!,#REF!,$A$4,#REF!,5),SUMIFS(#REF!,#REF!,5))</f>
        <v>#REF!</v>
      </c>
      <c r="Q14" s="252" t="e">
        <f xml:space="preserve">
IF($A$4&lt;=12,SUMIFS(#REF!,#REF!,$A$4,#REF!,5),SUMIFS(#REF!,#REF!,5))</f>
        <v>#REF!</v>
      </c>
      <c r="R14" s="252" t="e">
        <f xml:space="preserve">
IF($A$4&lt;=12,SUMIFS(#REF!,#REF!,$A$4,#REF!,5),SUMIFS(#REF!,#REF!,5))</f>
        <v>#REF!</v>
      </c>
      <c r="S14" s="252" t="e">
        <f xml:space="preserve">
IF($A$4&lt;=12,SUMIFS(#REF!,#REF!,$A$4,#REF!,5),SUMIFS(#REF!,#REF!,5))</f>
        <v>#REF!</v>
      </c>
      <c r="T14" s="252" t="e">
        <f xml:space="preserve">
IF($A$4&lt;=12,SUMIFS(#REF!,#REF!,$A$4,#REF!,5),SUMIFS(#REF!,#REF!,5))</f>
        <v>#REF!</v>
      </c>
      <c r="U14" s="252" t="e">
        <f xml:space="preserve">
IF($A$4&lt;=12,SUMIFS(#REF!,#REF!,$A$4,#REF!,5),SUMIFS(#REF!,#REF!,5))</f>
        <v>#REF!</v>
      </c>
      <c r="V14" s="252" t="e">
        <f xml:space="preserve">
IF($A$4&lt;=12,SUMIFS(#REF!,#REF!,$A$4,#REF!,5),SUMIFS(#REF!,#REF!,5))</f>
        <v>#REF!</v>
      </c>
      <c r="W14" s="252" t="e">
        <f xml:space="preserve">
IF($A$4&lt;=12,SUMIFS(#REF!,#REF!,$A$4,#REF!,5),SUMIFS(#REF!,#REF!,5))</f>
        <v>#REF!</v>
      </c>
      <c r="X14" s="252" t="e">
        <f xml:space="preserve">
IF($A$4&lt;=12,SUMIFS(#REF!,#REF!,$A$4,#REF!,5),SUMIFS(#REF!,#REF!,5))</f>
        <v>#REF!</v>
      </c>
      <c r="Y14" s="252" t="e">
        <f xml:space="preserve">
IF($A$4&lt;=12,SUMIFS(#REF!,#REF!,$A$4,#REF!,5),SUMIFS(#REF!,#REF!,5))</f>
        <v>#REF!</v>
      </c>
      <c r="Z14" s="252" t="e">
        <f xml:space="preserve">
IF($A$4&lt;=12,SUMIFS(#REF!,#REF!,$A$4,#REF!,5),SUMIFS(#REF!,#REF!,5))</f>
        <v>#REF!</v>
      </c>
      <c r="AA14" s="252" t="e">
        <f xml:space="preserve">
IF($A$4&lt;=12,SUMIFS(#REF!,#REF!,$A$4,#REF!,5),SUMIFS(#REF!,#REF!,5))</f>
        <v>#REF!</v>
      </c>
      <c r="AB14" s="252" t="e">
        <f xml:space="preserve">
IF($A$4&lt;=12,SUMIFS(#REF!,#REF!,$A$4,#REF!,5),SUMIFS(#REF!,#REF!,5))</f>
        <v>#REF!</v>
      </c>
      <c r="AC14" s="252" t="e">
        <f xml:space="preserve">
IF($A$4&lt;=12,SUMIFS(#REF!,#REF!,$A$4,#REF!,5),SUMIFS(#REF!,#REF!,5))</f>
        <v>#REF!</v>
      </c>
      <c r="AD14" s="252" t="e">
        <f xml:space="preserve">
IF($A$4&lt;=12,SUMIFS(#REF!,#REF!,$A$4,#REF!,5),SUMIFS(#REF!,#REF!,5))</f>
        <v>#REF!</v>
      </c>
      <c r="AE14" s="252" t="e">
        <f xml:space="preserve">
IF($A$4&lt;=12,SUMIFS(#REF!,#REF!,$A$4,#REF!,5),SUMIFS(#REF!,#REF!,5))</f>
        <v>#REF!</v>
      </c>
      <c r="AF14" s="252" t="e">
        <f xml:space="preserve">
IF($A$4&lt;=12,SUMIFS(#REF!,#REF!,$A$4,#REF!,5),SUMIFS(#REF!,#REF!,5))</f>
        <v>#REF!</v>
      </c>
      <c r="AG14" s="252" t="e">
        <f xml:space="preserve">
IF($A$4&lt;=12,SUMIFS(#REF!,#REF!,$A$4,#REF!,5),SUMIFS(#REF!,#REF!,5))</f>
        <v>#REF!</v>
      </c>
      <c r="AH14" s="252" t="e">
        <f xml:space="preserve">
IF($A$4&lt;=12,SUMIFS(#REF!,#REF!,$A$4,#REF!,5),SUMIFS(#REF!,#REF!,5))</f>
        <v>#REF!</v>
      </c>
      <c r="AI14" s="252" t="e">
        <f xml:space="preserve">
IF($A$4&lt;=12,SUMIFS(#REF!,#REF!,$A$4,#REF!,5),SUMIFS(#REF!,#REF!,5))</f>
        <v>#REF!</v>
      </c>
      <c r="AJ14" s="253" t="e">
        <f xml:space="preserve">
IF($A$4&lt;=12,SUMIFS(#REF!,#REF!,$A$4,#REF!,5),SUMIFS(#REF!,#REF!,5))</f>
        <v>#REF!</v>
      </c>
    </row>
    <row r="15" spans="1:36" x14ac:dyDescent="0.3">
      <c r="A15" s="153" t="s">
        <v>188</v>
      </c>
      <c r="B15" s="254"/>
      <c r="C15" s="255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7"/>
    </row>
    <row r="16" spans="1:36" x14ac:dyDescent="0.3">
      <c r="A16" s="231" t="s">
        <v>179</v>
      </c>
      <c r="B16" s="246" t="e">
        <f xml:space="preserve">
IF($A$4&lt;=12,SUMIFS(#REF!,#REF!,$A$4,#REF!,7),SUMIFS(#REF!,#REF!,7))</f>
        <v>#REF!</v>
      </c>
      <c r="C16" s="247" t="e">
        <f xml:space="preserve">
IF($A$4&lt;=12,SUMIFS(#REF!,#REF!,$A$4,#REF!,7),SUMIFS(#REF!,#REF!,7))</f>
        <v>#REF!</v>
      </c>
      <c r="D16" s="248" t="e">
        <f xml:space="preserve">
IF($A$4&lt;=12,SUMIFS(#REF!,#REF!,$A$4,#REF!,7),SUMIFS(#REF!,#REF!,7))</f>
        <v>#REF!</v>
      </c>
      <c r="E16" s="248" t="e">
        <f xml:space="preserve">
IF($A$4&lt;=12,SUMIFS(#REF!,#REF!,$A$4,#REF!,7),SUMIFS(#REF!,#REF!,7))</f>
        <v>#REF!</v>
      </c>
      <c r="F16" s="248" t="e">
        <f xml:space="preserve">
IF($A$4&lt;=12,SUMIFS(#REF!,#REF!,$A$4,#REF!,7),SUMIFS(#REF!,#REF!,7))</f>
        <v>#REF!</v>
      </c>
      <c r="G16" s="248" t="e">
        <f xml:space="preserve">
IF($A$4&lt;=12,SUMIFS(#REF!,#REF!,$A$4,#REF!,7),SUMIFS(#REF!,#REF!,7))</f>
        <v>#REF!</v>
      </c>
      <c r="H16" s="248" t="e">
        <f xml:space="preserve">
IF($A$4&lt;=12,SUMIFS(#REF!,#REF!,$A$4,#REF!,7),SUMIFS(#REF!,#REF!,7))</f>
        <v>#REF!</v>
      </c>
      <c r="I16" s="248" t="e">
        <f xml:space="preserve">
IF($A$4&lt;=12,SUMIFS(#REF!,#REF!,$A$4,#REF!,7),SUMIFS(#REF!,#REF!,7))</f>
        <v>#REF!</v>
      </c>
      <c r="J16" s="248" t="e">
        <f xml:space="preserve">
IF($A$4&lt;=12,SUMIFS(#REF!,#REF!,$A$4,#REF!,7),SUMIFS(#REF!,#REF!,7))</f>
        <v>#REF!</v>
      </c>
      <c r="K16" s="248" t="e">
        <f xml:space="preserve">
IF($A$4&lt;=12,SUMIFS(#REF!,#REF!,$A$4,#REF!,7),SUMIFS(#REF!,#REF!,7))</f>
        <v>#REF!</v>
      </c>
      <c r="L16" s="248" t="e">
        <f xml:space="preserve">
IF($A$4&lt;=12,SUMIFS(#REF!,#REF!,$A$4,#REF!,7),SUMIFS(#REF!,#REF!,7))</f>
        <v>#REF!</v>
      </c>
      <c r="M16" s="248" t="e">
        <f xml:space="preserve">
IF($A$4&lt;=12,SUMIFS(#REF!,#REF!,$A$4,#REF!,7),SUMIFS(#REF!,#REF!,7))</f>
        <v>#REF!</v>
      </c>
      <c r="N16" s="248" t="e">
        <f xml:space="preserve">
IF($A$4&lt;=12,SUMIFS(#REF!,#REF!,$A$4,#REF!,7),SUMIFS(#REF!,#REF!,7))</f>
        <v>#REF!</v>
      </c>
      <c r="O16" s="248" t="e">
        <f xml:space="preserve">
IF($A$4&lt;=12,SUMIFS(#REF!,#REF!,$A$4,#REF!,7),SUMIFS(#REF!,#REF!,7))</f>
        <v>#REF!</v>
      </c>
      <c r="P16" s="248" t="e">
        <f xml:space="preserve">
IF($A$4&lt;=12,SUMIFS(#REF!,#REF!,$A$4,#REF!,7),SUMIFS(#REF!,#REF!,7))</f>
        <v>#REF!</v>
      </c>
      <c r="Q16" s="248" t="e">
        <f xml:space="preserve">
IF($A$4&lt;=12,SUMIFS(#REF!,#REF!,$A$4,#REF!,7),SUMIFS(#REF!,#REF!,7))</f>
        <v>#REF!</v>
      </c>
      <c r="R16" s="248" t="e">
        <f xml:space="preserve">
IF($A$4&lt;=12,SUMIFS(#REF!,#REF!,$A$4,#REF!,7),SUMIFS(#REF!,#REF!,7))</f>
        <v>#REF!</v>
      </c>
      <c r="S16" s="248" t="e">
        <f xml:space="preserve">
IF($A$4&lt;=12,SUMIFS(#REF!,#REF!,$A$4,#REF!,7),SUMIFS(#REF!,#REF!,7))</f>
        <v>#REF!</v>
      </c>
      <c r="T16" s="248" t="e">
        <f xml:space="preserve">
IF($A$4&lt;=12,SUMIFS(#REF!,#REF!,$A$4,#REF!,7),SUMIFS(#REF!,#REF!,7))</f>
        <v>#REF!</v>
      </c>
      <c r="U16" s="248" t="e">
        <f xml:space="preserve">
IF($A$4&lt;=12,SUMIFS(#REF!,#REF!,$A$4,#REF!,7),SUMIFS(#REF!,#REF!,7))</f>
        <v>#REF!</v>
      </c>
      <c r="V16" s="248" t="e">
        <f xml:space="preserve">
IF($A$4&lt;=12,SUMIFS(#REF!,#REF!,$A$4,#REF!,7),SUMIFS(#REF!,#REF!,7))</f>
        <v>#REF!</v>
      </c>
      <c r="W16" s="248" t="e">
        <f xml:space="preserve">
IF($A$4&lt;=12,SUMIFS(#REF!,#REF!,$A$4,#REF!,7),SUMIFS(#REF!,#REF!,7))</f>
        <v>#REF!</v>
      </c>
      <c r="X16" s="248" t="e">
        <f xml:space="preserve">
IF($A$4&lt;=12,SUMIFS(#REF!,#REF!,$A$4,#REF!,7),SUMIFS(#REF!,#REF!,7))</f>
        <v>#REF!</v>
      </c>
      <c r="Y16" s="248" t="e">
        <f xml:space="preserve">
IF($A$4&lt;=12,SUMIFS(#REF!,#REF!,$A$4,#REF!,7),SUMIFS(#REF!,#REF!,7))</f>
        <v>#REF!</v>
      </c>
      <c r="Z16" s="248" t="e">
        <f xml:space="preserve">
IF($A$4&lt;=12,SUMIFS(#REF!,#REF!,$A$4,#REF!,7),SUMIFS(#REF!,#REF!,7))</f>
        <v>#REF!</v>
      </c>
      <c r="AA16" s="248" t="e">
        <f xml:space="preserve">
IF($A$4&lt;=12,SUMIFS(#REF!,#REF!,$A$4,#REF!,7),SUMIFS(#REF!,#REF!,7))</f>
        <v>#REF!</v>
      </c>
      <c r="AB16" s="248" t="e">
        <f xml:space="preserve">
IF($A$4&lt;=12,SUMIFS(#REF!,#REF!,$A$4,#REF!,7),SUMIFS(#REF!,#REF!,7))</f>
        <v>#REF!</v>
      </c>
      <c r="AC16" s="248" t="e">
        <f xml:space="preserve">
IF($A$4&lt;=12,SUMIFS(#REF!,#REF!,$A$4,#REF!,7),SUMIFS(#REF!,#REF!,7))</f>
        <v>#REF!</v>
      </c>
      <c r="AD16" s="248" t="e">
        <f xml:space="preserve">
IF($A$4&lt;=12,SUMIFS(#REF!,#REF!,$A$4,#REF!,7),SUMIFS(#REF!,#REF!,7))</f>
        <v>#REF!</v>
      </c>
      <c r="AE16" s="248" t="e">
        <f xml:space="preserve">
IF($A$4&lt;=12,SUMIFS(#REF!,#REF!,$A$4,#REF!,7),SUMIFS(#REF!,#REF!,7))</f>
        <v>#REF!</v>
      </c>
      <c r="AF16" s="248" t="e">
        <f xml:space="preserve">
IF($A$4&lt;=12,SUMIFS(#REF!,#REF!,$A$4,#REF!,7),SUMIFS(#REF!,#REF!,7))</f>
        <v>#REF!</v>
      </c>
      <c r="AG16" s="248" t="e">
        <f xml:space="preserve">
IF($A$4&lt;=12,SUMIFS(#REF!,#REF!,$A$4,#REF!,7),SUMIFS(#REF!,#REF!,7))</f>
        <v>#REF!</v>
      </c>
      <c r="AH16" s="248" t="e">
        <f xml:space="preserve">
IF($A$4&lt;=12,SUMIFS(#REF!,#REF!,$A$4,#REF!,7),SUMIFS(#REF!,#REF!,7))</f>
        <v>#REF!</v>
      </c>
      <c r="AI16" s="248" t="e">
        <f xml:space="preserve">
IF($A$4&lt;=12,SUMIFS(#REF!,#REF!,$A$4,#REF!,7),SUMIFS(#REF!,#REF!,7))</f>
        <v>#REF!</v>
      </c>
      <c r="AJ16" s="249" t="e">
        <f xml:space="preserve">
IF($A$4&lt;=12,SUMIFS(#REF!,#REF!,$A$4,#REF!,7),SUMIFS(#REF!,#REF!,7))</f>
        <v>#REF!</v>
      </c>
    </row>
    <row r="17" spans="1:36" x14ac:dyDescent="0.3">
      <c r="A17" s="231" t="s">
        <v>180</v>
      </c>
      <c r="B17" s="246" t="e">
        <f xml:space="preserve">
IF($A$4&lt;=12,SUMIFS(#REF!,#REF!,$A$4,#REF!,8),SUMIFS(#REF!,#REF!,8))</f>
        <v>#REF!</v>
      </c>
      <c r="C17" s="247" t="e">
        <f xml:space="preserve">
IF($A$4&lt;=12,SUMIFS(#REF!,#REF!,$A$4,#REF!,8),SUMIFS(#REF!,#REF!,8))</f>
        <v>#REF!</v>
      </c>
      <c r="D17" s="248" t="e">
        <f xml:space="preserve">
IF($A$4&lt;=12,SUMIFS(#REF!,#REF!,$A$4,#REF!,8),SUMIFS(#REF!,#REF!,8))</f>
        <v>#REF!</v>
      </c>
      <c r="E17" s="248" t="e">
        <f xml:space="preserve">
IF($A$4&lt;=12,SUMIFS(#REF!,#REF!,$A$4,#REF!,8),SUMIFS(#REF!,#REF!,8))</f>
        <v>#REF!</v>
      </c>
      <c r="F17" s="248" t="e">
        <f xml:space="preserve">
IF($A$4&lt;=12,SUMIFS(#REF!,#REF!,$A$4,#REF!,8),SUMIFS(#REF!,#REF!,8))</f>
        <v>#REF!</v>
      </c>
      <c r="G17" s="248" t="e">
        <f xml:space="preserve">
IF($A$4&lt;=12,SUMIFS(#REF!,#REF!,$A$4,#REF!,8),SUMIFS(#REF!,#REF!,8))</f>
        <v>#REF!</v>
      </c>
      <c r="H17" s="248" t="e">
        <f xml:space="preserve">
IF($A$4&lt;=12,SUMIFS(#REF!,#REF!,$A$4,#REF!,8),SUMIFS(#REF!,#REF!,8))</f>
        <v>#REF!</v>
      </c>
      <c r="I17" s="248" t="e">
        <f xml:space="preserve">
IF($A$4&lt;=12,SUMIFS(#REF!,#REF!,$A$4,#REF!,8),SUMIFS(#REF!,#REF!,8))</f>
        <v>#REF!</v>
      </c>
      <c r="J17" s="248" t="e">
        <f xml:space="preserve">
IF($A$4&lt;=12,SUMIFS(#REF!,#REF!,$A$4,#REF!,8),SUMIFS(#REF!,#REF!,8))</f>
        <v>#REF!</v>
      </c>
      <c r="K17" s="248" t="e">
        <f xml:space="preserve">
IF($A$4&lt;=12,SUMIFS(#REF!,#REF!,$A$4,#REF!,8),SUMIFS(#REF!,#REF!,8))</f>
        <v>#REF!</v>
      </c>
      <c r="L17" s="248" t="e">
        <f xml:space="preserve">
IF($A$4&lt;=12,SUMIFS(#REF!,#REF!,$A$4,#REF!,8),SUMIFS(#REF!,#REF!,8))</f>
        <v>#REF!</v>
      </c>
      <c r="M17" s="248" t="e">
        <f xml:space="preserve">
IF($A$4&lt;=12,SUMIFS(#REF!,#REF!,$A$4,#REF!,8),SUMIFS(#REF!,#REF!,8))</f>
        <v>#REF!</v>
      </c>
      <c r="N17" s="248" t="e">
        <f xml:space="preserve">
IF($A$4&lt;=12,SUMIFS(#REF!,#REF!,$A$4,#REF!,8),SUMIFS(#REF!,#REF!,8))</f>
        <v>#REF!</v>
      </c>
      <c r="O17" s="248" t="e">
        <f xml:space="preserve">
IF($A$4&lt;=12,SUMIFS(#REF!,#REF!,$A$4,#REF!,8),SUMIFS(#REF!,#REF!,8))</f>
        <v>#REF!</v>
      </c>
      <c r="P17" s="248" t="e">
        <f xml:space="preserve">
IF($A$4&lt;=12,SUMIFS(#REF!,#REF!,$A$4,#REF!,8),SUMIFS(#REF!,#REF!,8))</f>
        <v>#REF!</v>
      </c>
      <c r="Q17" s="248" t="e">
        <f xml:space="preserve">
IF($A$4&lt;=12,SUMIFS(#REF!,#REF!,$A$4,#REF!,8),SUMIFS(#REF!,#REF!,8))</f>
        <v>#REF!</v>
      </c>
      <c r="R17" s="248" t="e">
        <f xml:space="preserve">
IF($A$4&lt;=12,SUMIFS(#REF!,#REF!,$A$4,#REF!,8),SUMIFS(#REF!,#REF!,8))</f>
        <v>#REF!</v>
      </c>
      <c r="S17" s="248" t="e">
        <f xml:space="preserve">
IF($A$4&lt;=12,SUMIFS(#REF!,#REF!,$A$4,#REF!,8),SUMIFS(#REF!,#REF!,8))</f>
        <v>#REF!</v>
      </c>
      <c r="T17" s="248" t="e">
        <f xml:space="preserve">
IF($A$4&lt;=12,SUMIFS(#REF!,#REF!,$A$4,#REF!,8),SUMIFS(#REF!,#REF!,8))</f>
        <v>#REF!</v>
      </c>
      <c r="U17" s="248" t="e">
        <f xml:space="preserve">
IF($A$4&lt;=12,SUMIFS(#REF!,#REF!,$A$4,#REF!,8),SUMIFS(#REF!,#REF!,8))</f>
        <v>#REF!</v>
      </c>
      <c r="V17" s="248" t="e">
        <f xml:space="preserve">
IF($A$4&lt;=12,SUMIFS(#REF!,#REF!,$A$4,#REF!,8),SUMIFS(#REF!,#REF!,8))</f>
        <v>#REF!</v>
      </c>
      <c r="W17" s="248" t="e">
        <f xml:space="preserve">
IF($A$4&lt;=12,SUMIFS(#REF!,#REF!,$A$4,#REF!,8),SUMIFS(#REF!,#REF!,8))</f>
        <v>#REF!</v>
      </c>
      <c r="X17" s="248" t="e">
        <f xml:space="preserve">
IF($A$4&lt;=12,SUMIFS(#REF!,#REF!,$A$4,#REF!,8),SUMIFS(#REF!,#REF!,8))</f>
        <v>#REF!</v>
      </c>
      <c r="Y17" s="248" t="e">
        <f xml:space="preserve">
IF($A$4&lt;=12,SUMIFS(#REF!,#REF!,$A$4,#REF!,8),SUMIFS(#REF!,#REF!,8))</f>
        <v>#REF!</v>
      </c>
      <c r="Z17" s="248" t="e">
        <f xml:space="preserve">
IF($A$4&lt;=12,SUMIFS(#REF!,#REF!,$A$4,#REF!,8),SUMIFS(#REF!,#REF!,8))</f>
        <v>#REF!</v>
      </c>
      <c r="AA17" s="248" t="e">
        <f xml:space="preserve">
IF($A$4&lt;=12,SUMIFS(#REF!,#REF!,$A$4,#REF!,8),SUMIFS(#REF!,#REF!,8))</f>
        <v>#REF!</v>
      </c>
      <c r="AB17" s="248" t="e">
        <f xml:space="preserve">
IF($A$4&lt;=12,SUMIFS(#REF!,#REF!,$A$4,#REF!,8),SUMIFS(#REF!,#REF!,8))</f>
        <v>#REF!</v>
      </c>
      <c r="AC17" s="248" t="e">
        <f xml:space="preserve">
IF($A$4&lt;=12,SUMIFS(#REF!,#REF!,$A$4,#REF!,8),SUMIFS(#REF!,#REF!,8))</f>
        <v>#REF!</v>
      </c>
      <c r="AD17" s="248" t="e">
        <f xml:space="preserve">
IF($A$4&lt;=12,SUMIFS(#REF!,#REF!,$A$4,#REF!,8),SUMIFS(#REF!,#REF!,8))</f>
        <v>#REF!</v>
      </c>
      <c r="AE17" s="248" t="e">
        <f xml:space="preserve">
IF($A$4&lt;=12,SUMIFS(#REF!,#REF!,$A$4,#REF!,8),SUMIFS(#REF!,#REF!,8))</f>
        <v>#REF!</v>
      </c>
      <c r="AF17" s="248" t="e">
        <f xml:space="preserve">
IF($A$4&lt;=12,SUMIFS(#REF!,#REF!,$A$4,#REF!,8),SUMIFS(#REF!,#REF!,8))</f>
        <v>#REF!</v>
      </c>
      <c r="AG17" s="248" t="e">
        <f xml:space="preserve">
IF($A$4&lt;=12,SUMIFS(#REF!,#REF!,$A$4,#REF!,8),SUMIFS(#REF!,#REF!,8))</f>
        <v>#REF!</v>
      </c>
      <c r="AH17" s="248" t="e">
        <f xml:space="preserve">
IF($A$4&lt;=12,SUMIFS(#REF!,#REF!,$A$4,#REF!,8),SUMIFS(#REF!,#REF!,8))</f>
        <v>#REF!</v>
      </c>
      <c r="AI17" s="248" t="e">
        <f xml:space="preserve">
IF($A$4&lt;=12,SUMIFS(#REF!,#REF!,$A$4,#REF!,8),SUMIFS(#REF!,#REF!,8))</f>
        <v>#REF!</v>
      </c>
      <c r="AJ17" s="249" t="e">
        <f xml:space="preserve">
IF($A$4&lt;=12,SUMIFS(#REF!,#REF!,$A$4,#REF!,8),SUMIFS(#REF!,#REF!,8))</f>
        <v>#REF!</v>
      </c>
    </row>
    <row r="18" spans="1:36" x14ac:dyDescent="0.3">
      <c r="A18" s="231" t="s">
        <v>181</v>
      </c>
      <c r="B18" s="246" t="e">
        <f xml:space="preserve">
B19-B16-B17</f>
        <v>#REF!</v>
      </c>
      <c r="C18" s="247" t="e">
        <f t="shared" ref="C18" si="0" xml:space="preserve">
C19-C16-C17</f>
        <v>#REF!</v>
      </c>
      <c r="D18" s="248" t="e">
        <f t="shared" ref="D18:AJ18" si="1" xml:space="preserve">
D19-D16-D17</f>
        <v>#REF!</v>
      </c>
      <c r="E18" s="248" t="e">
        <f t="shared" si="1"/>
        <v>#REF!</v>
      </c>
      <c r="F18" s="248" t="e">
        <f t="shared" si="1"/>
        <v>#REF!</v>
      </c>
      <c r="G18" s="248" t="e">
        <f t="shared" si="1"/>
        <v>#REF!</v>
      </c>
      <c r="H18" s="248" t="e">
        <f t="shared" si="1"/>
        <v>#REF!</v>
      </c>
      <c r="I18" s="248" t="e">
        <f t="shared" si="1"/>
        <v>#REF!</v>
      </c>
      <c r="J18" s="248" t="e">
        <f t="shared" si="1"/>
        <v>#REF!</v>
      </c>
      <c r="K18" s="248" t="e">
        <f t="shared" si="1"/>
        <v>#REF!</v>
      </c>
      <c r="L18" s="248" t="e">
        <f t="shared" si="1"/>
        <v>#REF!</v>
      </c>
      <c r="M18" s="248" t="e">
        <f t="shared" si="1"/>
        <v>#REF!</v>
      </c>
      <c r="N18" s="248" t="e">
        <f t="shared" si="1"/>
        <v>#REF!</v>
      </c>
      <c r="O18" s="248" t="e">
        <f t="shared" si="1"/>
        <v>#REF!</v>
      </c>
      <c r="P18" s="248" t="e">
        <f t="shared" si="1"/>
        <v>#REF!</v>
      </c>
      <c r="Q18" s="248" t="e">
        <f t="shared" si="1"/>
        <v>#REF!</v>
      </c>
      <c r="R18" s="248" t="e">
        <f t="shared" si="1"/>
        <v>#REF!</v>
      </c>
      <c r="S18" s="248" t="e">
        <f t="shared" si="1"/>
        <v>#REF!</v>
      </c>
      <c r="T18" s="248" t="e">
        <f t="shared" si="1"/>
        <v>#REF!</v>
      </c>
      <c r="U18" s="248" t="e">
        <f t="shared" si="1"/>
        <v>#REF!</v>
      </c>
      <c r="V18" s="248" t="e">
        <f t="shared" si="1"/>
        <v>#REF!</v>
      </c>
      <c r="W18" s="248" t="e">
        <f t="shared" si="1"/>
        <v>#REF!</v>
      </c>
      <c r="X18" s="248" t="e">
        <f t="shared" si="1"/>
        <v>#REF!</v>
      </c>
      <c r="Y18" s="248" t="e">
        <f t="shared" si="1"/>
        <v>#REF!</v>
      </c>
      <c r="Z18" s="248" t="e">
        <f t="shared" si="1"/>
        <v>#REF!</v>
      </c>
      <c r="AA18" s="248" t="e">
        <f t="shared" si="1"/>
        <v>#REF!</v>
      </c>
      <c r="AB18" s="248" t="e">
        <f t="shared" si="1"/>
        <v>#REF!</v>
      </c>
      <c r="AC18" s="248" t="e">
        <f t="shared" si="1"/>
        <v>#REF!</v>
      </c>
      <c r="AD18" s="248" t="e">
        <f t="shared" si="1"/>
        <v>#REF!</v>
      </c>
      <c r="AE18" s="248" t="e">
        <f t="shared" si="1"/>
        <v>#REF!</v>
      </c>
      <c r="AF18" s="248" t="e">
        <f t="shared" si="1"/>
        <v>#REF!</v>
      </c>
      <c r="AG18" s="248" t="e">
        <f t="shared" si="1"/>
        <v>#REF!</v>
      </c>
      <c r="AH18" s="248" t="e">
        <f t="shared" si="1"/>
        <v>#REF!</v>
      </c>
      <c r="AI18" s="248" t="e">
        <f t="shared" si="1"/>
        <v>#REF!</v>
      </c>
      <c r="AJ18" s="249" t="e">
        <f t="shared" si="1"/>
        <v>#REF!</v>
      </c>
    </row>
    <row r="19" spans="1:36" ht="15" thickBot="1" x14ac:dyDescent="0.35">
      <c r="A19" s="232" t="s">
        <v>182</v>
      </c>
      <c r="B19" s="258" t="e">
        <f xml:space="preserve">
IF($A$4&lt;=12,SUMIFS(#REF!,#REF!,$A$4,#REF!,9),SUMIFS(#REF!,#REF!,9))</f>
        <v>#REF!</v>
      </c>
      <c r="C19" s="259" t="e">
        <f xml:space="preserve">
IF($A$4&lt;=12,SUMIFS(#REF!,#REF!,$A$4,#REF!,9),SUMIFS(#REF!,#REF!,9))</f>
        <v>#REF!</v>
      </c>
      <c r="D19" s="260" t="e">
        <f xml:space="preserve">
IF($A$4&lt;=12,SUMIFS(#REF!,#REF!,$A$4,#REF!,9),SUMIFS(#REF!,#REF!,9))</f>
        <v>#REF!</v>
      </c>
      <c r="E19" s="260" t="e">
        <f xml:space="preserve">
IF($A$4&lt;=12,SUMIFS(#REF!,#REF!,$A$4,#REF!,9),SUMIFS(#REF!,#REF!,9))</f>
        <v>#REF!</v>
      </c>
      <c r="F19" s="260" t="e">
        <f xml:space="preserve">
IF($A$4&lt;=12,SUMIFS(#REF!,#REF!,$A$4,#REF!,9),SUMIFS(#REF!,#REF!,9))</f>
        <v>#REF!</v>
      </c>
      <c r="G19" s="260" t="e">
        <f xml:space="preserve">
IF($A$4&lt;=12,SUMIFS(#REF!,#REF!,$A$4,#REF!,9),SUMIFS(#REF!,#REF!,9))</f>
        <v>#REF!</v>
      </c>
      <c r="H19" s="260" t="e">
        <f xml:space="preserve">
IF($A$4&lt;=12,SUMIFS(#REF!,#REF!,$A$4,#REF!,9),SUMIFS(#REF!,#REF!,9))</f>
        <v>#REF!</v>
      </c>
      <c r="I19" s="260" t="e">
        <f xml:space="preserve">
IF($A$4&lt;=12,SUMIFS(#REF!,#REF!,$A$4,#REF!,9),SUMIFS(#REF!,#REF!,9))</f>
        <v>#REF!</v>
      </c>
      <c r="J19" s="260" t="e">
        <f xml:space="preserve">
IF($A$4&lt;=12,SUMIFS(#REF!,#REF!,$A$4,#REF!,9),SUMIFS(#REF!,#REF!,9))</f>
        <v>#REF!</v>
      </c>
      <c r="K19" s="260" t="e">
        <f xml:space="preserve">
IF($A$4&lt;=12,SUMIFS(#REF!,#REF!,$A$4,#REF!,9),SUMIFS(#REF!,#REF!,9))</f>
        <v>#REF!</v>
      </c>
      <c r="L19" s="260" t="e">
        <f xml:space="preserve">
IF($A$4&lt;=12,SUMIFS(#REF!,#REF!,$A$4,#REF!,9),SUMIFS(#REF!,#REF!,9))</f>
        <v>#REF!</v>
      </c>
      <c r="M19" s="260" t="e">
        <f xml:space="preserve">
IF($A$4&lt;=12,SUMIFS(#REF!,#REF!,$A$4,#REF!,9),SUMIFS(#REF!,#REF!,9))</f>
        <v>#REF!</v>
      </c>
      <c r="N19" s="260" t="e">
        <f xml:space="preserve">
IF($A$4&lt;=12,SUMIFS(#REF!,#REF!,$A$4,#REF!,9),SUMIFS(#REF!,#REF!,9))</f>
        <v>#REF!</v>
      </c>
      <c r="O19" s="260" t="e">
        <f xml:space="preserve">
IF($A$4&lt;=12,SUMIFS(#REF!,#REF!,$A$4,#REF!,9),SUMIFS(#REF!,#REF!,9))</f>
        <v>#REF!</v>
      </c>
      <c r="P19" s="260" t="e">
        <f xml:space="preserve">
IF($A$4&lt;=12,SUMIFS(#REF!,#REF!,$A$4,#REF!,9),SUMIFS(#REF!,#REF!,9))</f>
        <v>#REF!</v>
      </c>
      <c r="Q19" s="260" t="e">
        <f xml:space="preserve">
IF($A$4&lt;=12,SUMIFS(#REF!,#REF!,$A$4,#REF!,9),SUMIFS(#REF!,#REF!,9))</f>
        <v>#REF!</v>
      </c>
      <c r="R19" s="260" t="e">
        <f xml:space="preserve">
IF($A$4&lt;=12,SUMIFS(#REF!,#REF!,$A$4,#REF!,9),SUMIFS(#REF!,#REF!,9))</f>
        <v>#REF!</v>
      </c>
      <c r="S19" s="260" t="e">
        <f xml:space="preserve">
IF($A$4&lt;=12,SUMIFS(#REF!,#REF!,$A$4,#REF!,9),SUMIFS(#REF!,#REF!,9))</f>
        <v>#REF!</v>
      </c>
      <c r="T19" s="260" t="e">
        <f xml:space="preserve">
IF($A$4&lt;=12,SUMIFS(#REF!,#REF!,$A$4,#REF!,9),SUMIFS(#REF!,#REF!,9))</f>
        <v>#REF!</v>
      </c>
      <c r="U19" s="260" t="e">
        <f xml:space="preserve">
IF($A$4&lt;=12,SUMIFS(#REF!,#REF!,$A$4,#REF!,9),SUMIFS(#REF!,#REF!,9))</f>
        <v>#REF!</v>
      </c>
      <c r="V19" s="260" t="e">
        <f xml:space="preserve">
IF($A$4&lt;=12,SUMIFS(#REF!,#REF!,$A$4,#REF!,9),SUMIFS(#REF!,#REF!,9))</f>
        <v>#REF!</v>
      </c>
      <c r="W19" s="260" t="e">
        <f xml:space="preserve">
IF($A$4&lt;=12,SUMIFS(#REF!,#REF!,$A$4,#REF!,9),SUMIFS(#REF!,#REF!,9))</f>
        <v>#REF!</v>
      </c>
      <c r="X19" s="260" t="e">
        <f xml:space="preserve">
IF($A$4&lt;=12,SUMIFS(#REF!,#REF!,$A$4,#REF!,9),SUMIFS(#REF!,#REF!,9))</f>
        <v>#REF!</v>
      </c>
      <c r="Y19" s="260" t="e">
        <f xml:space="preserve">
IF($A$4&lt;=12,SUMIFS(#REF!,#REF!,$A$4,#REF!,9),SUMIFS(#REF!,#REF!,9))</f>
        <v>#REF!</v>
      </c>
      <c r="Z19" s="260" t="e">
        <f xml:space="preserve">
IF($A$4&lt;=12,SUMIFS(#REF!,#REF!,$A$4,#REF!,9),SUMIFS(#REF!,#REF!,9))</f>
        <v>#REF!</v>
      </c>
      <c r="AA19" s="260" t="e">
        <f xml:space="preserve">
IF($A$4&lt;=12,SUMIFS(#REF!,#REF!,$A$4,#REF!,9),SUMIFS(#REF!,#REF!,9))</f>
        <v>#REF!</v>
      </c>
      <c r="AB19" s="260" t="e">
        <f xml:space="preserve">
IF($A$4&lt;=12,SUMIFS(#REF!,#REF!,$A$4,#REF!,9),SUMIFS(#REF!,#REF!,9))</f>
        <v>#REF!</v>
      </c>
      <c r="AC19" s="260" t="e">
        <f xml:space="preserve">
IF($A$4&lt;=12,SUMIFS(#REF!,#REF!,$A$4,#REF!,9),SUMIFS(#REF!,#REF!,9))</f>
        <v>#REF!</v>
      </c>
      <c r="AD19" s="260" t="e">
        <f xml:space="preserve">
IF($A$4&lt;=12,SUMIFS(#REF!,#REF!,$A$4,#REF!,9),SUMIFS(#REF!,#REF!,9))</f>
        <v>#REF!</v>
      </c>
      <c r="AE19" s="260" t="e">
        <f xml:space="preserve">
IF($A$4&lt;=12,SUMIFS(#REF!,#REF!,$A$4,#REF!,9),SUMIFS(#REF!,#REF!,9))</f>
        <v>#REF!</v>
      </c>
      <c r="AF19" s="260" t="e">
        <f xml:space="preserve">
IF($A$4&lt;=12,SUMIFS(#REF!,#REF!,$A$4,#REF!,9),SUMIFS(#REF!,#REF!,9))</f>
        <v>#REF!</v>
      </c>
      <c r="AG19" s="260" t="e">
        <f xml:space="preserve">
IF($A$4&lt;=12,SUMIFS(#REF!,#REF!,$A$4,#REF!,9),SUMIFS(#REF!,#REF!,9))</f>
        <v>#REF!</v>
      </c>
      <c r="AH19" s="260" t="e">
        <f xml:space="preserve">
IF($A$4&lt;=12,SUMIFS(#REF!,#REF!,$A$4,#REF!,9),SUMIFS(#REF!,#REF!,9))</f>
        <v>#REF!</v>
      </c>
      <c r="AI19" s="260" t="e">
        <f xml:space="preserve">
IF($A$4&lt;=12,SUMIFS(#REF!,#REF!,$A$4,#REF!,9),SUMIFS(#REF!,#REF!,9))</f>
        <v>#REF!</v>
      </c>
      <c r="AJ19" s="261" t="e">
        <f xml:space="preserve">
IF($A$4&lt;=12,SUMIFS(#REF!,#REF!,$A$4,#REF!,9),SUMIFS(#REF!,#REF!,9))</f>
        <v>#REF!</v>
      </c>
    </row>
    <row r="20" spans="1:36" ht="15" collapsed="1" thickBot="1" x14ac:dyDescent="0.35">
      <c r="A20" s="233" t="s">
        <v>61</v>
      </c>
      <c r="B20" s="262" t="e">
        <f xml:space="preserve">
IF($A$4&lt;=12,SUMIFS(#REF!,#REF!,$A$4,#REF!,6),SUMIFS(#REF!,#REF!,6))</f>
        <v>#REF!</v>
      </c>
      <c r="C20" s="263" t="e">
        <f xml:space="preserve">
IF($A$4&lt;=12,SUMIFS(#REF!,#REF!,$A$4,#REF!,6),SUMIFS(#REF!,#REF!,6))</f>
        <v>#REF!</v>
      </c>
      <c r="D20" s="264" t="e">
        <f xml:space="preserve">
IF($A$4&lt;=12,SUMIFS(#REF!,#REF!,$A$4,#REF!,6),SUMIFS(#REF!,#REF!,6))</f>
        <v>#REF!</v>
      </c>
      <c r="E20" s="264" t="e">
        <f xml:space="preserve">
IF($A$4&lt;=12,SUMIFS(#REF!,#REF!,$A$4,#REF!,6),SUMIFS(#REF!,#REF!,6))</f>
        <v>#REF!</v>
      </c>
      <c r="F20" s="264" t="e">
        <f xml:space="preserve">
IF($A$4&lt;=12,SUMIFS(#REF!,#REF!,$A$4,#REF!,6),SUMIFS(#REF!,#REF!,6))</f>
        <v>#REF!</v>
      </c>
      <c r="G20" s="264" t="e">
        <f xml:space="preserve">
IF($A$4&lt;=12,SUMIFS(#REF!,#REF!,$A$4,#REF!,6),SUMIFS(#REF!,#REF!,6))</f>
        <v>#REF!</v>
      </c>
      <c r="H20" s="264" t="e">
        <f xml:space="preserve">
IF($A$4&lt;=12,SUMIFS(#REF!,#REF!,$A$4,#REF!,6),SUMIFS(#REF!,#REF!,6))</f>
        <v>#REF!</v>
      </c>
      <c r="I20" s="264" t="e">
        <f xml:space="preserve">
IF($A$4&lt;=12,SUMIFS(#REF!,#REF!,$A$4,#REF!,6),SUMIFS(#REF!,#REF!,6))</f>
        <v>#REF!</v>
      </c>
      <c r="J20" s="264" t="e">
        <f xml:space="preserve">
IF($A$4&lt;=12,SUMIFS(#REF!,#REF!,$A$4,#REF!,6),SUMIFS(#REF!,#REF!,6))</f>
        <v>#REF!</v>
      </c>
      <c r="K20" s="264" t="e">
        <f xml:space="preserve">
IF($A$4&lt;=12,SUMIFS(#REF!,#REF!,$A$4,#REF!,6),SUMIFS(#REF!,#REF!,6))</f>
        <v>#REF!</v>
      </c>
      <c r="L20" s="264" t="e">
        <f xml:space="preserve">
IF($A$4&lt;=12,SUMIFS(#REF!,#REF!,$A$4,#REF!,6),SUMIFS(#REF!,#REF!,6))</f>
        <v>#REF!</v>
      </c>
      <c r="M20" s="264" t="e">
        <f xml:space="preserve">
IF($A$4&lt;=12,SUMIFS(#REF!,#REF!,$A$4,#REF!,6),SUMIFS(#REF!,#REF!,6))</f>
        <v>#REF!</v>
      </c>
      <c r="N20" s="264" t="e">
        <f xml:space="preserve">
IF($A$4&lt;=12,SUMIFS(#REF!,#REF!,$A$4,#REF!,6),SUMIFS(#REF!,#REF!,6))</f>
        <v>#REF!</v>
      </c>
      <c r="O20" s="264" t="e">
        <f xml:space="preserve">
IF($A$4&lt;=12,SUMIFS(#REF!,#REF!,$A$4,#REF!,6),SUMIFS(#REF!,#REF!,6))</f>
        <v>#REF!</v>
      </c>
      <c r="P20" s="264" t="e">
        <f xml:space="preserve">
IF($A$4&lt;=12,SUMIFS(#REF!,#REF!,$A$4,#REF!,6),SUMIFS(#REF!,#REF!,6))</f>
        <v>#REF!</v>
      </c>
      <c r="Q20" s="264" t="e">
        <f xml:space="preserve">
IF($A$4&lt;=12,SUMIFS(#REF!,#REF!,$A$4,#REF!,6),SUMIFS(#REF!,#REF!,6))</f>
        <v>#REF!</v>
      </c>
      <c r="R20" s="264" t="e">
        <f xml:space="preserve">
IF($A$4&lt;=12,SUMIFS(#REF!,#REF!,$A$4,#REF!,6),SUMIFS(#REF!,#REF!,6))</f>
        <v>#REF!</v>
      </c>
      <c r="S20" s="264" t="e">
        <f xml:space="preserve">
IF($A$4&lt;=12,SUMIFS(#REF!,#REF!,$A$4,#REF!,6),SUMIFS(#REF!,#REF!,6))</f>
        <v>#REF!</v>
      </c>
      <c r="T20" s="264" t="e">
        <f xml:space="preserve">
IF($A$4&lt;=12,SUMIFS(#REF!,#REF!,$A$4,#REF!,6),SUMIFS(#REF!,#REF!,6))</f>
        <v>#REF!</v>
      </c>
      <c r="U20" s="264" t="e">
        <f xml:space="preserve">
IF($A$4&lt;=12,SUMIFS(#REF!,#REF!,$A$4,#REF!,6),SUMIFS(#REF!,#REF!,6))</f>
        <v>#REF!</v>
      </c>
      <c r="V20" s="264" t="e">
        <f xml:space="preserve">
IF($A$4&lt;=12,SUMIFS(#REF!,#REF!,$A$4,#REF!,6),SUMIFS(#REF!,#REF!,6))</f>
        <v>#REF!</v>
      </c>
      <c r="W20" s="264" t="e">
        <f xml:space="preserve">
IF($A$4&lt;=12,SUMIFS(#REF!,#REF!,$A$4,#REF!,6),SUMIFS(#REF!,#REF!,6))</f>
        <v>#REF!</v>
      </c>
      <c r="X20" s="264" t="e">
        <f xml:space="preserve">
IF($A$4&lt;=12,SUMIFS(#REF!,#REF!,$A$4,#REF!,6),SUMIFS(#REF!,#REF!,6))</f>
        <v>#REF!</v>
      </c>
      <c r="Y20" s="264" t="e">
        <f xml:space="preserve">
IF($A$4&lt;=12,SUMIFS(#REF!,#REF!,$A$4,#REF!,6),SUMIFS(#REF!,#REF!,6))</f>
        <v>#REF!</v>
      </c>
      <c r="Z20" s="264" t="e">
        <f xml:space="preserve">
IF($A$4&lt;=12,SUMIFS(#REF!,#REF!,$A$4,#REF!,6),SUMIFS(#REF!,#REF!,6))</f>
        <v>#REF!</v>
      </c>
      <c r="AA20" s="264" t="e">
        <f xml:space="preserve">
IF($A$4&lt;=12,SUMIFS(#REF!,#REF!,$A$4,#REF!,6),SUMIFS(#REF!,#REF!,6))</f>
        <v>#REF!</v>
      </c>
      <c r="AB20" s="264" t="e">
        <f xml:space="preserve">
IF($A$4&lt;=12,SUMIFS(#REF!,#REF!,$A$4,#REF!,6),SUMIFS(#REF!,#REF!,6))</f>
        <v>#REF!</v>
      </c>
      <c r="AC20" s="264" t="e">
        <f xml:space="preserve">
IF($A$4&lt;=12,SUMIFS(#REF!,#REF!,$A$4,#REF!,6),SUMIFS(#REF!,#REF!,6))</f>
        <v>#REF!</v>
      </c>
      <c r="AD20" s="264" t="e">
        <f xml:space="preserve">
IF($A$4&lt;=12,SUMIFS(#REF!,#REF!,$A$4,#REF!,6),SUMIFS(#REF!,#REF!,6))</f>
        <v>#REF!</v>
      </c>
      <c r="AE20" s="264" t="e">
        <f xml:space="preserve">
IF($A$4&lt;=12,SUMIFS(#REF!,#REF!,$A$4,#REF!,6),SUMIFS(#REF!,#REF!,6))</f>
        <v>#REF!</v>
      </c>
      <c r="AF20" s="264" t="e">
        <f xml:space="preserve">
IF($A$4&lt;=12,SUMIFS(#REF!,#REF!,$A$4,#REF!,6),SUMIFS(#REF!,#REF!,6))</f>
        <v>#REF!</v>
      </c>
      <c r="AG20" s="264" t="e">
        <f xml:space="preserve">
IF($A$4&lt;=12,SUMIFS(#REF!,#REF!,$A$4,#REF!,6),SUMIFS(#REF!,#REF!,6))</f>
        <v>#REF!</v>
      </c>
      <c r="AH20" s="264" t="e">
        <f xml:space="preserve">
IF($A$4&lt;=12,SUMIFS(#REF!,#REF!,$A$4,#REF!,6),SUMIFS(#REF!,#REF!,6))</f>
        <v>#REF!</v>
      </c>
      <c r="AI20" s="264" t="e">
        <f xml:space="preserve">
IF($A$4&lt;=12,SUMIFS(#REF!,#REF!,$A$4,#REF!,6),SUMIFS(#REF!,#REF!,6))</f>
        <v>#REF!</v>
      </c>
      <c r="AJ20" s="265" t="e">
        <f xml:space="preserve">
IF($A$4&lt;=12,SUMIFS(#REF!,#REF!,$A$4,#REF!,6),SUMIFS(#REF!,#REF!,6))</f>
        <v>#REF!</v>
      </c>
    </row>
    <row r="21" spans="1:36" hidden="1" outlineLevel="1" x14ac:dyDescent="0.3">
      <c r="A21" s="226" t="s">
        <v>96</v>
      </c>
      <c r="B21" s="246"/>
      <c r="C21" s="247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9"/>
    </row>
    <row r="22" spans="1:36" hidden="1" outlineLevel="1" x14ac:dyDescent="0.3">
      <c r="A22" s="226" t="s">
        <v>63</v>
      </c>
      <c r="B22" s="246"/>
      <c r="C22" s="24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9"/>
    </row>
    <row r="23" spans="1:36" ht="15" hidden="1" outlineLevel="1" thickBot="1" x14ac:dyDescent="0.35">
      <c r="A23" s="234" t="s">
        <v>56</v>
      </c>
      <c r="B23" s="250"/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3"/>
    </row>
    <row r="24" spans="1:36" x14ac:dyDescent="0.3">
      <c r="A24" s="228" t="s">
        <v>183</v>
      </c>
      <c r="B24" s="283" t="s">
        <v>3</v>
      </c>
      <c r="C24" s="373" t="s">
        <v>194</v>
      </c>
      <c r="D24" s="363"/>
      <c r="E24" s="363"/>
      <c r="F24" s="364"/>
      <c r="G24" s="362" t="s">
        <v>195</v>
      </c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4"/>
      <c r="AI24" s="362" t="s">
        <v>196</v>
      </c>
      <c r="AJ24" s="371"/>
    </row>
    <row r="25" spans="1:36" x14ac:dyDescent="0.3">
      <c r="A25" s="229" t="s">
        <v>61</v>
      </c>
      <c r="B25" s="246" t="e">
        <f xml:space="preserve">
SUM(C25:AJ25)</f>
        <v>#REF!</v>
      </c>
      <c r="C25" s="359" t="e">
        <f xml:space="preserve">
IF($A$4&lt;=12,SUMIFS(#REF!,#REF!,$A$4,#REF!,10),SUMIFS(#REF!,#REF!,10))</f>
        <v>#REF!</v>
      </c>
      <c r="D25" s="360"/>
      <c r="E25" s="360"/>
      <c r="F25" s="361"/>
      <c r="G25" s="357" t="e">
        <f xml:space="preserve">
IF($A$4&lt;=12,SUMIFS(#REF!,#REF!,$A$4,#REF!,10),SUMIFS(#REF!,#REF!,10))</f>
        <v>#REF!</v>
      </c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1"/>
      <c r="AI25" s="357" t="e">
        <f xml:space="preserve">
IF($A$4&lt;=12,SUMIFS(#REF!,#REF!,$A$4,#REF!,10),SUMIFS(#REF!,#REF!,10))</f>
        <v>#REF!</v>
      </c>
      <c r="AJ25" s="372"/>
    </row>
    <row r="26" spans="1:36" x14ac:dyDescent="0.3">
      <c r="A26" s="235" t="s">
        <v>193</v>
      </c>
      <c r="B26" s="258" t="e">
        <f xml:space="preserve">
SUM(C26:AJ26)</f>
        <v>#REF!</v>
      </c>
      <c r="C26" s="359" t="e">
        <f xml:space="preserve">
IF($A$4&lt;=12,SUMIFS(#REF!,#REF!,$A$4,#REF!,11),SUMIFS(#REF!,#REF!,11))</f>
        <v>#REF!</v>
      </c>
      <c r="D26" s="360"/>
      <c r="E26" s="360"/>
      <c r="F26" s="361"/>
      <c r="G26" s="365" t="e">
        <f xml:space="preserve">
IF($A$4&lt;=12,SUMIFS(#REF!,#REF!,$A$4,#REF!,11),SUMIFS(#REF!,#REF!,11))</f>
        <v>#REF!</v>
      </c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7"/>
      <c r="AI26" s="357" t="e">
        <f xml:space="preserve">
IF($A$4&lt;=12,SUMIFS(#REF!,#REF!,$A$4,#REF!,11),SUMIFS(#REF!,#REF!,11))</f>
        <v>#REF!</v>
      </c>
      <c r="AJ26" s="358"/>
    </row>
    <row r="27" spans="1:36" x14ac:dyDescent="0.3">
      <c r="A27" s="235" t="s">
        <v>63</v>
      </c>
      <c r="B27" s="284" t="e">
        <f xml:space="preserve">
IF(B26=0,0,B25/B26)</f>
        <v>#REF!</v>
      </c>
      <c r="C27" s="354" t="e">
        <f xml:space="preserve">
IF(C26=0,0,C25/C26)</f>
        <v>#REF!</v>
      </c>
      <c r="D27" s="355"/>
      <c r="E27" s="355"/>
      <c r="F27" s="356"/>
      <c r="G27" s="350" t="e">
        <f xml:space="preserve">
IF(G26=0,0,G25/G26)</f>
        <v>#REF!</v>
      </c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6"/>
      <c r="AI27" s="350" t="e">
        <f xml:space="preserve">
IF(AI26=0,0,AI25/AI26)</f>
        <v>#REF!</v>
      </c>
      <c r="AJ27" s="351"/>
    </row>
    <row r="28" spans="1:36" ht="15" thickBot="1" x14ac:dyDescent="0.35">
      <c r="A28" s="235" t="s">
        <v>192</v>
      </c>
      <c r="B28" s="258" t="e">
        <f xml:space="preserve">
SUM(C28:AJ28)</f>
        <v>#REF!</v>
      </c>
      <c r="C28" s="347" t="e">
        <f xml:space="preserve">
C26-C25</f>
        <v>#REF!</v>
      </c>
      <c r="D28" s="348"/>
      <c r="E28" s="348"/>
      <c r="F28" s="349"/>
      <c r="G28" s="352" t="e">
        <f xml:space="preserve">
G26-G25</f>
        <v>#REF!</v>
      </c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9"/>
      <c r="AI28" s="352" t="e">
        <f xml:space="preserve">
AI26-AI25</f>
        <v>#REF!</v>
      </c>
      <c r="AJ28" s="353"/>
    </row>
    <row r="29" spans="1:36" x14ac:dyDescent="0.3">
      <c r="A29" s="236"/>
      <c r="B29" s="236"/>
      <c r="C29" s="237"/>
      <c r="D29" s="236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6"/>
      <c r="AG29" s="236"/>
      <c r="AH29" s="236"/>
      <c r="AI29" s="236"/>
      <c r="AJ29" s="236"/>
    </row>
    <row r="30" spans="1:36" x14ac:dyDescent="0.3">
      <c r="A30" s="103" t="s">
        <v>141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41"/>
      <c r="AI30" s="141"/>
      <c r="AJ30" s="141"/>
    </row>
    <row r="31" spans="1:36" x14ac:dyDescent="0.3">
      <c r="A31" s="104" t="s">
        <v>190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41"/>
      <c r="AI31" s="141"/>
      <c r="AJ31" s="141"/>
    </row>
    <row r="32" spans="1:36" ht="14.4" customHeight="1" x14ac:dyDescent="0.3">
      <c r="A32" s="280" t="s">
        <v>187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1:1" x14ac:dyDescent="0.3">
      <c r="A33" s="282" t="s">
        <v>197</v>
      </c>
    </row>
    <row r="34" spans="1:1" x14ac:dyDescent="0.3">
      <c r="A34" s="282" t="s">
        <v>198</v>
      </c>
    </row>
    <row r="35" spans="1:1" x14ac:dyDescent="0.3">
      <c r="A35" s="282" t="s">
        <v>199</v>
      </c>
    </row>
    <row r="36" spans="1:1" x14ac:dyDescent="0.3">
      <c r="A36" s="282" t="s">
        <v>200</v>
      </c>
    </row>
  </sheetData>
  <mergeCells count="17">
    <mergeCell ref="A1:AJ1"/>
    <mergeCell ref="B3:B4"/>
    <mergeCell ref="AI24:AJ24"/>
    <mergeCell ref="AI25:AJ25"/>
    <mergeCell ref="C24:F24"/>
    <mergeCell ref="AI26:AJ26"/>
    <mergeCell ref="C25:F25"/>
    <mergeCell ref="C26:F26"/>
    <mergeCell ref="G24:AH24"/>
    <mergeCell ref="G25:AH25"/>
    <mergeCell ref="G26:AH26"/>
    <mergeCell ref="C28:F28"/>
    <mergeCell ref="AI27:AJ27"/>
    <mergeCell ref="AI28:AJ28"/>
    <mergeCell ref="C27:F27"/>
    <mergeCell ref="G27:AH27"/>
    <mergeCell ref="G28:AH28"/>
  </mergeCells>
  <conditionalFormatting sqref="C27 AI27 G27">
    <cfRule type="cellIs" dxfId="2" priority="2" operator="greaterThan">
      <formula>1</formula>
    </cfRule>
  </conditionalFormatting>
  <conditionalFormatting sqref="C28 AI28 G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5.4414062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74" t="s">
        <v>462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17" t="s">
        <v>230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4.4" customHeight="1" thickBot="1" x14ac:dyDescent="0.35">
      <c r="A3" s="207" t="s">
        <v>114</v>
      </c>
      <c r="B3" s="208">
        <f>SUBTOTAL(9,B6:B1048576)</f>
        <v>228355</v>
      </c>
      <c r="C3" s="209">
        <f t="shared" ref="C3:R3" si="0">SUBTOTAL(9,C6:C1048576)</f>
        <v>1</v>
      </c>
      <c r="D3" s="209">
        <f t="shared" si="0"/>
        <v>353510</v>
      </c>
      <c r="E3" s="209">
        <f t="shared" si="0"/>
        <v>1.5480720807514616</v>
      </c>
      <c r="F3" s="209">
        <f t="shared" si="0"/>
        <v>567159</v>
      </c>
      <c r="G3" s="210">
        <f>IF(B3&lt;&gt;0,F3/B3,"")</f>
        <v>2.4836723522585449</v>
      </c>
      <c r="H3" s="211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2" t="str">
        <f>IF(H3&lt;&gt;0,L3/H3,"")</f>
        <v/>
      </c>
      <c r="N3" s="208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5" t="s">
        <v>87</v>
      </c>
      <c r="B4" s="376" t="s">
        <v>88</v>
      </c>
      <c r="C4" s="377"/>
      <c r="D4" s="377"/>
      <c r="E4" s="377"/>
      <c r="F4" s="377"/>
      <c r="G4" s="378"/>
      <c r="H4" s="376" t="s">
        <v>89</v>
      </c>
      <c r="I4" s="377"/>
      <c r="J4" s="377"/>
      <c r="K4" s="377"/>
      <c r="L4" s="377"/>
      <c r="M4" s="378"/>
      <c r="N4" s="376" t="s">
        <v>90</v>
      </c>
      <c r="O4" s="377"/>
      <c r="P4" s="377"/>
      <c r="Q4" s="377"/>
      <c r="R4" s="377"/>
      <c r="S4" s="378"/>
    </row>
    <row r="5" spans="1:19" ht="14.4" customHeight="1" thickBot="1" x14ac:dyDescent="0.35">
      <c r="A5" s="489"/>
      <c r="B5" s="490">
        <v>2012</v>
      </c>
      <c r="C5" s="491"/>
      <c r="D5" s="491">
        <v>2013</v>
      </c>
      <c r="E5" s="491"/>
      <c r="F5" s="491">
        <v>2014</v>
      </c>
      <c r="G5" s="492" t="s">
        <v>2</v>
      </c>
      <c r="H5" s="490">
        <v>2012</v>
      </c>
      <c r="I5" s="491"/>
      <c r="J5" s="491">
        <v>2013</v>
      </c>
      <c r="K5" s="491"/>
      <c r="L5" s="491">
        <v>2014</v>
      </c>
      <c r="M5" s="492" t="s">
        <v>2</v>
      </c>
      <c r="N5" s="490">
        <v>2012</v>
      </c>
      <c r="O5" s="491"/>
      <c r="P5" s="491">
        <v>2013</v>
      </c>
      <c r="Q5" s="491"/>
      <c r="R5" s="491">
        <v>2014</v>
      </c>
      <c r="S5" s="492" t="s">
        <v>2</v>
      </c>
    </row>
    <row r="6" spans="1:19" ht="14.4" customHeight="1" thickBot="1" x14ac:dyDescent="0.35">
      <c r="A6" s="496" t="s">
        <v>458</v>
      </c>
      <c r="B6" s="493">
        <v>228355</v>
      </c>
      <c r="C6" s="494">
        <v>1</v>
      </c>
      <c r="D6" s="493">
        <v>353510</v>
      </c>
      <c r="E6" s="494">
        <v>1.5480720807514616</v>
      </c>
      <c r="F6" s="493">
        <v>567159</v>
      </c>
      <c r="G6" s="464">
        <v>2.4836723522585449</v>
      </c>
      <c r="H6" s="493"/>
      <c r="I6" s="494"/>
      <c r="J6" s="493"/>
      <c r="K6" s="494"/>
      <c r="L6" s="493"/>
      <c r="M6" s="464"/>
      <c r="N6" s="493"/>
      <c r="O6" s="494"/>
      <c r="P6" s="493"/>
      <c r="Q6" s="494"/>
      <c r="R6" s="493"/>
      <c r="S6" s="495"/>
    </row>
    <row r="7" spans="1:19" ht="14.4" customHeight="1" x14ac:dyDescent="0.3">
      <c r="A7" s="497" t="s">
        <v>459</v>
      </c>
    </row>
    <row r="8" spans="1:19" ht="14.4" customHeight="1" x14ac:dyDescent="0.3">
      <c r="A8" s="498" t="s">
        <v>460</v>
      </c>
    </row>
    <row r="9" spans="1:19" ht="14.4" customHeight="1" x14ac:dyDescent="0.3">
      <c r="A9" s="497" t="s">
        <v>461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20" bestFit="1" customWidth="1"/>
    <col min="2" max="2" width="2.109375" style="120" bestFit="1" customWidth="1"/>
    <col min="3" max="3" width="8" style="120" bestFit="1" customWidth="1"/>
    <col min="4" max="4" width="50.88671875" style="120" bestFit="1" customWidth="1"/>
    <col min="5" max="6" width="11.109375" style="198" customWidth="1"/>
    <col min="7" max="8" width="9.33203125" style="120" hidden="1" customWidth="1"/>
    <col min="9" max="10" width="11.109375" style="198" customWidth="1"/>
    <col min="11" max="12" width="9.33203125" style="120" hidden="1" customWidth="1"/>
    <col min="13" max="14" width="11.109375" style="198" customWidth="1"/>
    <col min="15" max="15" width="11.109375" style="201" customWidth="1"/>
    <col min="16" max="16" width="11.109375" style="198" customWidth="1"/>
    <col min="17" max="16384" width="8.88671875" style="120"/>
  </cols>
  <sheetData>
    <row r="1" spans="1:16" ht="18.600000000000001" customHeight="1" thickBot="1" x14ac:dyDescent="0.4">
      <c r="A1" s="297" t="s">
        <v>479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</row>
    <row r="2" spans="1:16" ht="14.4" customHeight="1" thickBot="1" x14ac:dyDescent="0.35">
      <c r="A2" s="217" t="s">
        <v>230</v>
      </c>
      <c r="B2" s="121"/>
      <c r="C2" s="121"/>
      <c r="D2" s="121"/>
      <c r="E2" s="215"/>
      <c r="F2" s="215"/>
      <c r="G2" s="121"/>
      <c r="H2" s="121"/>
      <c r="I2" s="215"/>
      <c r="J2" s="215"/>
      <c r="K2" s="121"/>
      <c r="L2" s="121"/>
      <c r="M2" s="215"/>
      <c r="N2" s="215"/>
      <c r="O2" s="216"/>
      <c r="P2" s="215"/>
    </row>
    <row r="3" spans="1:16" ht="14.4" customHeight="1" thickBot="1" x14ac:dyDescent="0.35">
      <c r="D3" s="77" t="s">
        <v>114</v>
      </c>
      <c r="E3" s="92">
        <f t="shared" ref="E3:N3" si="0">SUBTOTAL(9,E6:E1048576)</f>
        <v>568</v>
      </c>
      <c r="F3" s="93">
        <f t="shared" si="0"/>
        <v>228355</v>
      </c>
      <c r="G3" s="66"/>
      <c r="H3" s="66"/>
      <c r="I3" s="93">
        <f t="shared" si="0"/>
        <v>384</v>
      </c>
      <c r="J3" s="93">
        <f t="shared" si="0"/>
        <v>353510</v>
      </c>
      <c r="K3" s="66"/>
      <c r="L3" s="66"/>
      <c r="M3" s="93">
        <f t="shared" si="0"/>
        <v>1034</v>
      </c>
      <c r="N3" s="93">
        <f t="shared" si="0"/>
        <v>567159</v>
      </c>
      <c r="O3" s="67">
        <f>IF(F3=0,0,N3/F3)</f>
        <v>2.4836723522585449</v>
      </c>
      <c r="P3" s="94">
        <f>IF(M3=0,0,N3/M3)</f>
        <v>548.50967117988398</v>
      </c>
    </row>
    <row r="4" spans="1:16" ht="14.4" customHeight="1" x14ac:dyDescent="0.3">
      <c r="A4" s="380" t="s">
        <v>83</v>
      </c>
      <c r="B4" s="381" t="s">
        <v>84</v>
      </c>
      <c r="C4" s="382" t="s">
        <v>85</v>
      </c>
      <c r="D4" s="383" t="s">
        <v>58</v>
      </c>
      <c r="E4" s="384">
        <v>2012</v>
      </c>
      <c r="F4" s="385"/>
      <c r="G4" s="91"/>
      <c r="H4" s="91"/>
      <c r="I4" s="384">
        <v>2013</v>
      </c>
      <c r="J4" s="385"/>
      <c r="K4" s="91"/>
      <c r="L4" s="91"/>
      <c r="M4" s="384">
        <v>2014</v>
      </c>
      <c r="N4" s="385"/>
      <c r="O4" s="386" t="s">
        <v>2</v>
      </c>
      <c r="P4" s="379" t="s">
        <v>86</v>
      </c>
    </row>
    <row r="5" spans="1:16" ht="14.4" customHeight="1" thickBot="1" x14ac:dyDescent="0.35">
      <c r="A5" s="499"/>
      <c r="B5" s="500"/>
      <c r="C5" s="501"/>
      <c r="D5" s="502"/>
      <c r="E5" s="503" t="s">
        <v>60</v>
      </c>
      <c r="F5" s="504" t="s">
        <v>10</v>
      </c>
      <c r="G5" s="505"/>
      <c r="H5" s="505"/>
      <c r="I5" s="503" t="s">
        <v>60</v>
      </c>
      <c r="J5" s="504" t="s">
        <v>10</v>
      </c>
      <c r="K5" s="505"/>
      <c r="L5" s="505"/>
      <c r="M5" s="503" t="s">
        <v>60</v>
      </c>
      <c r="N5" s="504" t="s">
        <v>10</v>
      </c>
      <c r="O5" s="506"/>
      <c r="P5" s="507"/>
    </row>
    <row r="6" spans="1:16" ht="14.4" customHeight="1" x14ac:dyDescent="0.3">
      <c r="A6" s="439" t="s">
        <v>463</v>
      </c>
      <c r="B6" s="426" t="s">
        <v>464</v>
      </c>
      <c r="C6" s="426" t="s">
        <v>465</v>
      </c>
      <c r="D6" s="426" t="s">
        <v>466</v>
      </c>
      <c r="E6" s="427">
        <v>84</v>
      </c>
      <c r="F6" s="427">
        <v>27888</v>
      </c>
      <c r="G6" s="426">
        <v>1</v>
      </c>
      <c r="H6" s="426">
        <v>332</v>
      </c>
      <c r="I6" s="427">
        <v>22</v>
      </c>
      <c r="J6" s="427">
        <v>7370</v>
      </c>
      <c r="K6" s="426">
        <v>0.26427137119908206</v>
      </c>
      <c r="L6" s="426">
        <v>335</v>
      </c>
      <c r="M6" s="427">
        <v>78</v>
      </c>
      <c r="N6" s="427">
        <v>26420</v>
      </c>
      <c r="O6" s="442">
        <v>0.94736087205966724</v>
      </c>
      <c r="P6" s="458">
        <v>338.71794871794873</v>
      </c>
    </row>
    <row r="7" spans="1:16" ht="14.4" customHeight="1" x14ac:dyDescent="0.3">
      <c r="A7" s="440" t="s">
        <v>463</v>
      </c>
      <c r="B7" s="429" t="s">
        <v>464</v>
      </c>
      <c r="C7" s="429" t="s">
        <v>467</v>
      </c>
      <c r="D7" s="429" t="s">
        <v>468</v>
      </c>
      <c r="E7" s="430">
        <v>31</v>
      </c>
      <c r="F7" s="430">
        <v>1054</v>
      </c>
      <c r="G7" s="429">
        <v>1</v>
      </c>
      <c r="H7" s="429">
        <v>34</v>
      </c>
      <c r="I7" s="430">
        <v>8</v>
      </c>
      <c r="J7" s="430">
        <v>272</v>
      </c>
      <c r="K7" s="429">
        <v>0.25806451612903225</v>
      </c>
      <c r="L7" s="429">
        <v>34</v>
      </c>
      <c r="M7" s="430">
        <v>2</v>
      </c>
      <c r="N7" s="430">
        <v>70</v>
      </c>
      <c r="O7" s="444">
        <v>6.6413662239089177E-2</v>
      </c>
      <c r="P7" s="459">
        <v>35</v>
      </c>
    </row>
    <row r="8" spans="1:16" ht="14.4" customHeight="1" x14ac:dyDescent="0.3">
      <c r="A8" s="440" t="s">
        <v>463</v>
      </c>
      <c r="B8" s="429" t="s">
        <v>464</v>
      </c>
      <c r="C8" s="429" t="s">
        <v>469</v>
      </c>
      <c r="D8" s="429" t="s">
        <v>470</v>
      </c>
      <c r="E8" s="430">
        <v>208</v>
      </c>
      <c r="F8" s="430">
        <v>48048</v>
      </c>
      <c r="G8" s="429">
        <v>1</v>
      </c>
      <c r="H8" s="429">
        <v>231</v>
      </c>
      <c r="I8" s="430">
        <v>151</v>
      </c>
      <c r="J8" s="430">
        <v>35032</v>
      </c>
      <c r="K8" s="429">
        <v>0.72910422910422912</v>
      </c>
      <c r="L8" s="429">
        <v>232</v>
      </c>
      <c r="M8" s="430">
        <v>125</v>
      </c>
      <c r="N8" s="430">
        <v>29106</v>
      </c>
      <c r="O8" s="444">
        <v>0.60576923076923073</v>
      </c>
      <c r="P8" s="459">
        <v>232.84800000000001</v>
      </c>
    </row>
    <row r="9" spans="1:16" ht="14.4" customHeight="1" x14ac:dyDescent="0.3">
      <c r="A9" s="440" t="s">
        <v>463</v>
      </c>
      <c r="B9" s="429" t="s">
        <v>464</v>
      </c>
      <c r="C9" s="429" t="s">
        <v>471</v>
      </c>
      <c r="D9" s="429" t="s">
        <v>472</v>
      </c>
      <c r="E9" s="430">
        <v>66</v>
      </c>
      <c r="F9" s="430">
        <v>0</v>
      </c>
      <c r="G9" s="429"/>
      <c r="H9" s="429">
        <v>0</v>
      </c>
      <c r="I9" s="430">
        <v>43</v>
      </c>
      <c r="J9" s="430">
        <v>0</v>
      </c>
      <c r="K9" s="429"/>
      <c r="L9" s="429">
        <v>0</v>
      </c>
      <c r="M9" s="430">
        <v>42</v>
      </c>
      <c r="N9" s="430">
        <v>0</v>
      </c>
      <c r="O9" s="444"/>
      <c r="P9" s="459">
        <v>0</v>
      </c>
    </row>
    <row r="10" spans="1:16" ht="14.4" customHeight="1" x14ac:dyDescent="0.3">
      <c r="A10" s="440" t="s">
        <v>463</v>
      </c>
      <c r="B10" s="429" t="s">
        <v>464</v>
      </c>
      <c r="C10" s="429" t="s">
        <v>473</v>
      </c>
      <c r="D10" s="429" t="s">
        <v>474</v>
      </c>
      <c r="E10" s="430">
        <v>91</v>
      </c>
      <c r="F10" s="430">
        <v>8645</v>
      </c>
      <c r="G10" s="429">
        <v>1</v>
      </c>
      <c r="H10" s="429">
        <v>95</v>
      </c>
      <c r="I10" s="430">
        <v>22</v>
      </c>
      <c r="J10" s="430">
        <v>2112</v>
      </c>
      <c r="K10" s="429">
        <v>0.24430306535569693</v>
      </c>
      <c r="L10" s="429">
        <v>96</v>
      </c>
      <c r="M10" s="430">
        <v>63</v>
      </c>
      <c r="N10" s="430">
        <v>6095</v>
      </c>
      <c r="O10" s="444">
        <v>0.7050318102949682</v>
      </c>
      <c r="P10" s="459">
        <v>96.746031746031747</v>
      </c>
    </row>
    <row r="11" spans="1:16" ht="14.4" customHeight="1" x14ac:dyDescent="0.3">
      <c r="A11" s="440" t="s">
        <v>463</v>
      </c>
      <c r="B11" s="429" t="s">
        <v>464</v>
      </c>
      <c r="C11" s="429" t="s">
        <v>475</v>
      </c>
      <c r="D11" s="429" t="s">
        <v>476</v>
      </c>
      <c r="E11" s="430">
        <v>52</v>
      </c>
      <c r="F11" s="430">
        <v>13624</v>
      </c>
      <c r="G11" s="429">
        <v>1</v>
      </c>
      <c r="H11" s="429">
        <v>262</v>
      </c>
      <c r="I11" s="430">
        <v>56</v>
      </c>
      <c r="J11" s="430">
        <v>14672</v>
      </c>
      <c r="K11" s="429">
        <v>1.0769230769230769</v>
      </c>
      <c r="L11" s="429">
        <v>262</v>
      </c>
      <c r="M11" s="430">
        <v>629</v>
      </c>
      <c r="N11" s="430">
        <v>164798</v>
      </c>
      <c r="O11" s="444">
        <v>12.096153846153847</v>
      </c>
      <c r="P11" s="459">
        <v>262</v>
      </c>
    </row>
    <row r="12" spans="1:16" ht="14.4" customHeight="1" thickBot="1" x14ac:dyDescent="0.35">
      <c r="A12" s="441" t="s">
        <v>463</v>
      </c>
      <c r="B12" s="432" t="s">
        <v>464</v>
      </c>
      <c r="C12" s="432" t="s">
        <v>477</v>
      </c>
      <c r="D12" s="432" t="s">
        <v>478</v>
      </c>
      <c r="E12" s="433">
        <v>36</v>
      </c>
      <c r="F12" s="433">
        <v>129096</v>
      </c>
      <c r="G12" s="432">
        <v>1</v>
      </c>
      <c r="H12" s="432">
        <v>3586</v>
      </c>
      <c r="I12" s="433">
        <v>82</v>
      </c>
      <c r="J12" s="433">
        <v>294052</v>
      </c>
      <c r="K12" s="432">
        <v>2.2777777777777777</v>
      </c>
      <c r="L12" s="432">
        <v>3586</v>
      </c>
      <c r="M12" s="433">
        <v>95</v>
      </c>
      <c r="N12" s="433">
        <v>340670</v>
      </c>
      <c r="O12" s="446">
        <v>2.6388888888888888</v>
      </c>
      <c r="P12" s="460">
        <v>3586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0.10937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06" t="s">
        <v>113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17" t="s">
        <v>230</v>
      </c>
      <c r="B2" s="213"/>
      <c r="C2" s="101"/>
      <c r="D2" s="213"/>
      <c r="E2" s="101"/>
      <c r="F2" s="213"/>
      <c r="G2" s="214"/>
      <c r="H2" s="213"/>
      <c r="I2" s="101"/>
      <c r="J2" s="213"/>
      <c r="K2" s="101"/>
      <c r="L2" s="213"/>
      <c r="M2" s="214"/>
      <c r="N2" s="213"/>
      <c r="O2" s="101"/>
      <c r="P2" s="213"/>
      <c r="Q2" s="101"/>
      <c r="R2" s="213"/>
      <c r="S2" s="214"/>
    </row>
    <row r="3" spans="1:19" ht="14.4" customHeight="1" thickBot="1" x14ac:dyDescent="0.35">
      <c r="A3" s="207" t="s">
        <v>114</v>
      </c>
      <c r="B3" s="208">
        <f>SUBTOTAL(9,B6:B1048576)</f>
        <v>4192</v>
      </c>
      <c r="C3" s="209">
        <f t="shared" ref="C3:R3" si="0">SUBTOTAL(9,C6:C1048576)</f>
        <v>8</v>
      </c>
      <c r="D3" s="209">
        <f t="shared" si="0"/>
        <v>5568</v>
      </c>
      <c r="E3" s="209">
        <f t="shared" si="0"/>
        <v>4.1679653679653672</v>
      </c>
      <c r="F3" s="209">
        <f t="shared" si="0"/>
        <v>6286</v>
      </c>
      <c r="G3" s="212">
        <f>IF(B3&lt;&gt;0,F3/B3,"")</f>
        <v>1.4995229007633588</v>
      </c>
      <c r="H3" s="208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0" t="str">
        <f>IF(H3&lt;&gt;0,L3/H3,"")</f>
        <v/>
      </c>
      <c r="N3" s="211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5" t="s">
        <v>94</v>
      </c>
      <c r="B4" s="376" t="s">
        <v>88</v>
      </c>
      <c r="C4" s="377"/>
      <c r="D4" s="377"/>
      <c r="E4" s="377"/>
      <c r="F4" s="377"/>
      <c r="G4" s="378"/>
      <c r="H4" s="376" t="s">
        <v>89</v>
      </c>
      <c r="I4" s="377"/>
      <c r="J4" s="377"/>
      <c r="K4" s="377"/>
      <c r="L4" s="377"/>
      <c r="M4" s="378"/>
      <c r="N4" s="376" t="s">
        <v>90</v>
      </c>
      <c r="O4" s="377"/>
      <c r="P4" s="377"/>
      <c r="Q4" s="377"/>
      <c r="R4" s="377"/>
      <c r="S4" s="378"/>
    </row>
    <row r="5" spans="1:19" ht="14.4" customHeight="1" thickBot="1" x14ac:dyDescent="0.35">
      <c r="A5" s="489"/>
      <c r="B5" s="490">
        <v>2012</v>
      </c>
      <c r="C5" s="491"/>
      <c r="D5" s="491">
        <v>2013</v>
      </c>
      <c r="E5" s="491"/>
      <c r="F5" s="491">
        <v>2014</v>
      </c>
      <c r="G5" s="492" t="s">
        <v>2</v>
      </c>
      <c r="H5" s="490">
        <v>2012</v>
      </c>
      <c r="I5" s="491"/>
      <c r="J5" s="491">
        <v>2013</v>
      </c>
      <c r="K5" s="491"/>
      <c r="L5" s="491">
        <v>2014</v>
      </c>
      <c r="M5" s="492" t="s">
        <v>2</v>
      </c>
      <c r="N5" s="490">
        <v>2012</v>
      </c>
      <c r="O5" s="491"/>
      <c r="P5" s="491">
        <v>2013</v>
      </c>
      <c r="Q5" s="491"/>
      <c r="R5" s="491">
        <v>2014</v>
      </c>
      <c r="S5" s="492" t="s">
        <v>2</v>
      </c>
    </row>
    <row r="6" spans="1:19" ht="14.4" customHeight="1" x14ac:dyDescent="0.3">
      <c r="A6" s="469" t="s">
        <v>480</v>
      </c>
      <c r="B6" s="508">
        <v>231</v>
      </c>
      <c r="C6" s="426">
        <v>1</v>
      </c>
      <c r="D6" s="508"/>
      <c r="E6" s="426"/>
      <c r="F6" s="508"/>
      <c r="G6" s="442"/>
      <c r="H6" s="508"/>
      <c r="I6" s="426"/>
      <c r="J6" s="508"/>
      <c r="K6" s="426"/>
      <c r="L6" s="508"/>
      <c r="M6" s="442"/>
      <c r="N6" s="508"/>
      <c r="O6" s="426"/>
      <c r="P6" s="508"/>
      <c r="Q6" s="426"/>
      <c r="R6" s="508"/>
      <c r="S6" s="443"/>
    </row>
    <row r="7" spans="1:19" ht="14.4" customHeight="1" x14ac:dyDescent="0.3">
      <c r="A7" s="470" t="s">
        <v>481</v>
      </c>
      <c r="B7" s="509">
        <v>1155</v>
      </c>
      <c r="C7" s="429">
        <v>1</v>
      </c>
      <c r="D7" s="509">
        <v>1624</v>
      </c>
      <c r="E7" s="429">
        <v>1.406060606060606</v>
      </c>
      <c r="F7" s="509">
        <v>700</v>
      </c>
      <c r="G7" s="444">
        <v>0.60606060606060608</v>
      </c>
      <c r="H7" s="509"/>
      <c r="I7" s="429"/>
      <c r="J7" s="509"/>
      <c r="K7" s="429"/>
      <c r="L7" s="509"/>
      <c r="M7" s="444"/>
      <c r="N7" s="509"/>
      <c r="O7" s="429"/>
      <c r="P7" s="509"/>
      <c r="Q7" s="429"/>
      <c r="R7" s="509"/>
      <c r="S7" s="445"/>
    </row>
    <row r="8" spans="1:19" ht="14.4" customHeight="1" x14ac:dyDescent="0.3">
      <c r="A8" s="470" t="s">
        <v>482</v>
      </c>
      <c r="B8" s="509"/>
      <c r="C8" s="429"/>
      <c r="D8" s="509">
        <v>928</v>
      </c>
      <c r="E8" s="429"/>
      <c r="F8" s="509">
        <v>464</v>
      </c>
      <c r="G8" s="444"/>
      <c r="H8" s="509"/>
      <c r="I8" s="429"/>
      <c r="J8" s="509"/>
      <c r="K8" s="429"/>
      <c r="L8" s="509"/>
      <c r="M8" s="444"/>
      <c r="N8" s="509"/>
      <c r="O8" s="429"/>
      <c r="P8" s="509"/>
      <c r="Q8" s="429"/>
      <c r="R8" s="509"/>
      <c r="S8" s="445"/>
    </row>
    <row r="9" spans="1:19" ht="14.4" customHeight="1" x14ac:dyDescent="0.3">
      <c r="A9" s="470" t="s">
        <v>483</v>
      </c>
      <c r="B9" s="509">
        <v>924</v>
      </c>
      <c r="C9" s="429">
        <v>1</v>
      </c>
      <c r="D9" s="509">
        <v>1856</v>
      </c>
      <c r="E9" s="429">
        <v>2.0086580086580086</v>
      </c>
      <c r="F9" s="509">
        <v>2092</v>
      </c>
      <c r="G9" s="444">
        <v>2.2640692640692639</v>
      </c>
      <c r="H9" s="509"/>
      <c r="I9" s="429"/>
      <c r="J9" s="509"/>
      <c r="K9" s="429"/>
      <c r="L9" s="509"/>
      <c r="M9" s="444"/>
      <c r="N9" s="509"/>
      <c r="O9" s="429"/>
      <c r="P9" s="509"/>
      <c r="Q9" s="429"/>
      <c r="R9" s="509"/>
      <c r="S9" s="445"/>
    </row>
    <row r="10" spans="1:19" ht="14.4" customHeight="1" x14ac:dyDescent="0.3">
      <c r="A10" s="470" t="s">
        <v>484</v>
      </c>
      <c r="B10" s="509"/>
      <c r="C10" s="429"/>
      <c r="D10" s="509"/>
      <c r="E10" s="429"/>
      <c r="F10" s="509">
        <v>232</v>
      </c>
      <c r="G10" s="444"/>
      <c r="H10" s="509"/>
      <c r="I10" s="429"/>
      <c r="J10" s="509"/>
      <c r="K10" s="429"/>
      <c r="L10" s="509"/>
      <c r="M10" s="444"/>
      <c r="N10" s="509"/>
      <c r="O10" s="429"/>
      <c r="P10" s="509"/>
      <c r="Q10" s="429"/>
      <c r="R10" s="509"/>
      <c r="S10" s="445"/>
    </row>
    <row r="11" spans="1:19" ht="14.4" customHeight="1" x14ac:dyDescent="0.3">
      <c r="A11" s="470" t="s">
        <v>485</v>
      </c>
      <c r="B11" s="509">
        <v>231</v>
      </c>
      <c r="C11" s="429">
        <v>1</v>
      </c>
      <c r="D11" s="509"/>
      <c r="E11" s="429"/>
      <c r="F11" s="509">
        <v>468</v>
      </c>
      <c r="G11" s="444">
        <v>2.0259740259740258</v>
      </c>
      <c r="H11" s="509"/>
      <c r="I11" s="429"/>
      <c r="J11" s="509"/>
      <c r="K11" s="429"/>
      <c r="L11" s="509"/>
      <c r="M11" s="444"/>
      <c r="N11" s="509"/>
      <c r="O11" s="429"/>
      <c r="P11" s="509"/>
      <c r="Q11" s="429"/>
      <c r="R11" s="509"/>
      <c r="S11" s="445"/>
    </row>
    <row r="12" spans="1:19" ht="14.4" customHeight="1" x14ac:dyDescent="0.3">
      <c r="A12" s="470" t="s">
        <v>486</v>
      </c>
      <c r="B12" s="509">
        <v>231</v>
      </c>
      <c r="C12" s="429">
        <v>1</v>
      </c>
      <c r="D12" s="509"/>
      <c r="E12" s="429"/>
      <c r="F12" s="509"/>
      <c r="G12" s="444"/>
      <c r="H12" s="509"/>
      <c r="I12" s="429"/>
      <c r="J12" s="509"/>
      <c r="K12" s="429"/>
      <c r="L12" s="509"/>
      <c r="M12" s="444"/>
      <c r="N12" s="509"/>
      <c r="O12" s="429"/>
      <c r="P12" s="509"/>
      <c r="Q12" s="429"/>
      <c r="R12" s="509"/>
      <c r="S12" s="445"/>
    </row>
    <row r="13" spans="1:19" ht="14.4" customHeight="1" x14ac:dyDescent="0.3">
      <c r="A13" s="470" t="s">
        <v>487</v>
      </c>
      <c r="B13" s="509"/>
      <c r="C13" s="429"/>
      <c r="D13" s="509"/>
      <c r="E13" s="429"/>
      <c r="F13" s="509">
        <v>234</v>
      </c>
      <c r="G13" s="444"/>
      <c r="H13" s="509"/>
      <c r="I13" s="429"/>
      <c r="J13" s="509"/>
      <c r="K13" s="429"/>
      <c r="L13" s="509"/>
      <c r="M13" s="444"/>
      <c r="N13" s="509"/>
      <c r="O13" s="429"/>
      <c r="P13" s="509"/>
      <c r="Q13" s="429"/>
      <c r="R13" s="509"/>
      <c r="S13" s="445"/>
    </row>
    <row r="14" spans="1:19" ht="14.4" customHeight="1" x14ac:dyDescent="0.3">
      <c r="A14" s="470" t="s">
        <v>488</v>
      </c>
      <c r="B14" s="509">
        <v>265</v>
      </c>
      <c r="C14" s="429">
        <v>1</v>
      </c>
      <c r="D14" s="509"/>
      <c r="E14" s="429"/>
      <c r="F14" s="509"/>
      <c r="G14" s="444"/>
      <c r="H14" s="509"/>
      <c r="I14" s="429"/>
      <c r="J14" s="509"/>
      <c r="K14" s="429"/>
      <c r="L14" s="509"/>
      <c r="M14" s="444"/>
      <c r="N14" s="509"/>
      <c r="O14" s="429"/>
      <c r="P14" s="509"/>
      <c r="Q14" s="429"/>
      <c r="R14" s="509"/>
      <c r="S14" s="445"/>
    </row>
    <row r="15" spans="1:19" ht="14.4" customHeight="1" x14ac:dyDescent="0.3">
      <c r="A15" s="470" t="s">
        <v>489</v>
      </c>
      <c r="B15" s="509"/>
      <c r="C15" s="429"/>
      <c r="D15" s="509"/>
      <c r="E15" s="429"/>
      <c r="F15" s="509">
        <v>1628</v>
      </c>
      <c r="G15" s="444"/>
      <c r="H15" s="509"/>
      <c r="I15" s="429"/>
      <c r="J15" s="509"/>
      <c r="K15" s="429"/>
      <c r="L15" s="509"/>
      <c r="M15" s="444"/>
      <c r="N15" s="509"/>
      <c r="O15" s="429"/>
      <c r="P15" s="509"/>
      <c r="Q15" s="429"/>
      <c r="R15" s="509"/>
      <c r="S15" s="445"/>
    </row>
    <row r="16" spans="1:19" ht="14.4" customHeight="1" x14ac:dyDescent="0.3">
      <c r="A16" s="470" t="s">
        <v>490</v>
      </c>
      <c r="B16" s="509">
        <v>924</v>
      </c>
      <c r="C16" s="429">
        <v>1</v>
      </c>
      <c r="D16" s="509">
        <v>696</v>
      </c>
      <c r="E16" s="429">
        <v>0.75324675324675328</v>
      </c>
      <c r="F16" s="509"/>
      <c r="G16" s="444"/>
      <c r="H16" s="509"/>
      <c r="I16" s="429"/>
      <c r="J16" s="509"/>
      <c r="K16" s="429"/>
      <c r="L16" s="509"/>
      <c r="M16" s="444"/>
      <c r="N16" s="509"/>
      <c r="O16" s="429"/>
      <c r="P16" s="509"/>
      <c r="Q16" s="429"/>
      <c r="R16" s="509"/>
      <c r="S16" s="445"/>
    </row>
    <row r="17" spans="1:19" ht="14.4" customHeight="1" x14ac:dyDescent="0.3">
      <c r="A17" s="470" t="s">
        <v>491</v>
      </c>
      <c r="B17" s="509">
        <v>231</v>
      </c>
      <c r="C17" s="429">
        <v>1</v>
      </c>
      <c r="D17" s="509"/>
      <c r="E17" s="429"/>
      <c r="F17" s="509">
        <v>468</v>
      </c>
      <c r="G17" s="444">
        <v>2.0259740259740258</v>
      </c>
      <c r="H17" s="509"/>
      <c r="I17" s="429"/>
      <c r="J17" s="509"/>
      <c r="K17" s="429"/>
      <c r="L17" s="509"/>
      <c r="M17" s="444"/>
      <c r="N17" s="509"/>
      <c r="O17" s="429"/>
      <c r="P17" s="509"/>
      <c r="Q17" s="429"/>
      <c r="R17" s="509"/>
      <c r="S17" s="445"/>
    </row>
    <row r="18" spans="1:19" ht="14.4" customHeight="1" x14ac:dyDescent="0.3">
      <c r="A18" s="470" t="s">
        <v>492</v>
      </c>
      <c r="B18" s="509"/>
      <c r="C18" s="429"/>
      <c r="D18" s="509">
        <v>232</v>
      </c>
      <c r="E18" s="429"/>
      <c r="F18" s="509"/>
      <c r="G18" s="444"/>
      <c r="H18" s="509"/>
      <c r="I18" s="429"/>
      <c r="J18" s="509"/>
      <c r="K18" s="429"/>
      <c r="L18" s="509"/>
      <c r="M18" s="444"/>
      <c r="N18" s="509"/>
      <c r="O18" s="429"/>
      <c r="P18" s="509"/>
      <c r="Q18" s="429"/>
      <c r="R18" s="509"/>
      <c r="S18" s="445"/>
    </row>
    <row r="19" spans="1:19" ht="14.4" customHeight="1" thickBot="1" x14ac:dyDescent="0.35">
      <c r="A19" s="511" t="s">
        <v>493</v>
      </c>
      <c r="B19" s="510"/>
      <c r="C19" s="432"/>
      <c r="D19" s="510">
        <v>232</v>
      </c>
      <c r="E19" s="432"/>
      <c r="F19" s="510"/>
      <c r="G19" s="446"/>
      <c r="H19" s="510"/>
      <c r="I19" s="432"/>
      <c r="J19" s="510"/>
      <c r="K19" s="432"/>
      <c r="L19" s="510"/>
      <c r="M19" s="446"/>
      <c r="N19" s="510"/>
      <c r="O19" s="432"/>
      <c r="P19" s="510"/>
      <c r="Q19" s="432"/>
      <c r="R19" s="510"/>
      <c r="S19" s="4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20" bestFit="1" customWidth="1"/>
    <col min="2" max="2" width="8.6640625" style="120" bestFit="1" customWidth="1"/>
    <col min="3" max="3" width="2.109375" style="120" bestFit="1" customWidth="1"/>
    <col min="4" max="4" width="8" style="120" bestFit="1" customWidth="1"/>
    <col min="5" max="5" width="52.88671875" style="120" bestFit="1" customWidth="1"/>
    <col min="6" max="7" width="11.109375" style="198" customWidth="1"/>
    <col min="8" max="9" width="9.33203125" style="198" hidden="1" customWidth="1"/>
    <col min="10" max="11" width="11.109375" style="198" customWidth="1"/>
    <col min="12" max="13" width="9.33203125" style="198" hidden="1" customWidth="1"/>
    <col min="14" max="15" width="11.109375" style="198" customWidth="1"/>
    <col min="16" max="16" width="11.109375" style="201" customWidth="1"/>
    <col min="17" max="17" width="11.109375" style="198" customWidth="1"/>
    <col min="18" max="16384" width="8.88671875" style="120"/>
  </cols>
  <sheetData>
    <row r="1" spans="1:17" ht="18.600000000000001" customHeight="1" thickBot="1" x14ac:dyDescent="0.4">
      <c r="A1" s="297" t="s">
        <v>508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17" t="s">
        <v>230</v>
      </c>
      <c r="B2" s="121"/>
      <c r="C2" s="121"/>
      <c r="D2" s="121"/>
      <c r="E2" s="121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  <c r="Q2" s="215"/>
    </row>
    <row r="3" spans="1:17" ht="14.4" customHeight="1" thickBot="1" x14ac:dyDescent="0.35">
      <c r="E3" s="77" t="s">
        <v>114</v>
      </c>
      <c r="F3" s="92">
        <f t="shared" ref="F3:O3" si="0">SUBTOTAL(9,F6:F1048576)</f>
        <v>19</v>
      </c>
      <c r="G3" s="93">
        <f t="shared" si="0"/>
        <v>4192</v>
      </c>
      <c r="H3" s="93"/>
      <c r="I3" s="93"/>
      <c r="J3" s="93">
        <f t="shared" si="0"/>
        <v>24</v>
      </c>
      <c r="K3" s="93">
        <f t="shared" si="0"/>
        <v>5568</v>
      </c>
      <c r="L3" s="93"/>
      <c r="M3" s="93"/>
      <c r="N3" s="93">
        <f t="shared" si="0"/>
        <v>27</v>
      </c>
      <c r="O3" s="93">
        <f t="shared" si="0"/>
        <v>6286</v>
      </c>
      <c r="P3" s="67">
        <f>IF(G3=0,0,O3/G3)</f>
        <v>1.4995229007633588</v>
      </c>
      <c r="Q3" s="94">
        <f>IF(N3=0,0,O3/N3)</f>
        <v>232.81481481481481</v>
      </c>
    </row>
    <row r="4" spans="1:17" ht="14.4" customHeight="1" x14ac:dyDescent="0.3">
      <c r="A4" s="381" t="s">
        <v>57</v>
      </c>
      <c r="B4" s="380" t="s">
        <v>83</v>
      </c>
      <c r="C4" s="381" t="s">
        <v>84</v>
      </c>
      <c r="D4" s="382" t="s">
        <v>85</v>
      </c>
      <c r="E4" s="383" t="s">
        <v>58</v>
      </c>
      <c r="F4" s="387">
        <v>2012</v>
      </c>
      <c r="G4" s="388"/>
      <c r="H4" s="95"/>
      <c r="I4" s="95"/>
      <c r="J4" s="387">
        <v>2013</v>
      </c>
      <c r="K4" s="388"/>
      <c r="L4" s="95"/>
      <c r="M4" s="95"/>
      <c r="N4" s="387">
        <v>2014</v>
      </c>
      <c r="O4" s="388"/>
      <c r="P4" s="389" t="s">
        <v>2</v>
      </c>
      <c r="Q4" s="379" t="s">
        <v>86</v>
      </c>
    </row>
    <row r="5" spans="1:17" ht="14.4" customHeight="1" thickBot="1" x14ac:dyDescent="0.35">
      <c r="A5" s="500"/>
      <c r="B5" s="499"/>
      <c r="C5" s="500"/>
      <c r="D5" s="501"/>
      <c r="E5" s="502"/>
      <c r="F5" s="512" t="s">
        <v>60</v>
      </c>
      <c r="G5" s="513" t="s">
        <v>10</v>
      </c>
      <c r="H5" s="514"/>
      <c r="I5" s="514"/>
      <c r="J5" s="512" t="s">
        <v>60</v>
      </c>
      <c r="K5" s="513" t="s">
        <v>10</v>
      </c>
      <c r="L5" s="514"/>
      <c r="M5" s="514"/>
      <c r="N5" s="512" t="s">
        <v>60</v>
      </c>
      <c r="O5" s="513" t="s">
        <v>10</v>
      </c>
      <c r="P5" s="515"/>
      <c r="Q5" s="507"/>
    </row>
    <row r="6" spans="1:17" ht="14.4" customHeight="1" x14ac:dyDescent="0.3">
      <c r="A6" s="439" t="s">
        <v>494</v>
      </c>
      <c r="B6" s="426" t="s">
        <v>463</v>
      </c>
      <c r="C6" s="426" t="s">
        <v>464</v>
      </c>
      <c r="D6" s="426" t="s">
        <v>469</v>
      </c>
      <c r="E6" s="426" t="s">
        <v>470</v>
      </c>
      <c r="F6" s="427">
        <v>1</v>
      </c>
      <c r="G6" s="427">
        <v>231</v>
      </c>
      <c r="H6" s="427">
        <v>1</v>
      </c>
      <c r="I6" s="427">
        <v>231</v>
      </c>
      <c r="J6" s="427"/>
      <c r="K6" s="427"/>
      <c r="L6" s="427"/>
      <c r="M6" s="427"/>
      <c r="N6" s="427"/>
      <c r="O6" s="427"/>
      <c r="P6" s="442"/>
      <c r="Q6" s="458"/>
    </row>
    <row r="7" spans="1:17" ht="14.4" customHeight="1" x14ac:dyDescent="0.3">
      <c r="A7" s="440" t="s">
        <v>495</v>
      </c>
      <c r="B7" s="429" t="s">
        <v>463</v>
      </c>
      <c r="C7" s="429" t="s">
        <v>464</v>
      </c>
      <c r="D7" s="429" t="s">
        <v>469</v>
      </c>
      <c r="E7" s="429" t="s">
        <v>470</v>
      </c>
      <c r="F7" s="430">
        <v>5</v>
      </c>
      <c r="G7" s="430">
        <v>1155</v>
      </c>
      <c r="H7" s="430">
        <v>1</v>
      </c>
      <c r="I7" s="430">
        <v>231</v>
      </c>
      <c r="J7" s="430">
        <v>7</v>
      </c>
      <c r="K7" s="430">
        <v>1624</v>
      </c>
      <c r="L7" s="430">
        <v>1.406060606060606</v>
      </c>
      <c r="M7" s="430">
        <v>232</v>
      </c>
      <c r="N7" s="430">
        <v>3</v>
      </c>
      <c r="O7" s="430">
        <v>700</v>
      </c>
      <c r="P7" s="444">
        <v>0.60606060606060608</v>
      </c>
      <c r="Q7" s="459">
        <v>233.33333333333334</v>
      </c>
    </row>
    <row r="8" spans="1:17" ht="14.4" customHeight="1" x14ac:dyDescent="0.3">
      <c r="A8" s="440" t="s">
        <v>496</v>
      </c>
      <c r="B8" s="429" t="s">
        <v>463</v>
      </c>
      <c r="C8" s="429" t="s">
        <v>464</v>
      </c>
      <c r="D8" s="429" t="s">
        <v>469</v>
      </c>
      <c r="E8" s="429" t="s">
        <v>470</v>
      </c>
      <c r="F8" s="430"/>
      <c r="G8" s="430"/>
      <c r="H8" s="430"/>
      <c r="I8" s="430"/>
      <c r="J8" s="430">
        <v>4</v>
      </c>
      <c r="K8" s="430">
        <v>928</v>
      </c>
      <c r="L8" s="430"/>
      <c r="M8" s="430">
        <v>232</v>
      </c>
      <c r="N8" s="430">
        <v>2</v>
      </c>
      <c r="O8" s="430">
        <v>464</v>
      </c>
      <c r="P8" s="444"/>
      <c r="Q8" s="459">
        <v>232</v>
      </c>
    </row>
    <row r="9" spans="1:17" ht="14.4" customHeight="1" x14ac:dyDescent="0.3">
      <c r="A9" s="440" t="s">
        <v>497</v>
      </c>
      <c r="B9" s="429" t="s">
        <v>463</v>
      </c>
      <c r="C9" s="429" t="s">
        <v>464</v>
      </c>
      <c r="D9" s="429" t="s">
        <v>469</v>
      </c>
      <c r="E9" s="429" t="s">
        <v>470</v>
      </c>
      <c r="F9" s="430">
        <v>4</v>
      </c>
      <c r="G9" s="430">
        <v>924</v>
      </c>
      <c r="H9" s="430">
        <v>1</v>
      </c>
      <c r="I9" s="430">
        <v>231</v>
      </c>
      <c r="J9" s="430">
        <v>8</v>
      </c>
      <c r="K9" s="430">
        <v>1856</v>
      </c>
      <c r="L9" s="430">
        <v>2.0086580086580086</v>
      </c>
      <c r="M9" s="430">
        <v>232</v>
      </c>
      <c r="N9" s="430">
        <v>9</v>
      </c>
      <c r="O9" s="430">
        <v>2092</v>
      </c>
      <c r="P9" s="444">
        <v>2.2640692640692639</v>
      </c>
      <c r="Q9" s="459">
        <v>232.44444444444446</v>
      </c>
    </row>
    <row r="10" spans="1:17" ht="14.4" customHeight="1" x14ac:dyDescent="0.3">
      <c r="A10" s="440" t="s">
        <v>498</v>
      </c>
      <c r="B10" s="429" t="s">
        <v>463</v>
      </c>
      <c r="C10" s="429" t="s">
        <v>464</v>
      </c>
      <c r="D10" s="429" t="s">
        <v>469</v>
      </c>
      <c r="E10" s="429" t="s">
        <v>470</v>
      </c>
      <c r="F10" s="430"/>
      <c r="G10" s="430"/>
      <c r="H10" s="430"/>
      <c r="I10" s="430"/>
      <c r="J10" s="430"/>
      <c r="K10" s="430"/>
      <c r="L10" s="430"/>
      <c r="M10" s="430"/>
      <c r="N10" s="430">
        <v>1</v>
      </c>
      <c r="O10" s="430">
        <v>232</v>
      </c>
      <c r="P10" s="444"/>
      <c r="Q10" s="459">
        <v>232</v>
      </c>
    </row>
    <row r="11" spans="1:17" ht="14.4" customHeight="1" x14ac:dyDescent="0.3">
      <c r="A11" s="440" t="s">
        <v>499</v>
      </c>
      <c r="B11" s="429" t="s">
        <v>463</v>
      </c>
      <c r="C11" s="429" t="s">
        <v>464</v>
      </c>
      <c r="D11" s="429" t="s">
        <v>469</v>
      </c>
      <c r="E11" s="429" t="s">
        <v>470</v>
      </c>
      <c r="F11" s="430">
        <v>1</v>
      </c>
      <c r="G11" s="430">
        <v>231</v>
      </c>
      <c r="H11" s="430">
        <v>1</v>
      </c>
      <c r="I11" s="430">
        <v>231</v>
      </c>
      <c r="J11" s="430"/>
      <c r="K11" s="430"/>
      <c r="L11" s="430"/>
      <c r="M11" s="430"/>
      <c r="N11" s="430">
        <v>2</v>
      </c>
      <c r="O11" s="430">
        <v>468</v>
      </c>
      <c r="P11" s="444">
        <v>2.0259740259740258</v>
      </c>
      <c r="Q11" s="459">
        <v>234</v>
      </c>
    </row>
    <row r="12" spans="1:17" ht="14.4" customHeight="1" x14ac:dyDescent="0.3">
      <c r="A12" s="440" t="s">
        <v>500</v>
      </c>
      <c r="B12" s="429" t="s">
        <v>463</v>
      </c>
      <c r="C12" s="429" t="s">
        <v>464</v>
      </c>
      <c r="D12" s="429" t="s">
        <v>469</v>
      </c>
      <c r="E12" s="429" t="s">
        <v>470</v>
      </c>
      <c r="F12" s="430">
        <v>1</v>
      </c>
      <c r="G12" s="430">
        <v>231</v>
      </c>
      <c r="H12" s="430">
        <v>1</v>
      </c>
      <c r="I12" s="430">
        <v>231</v>
      </c>
      <c r="J12" s="430"/>
      <c r="K12" s="430"/>
      <c r="L12" s="430"/>
      <c r="M12" s="430"/>
      <c r="N12" s="430"/>
      <c r="O12" s="430"/>
      <c r="P12" s="444"/>
      <c r="Q12" s="459"/>
    </row>
    <row r="13" spans="1:17" ht="14.4" customHeight="1" x14ac:dyDescent="0.3">
      <c r="A13" s="440" t="s">
        <v>501</v>
      </c>
      <c r="B13" s="429" t="s">
        <v>463</v>
      </c>
      <c r="C13" s="429" t="s">
        <v>464</v>
      </c>
      <c r="D13" s="429" t="s">
        <v>469</v>
      </c>
      <c r="E13" s="429" t="s">
        <v>470</v>
      </c>
      <c r="F13" s="430"/>
      <c r="G13" s="430"/>
      <c r="H13" s="430"/>
      <c r="I13" s="430"/>
      <c r="J13" s="430"/>
      <c r="K13" s="430"/>
      <c r="L13" s="430"/>
      <c r="M13" s="430"/>
      <c r="N13" s="430">
        <v>1</v>
      </c>
      <c r="O13" s="430">
        <v>234</v>
      </c>
      <c r="P13" s="444"/>
      <c r="Q13" s="459">
        <v>234</v>
      </c>
    </row>
    <row r="14" spans="1:17" ht="14.4" customHeight="1" x14ac:dyDescent="0.3">
      <c r="A14" s="440" t="s">
        <v>502</v>
      </c>
      <c r="B14" s="429" t="s">
        <v>463</v>
      </c>
      <c r="C14" s="429" t="s">
        <v>464</v>
      </c>
      <c r="D14" s="429" t="s">
        <v>467</v>
      </c>
      <c r="E14" s="429" t="s">
        <v>468</v>
      </c>
      <c r="F14" s="430">
        <v>1</v>
      </c>
      <c r="G14" s="430">
        <v>34</v>
      </c>
      <c r="H14" s="430">
        <v>1</v>
      </c>
      <c r="I14" s="430">
        <v>34</v>
      </c>
      <c r="J14" s="430"/>
      <c r="K14" s="430"/>
      <c r="L14" s="430"/>
      <c r="M14" s="430"/>
      <c r="N14" s="430"/>
      <c r="O14" s="430"/>
      <c r="P14" s="444"/>
      <c r="Q14" s="459"/>
    </row>
    <row r="15" spans="1:17" ht="14.4" customHeight="1" x14ac:dyDescent="0.3">
      <c r="A15" s="440" t="s">
        <v>502</v>
      </c>
      <c r="B15" s="429" t="s">
        <v>463</v>
      </c>
      <c r="C15" s="429" t="s">
        <v>464</v>
      </c>
      <c r="D15" s="429" t="s">
        <v>469</v>
      </c>
      <c r="E15" s="429" t="s">
        <v>470</v>
      </c>
      <c r="F15" s="430">
        <v>1</v>
      </c>
      <c r="G15" s="430">
        <v>231</v>
      </c>
      <c r="H15" s="430">
        <v>1</v>
      </c>
      <c r="I15" s="430">
        <v>231</v>
      </c>
      <c r="J15" s="430"/>
      <c r="K15" s="430"/>
      <c r="L15" s="430"/>
      <c r="M15" s="430"/>
      <c r="N15" s="430"/>
      <c r="O15" s="430"/>
      <c r="P15" s="444"/>
      <c r="Q15" s="459"/>
    </row>
    <row r="16" spans="1:17" ht="14.4" customHeight="1" x14ac:dyDescent="0.3">
      <c r="A16" s="440" t="s">
        <v>503</v>
      </c>
      <c r="B16" s="429" t="s">
        <v>463</v>
      </c>
      <c r="C16" s="429" t="s">
        <v>464</v>
      </c>
      <c r="D16" s="429" t="s">
        <v>469</v>
      </c>
      <c r="E16" s="429" t="s">
        <v>470</v>
      </c>
      <c r="F16" s="430"/>
      <c r="G16" s="430"/>
      <c r="H16" s="430"/>
      <c r="I16" s="430"/>
      <c r="J16" s="430"/>
      <c r="K16" s="430"/>
      <c r="L16" s="430"/>
      <c r="M16" s="430"/>
      <c r="N16" s="430">
        <v>7</v>
      </c>
      <c r="O16" s="430">
        <v>1628</v>
      </c>
      <c r="P16" s="444"/>
      <c r="Q16" s="459">
        <v>232.57142857142858</v>
      </c>
    </row>
    <row r="17" spans="1:17" ht="14.4" customHeight="1" x14ac:dyDescent="0.3">
      <c r="A17" s="440" t="s">
        <v>504</v>
      </c>
      <c r="B17" s="429" t="s">
        <v>463</v>
      </c>
      <c r="C17" s="429" t="s">
        <v>464</v>
      </c>
      <c r="D17" s="429" t="s">
        <v>469</v>
      </c>
      <c r="E17" s="429" t="s">
        <v>470</v>
      </c>
      <c r="F17" s="430">
        <v>4</v>
      </c>
      <c r="G17" s="430">
        <v>924</v>
      </c>
      <c r="H17" s="430">
        <v>1</v>
      </c>
      <c r="I17" s="430">
        <v>231</v>
      </c>
      <c r="J17" s="430">
        <v>3</v>
      </c>
      <c r="K17" s="430">
        <v>696</v>
      </c>
      <c r="L17" s="430">
        <v>0.75324675324675328</v>
      </c>
      <c r="M17" s="430">
        <v>232</v>
      </c>
      <c r="N17" s="430"/>
      <c r="O17" s="430"/>
      <c r="P17" s="444"/>
      <c r="Q17" s="459"/>
    </row>
    <row r="18" spans="1:17" ht="14.4" customHeight="1" x14ac:dyDescent="0.3">
      <c r="A18" s="440" t="s">
        <v>505</v>
      </c>
      <c r="B18" s="429" t="s">
        <v>463</v>
      </c>
      <c r="C18" s="429" t="s">
        <v>464</v>
      </c>
      <c r="D18" s="429" t="s">
        <v>469</v>
      </c>
      <c r="E18" s="429" t="s">
        <v>470</v>
      </c>
      <c r="F18" s="430">
        <v>1</v>
      </c>
      <c r="G18" s="430">
        <v>231</v>
      </c>
      <c r="H18" s="430">
        <v>1</v>
      </c>
      <c r="I18" s="430">
        <v>231</v>
      </c>
      <c r="J18" s="430"/>
      <c r="K18" s="430"/>
      <c r="L18" s="430"/>
      <c r="M18" s="430"/>
      <c r="N18" s="430">
        <v>2</v>
      </c>
      <c r="O18" s="430">
        <v>468</v>
      </c>
      <c r="P18" s="444">
        <v>2.0259740259740258</v>
      </c>
      <c r="Q18" s="459">
        <v>234</v>
      </c>
    </row>
    <row r="19" spans="1:17" ht="14.4" customHeight="1" x14ac:dyDescent="0.3">
      <c r="A19" s="440" t="s">
        <v>506</v>
      </c>
      <c r="B19" s="429" t="s">
        <v>463</v>
      </c>
      <c r="C19" s="429" t="s">
        <v>464</v>
      </c>
      <c r="D19" s="429" t="s">
        <v>469</v>
      </c>
      <c r="E19" s="429" t="s">
        <v>470</v>
      </c>
      <c r="F19" s="430"/>
      <c r="G19" s="430"/>
      <c r="H19" s="430"/>
      <c r="I19" s="430"/>
      <c r="J19" s="430">
        <v>1</v>
      </c>
      <c r="K19" s="430">
        <v>232</v>
      </c>
      <c r="L19" s="430"/>
      <c r="M19" s="430">
        <v>232</v>
      </c>
      <c r="N19" s="430"/>
      <c r="O19" s="430"/>
      <c r="P19" s="444"/>
      <c r="Q19" s="459"/>
    </row>
    <row r="20" spans="1:17" ht="14.4" customHeight="1" thickBot="1" x14ac:dyDescent="0.35">
      <c r="A20" s="441" t="s">
        <v>507</v>
      </c>
      <c r="B20" s="432" t="s">
        <v>463</v>
      </c>
      <c r="C20" s="432" t="s">
        <v>464</v>
      </c>
      <c r="D20" s="432" t="s">
        <v>469</v>
      </c>
      <c r="E20" s="432" t="s">
        <v>470</v>
      </c>
      <c r="F20" s="433"/>
      <c r="G20" s="433"/>
      <c r="H20" s="433"/>
      <c r="I20" s="433"/>
      <c r="J20" s="433">
        <v>1</v>
      </c>
      <c r="K20" s="433">
        <v>232</v>
      </c>
      <c r="L20" s="433"/>
      <c r="M20" s="433">
        <v>232</v>
      </c>
      <c r="N20" s="433"/>
      <c r="O20" s="433"/>
      <c r="P20" s="446"/>
      <c r="Q20" s="46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1" bestFit="1" customWidth="1"/>
    <col min="2" max="2" width="11.6640625" style="141" hidden="1" customWidth="1"/>
    <col min="3" max="4" width="11" style="143" customWidth="1"/>
    <col min="5" max="5" width="11" style="144" customWidth="1"/>
    <col min="6" max="16384" width="8.88671875" style="141"/>
  </cols>
  <sheetData>
    <row r="1" spans="1:5" ht="18.600000000000001" thickBot="1" x14ac:dyDescent="0.4">
      <c r="A1" s="297" t="s">
        <v>107</v>
      </c>
      <c r="B1" s="297"/>
      <c r="C1" s="298"/>
      <c r="D1" s="298"/>
      <c r="E1" s="298"/>
    </row>
    <row r="2" spans="1:5" ht="14.4" customHeight="1" thickBot="1" x14ac:dyDescent="0.35">
      <c r="A2" s="217" t="s">
        <v>230</v>
      </c>
      <c r="B2" s="142"/>
    </row>
    <row r="3" spans="1:5" ht="14.4" customHeight="1" thickBot="1" x14ac:dyDescent="0.35">
      <c r="A3" s="145"/>
      <c r="C3" s="146" t="s">
        <v>96</v>
      </c>
      <c r="D3" s="147" t="s">
        <v>61</v>
      </c>
      <c r="E3" s="148" t="s">
        <v>63</v>
      </c>
    </row>
    <row r="4" spans="1:5" ht="14.4" customHeight="1" thickBot="1" x14ac:dyDescent="0.35">
      <c r="A4" s="149" t="str">
        <f>HYPERLINK("#HI!A1","NÁKLADY CELKEM (v tisících Kč)")</f>
        <v>NÁKLADY CELKEM (v tisících Kč)</v>
      </c>
      <c r="B4" s="150"/>
      <c r="C4" s="151">
        <f ca="1">IF(ISERROR(VLOOKUP("Náklady celkem",INDIRECT("HI!$A:$G"),6,0)),0,VLOOKUP("Náklady celkem",INDIRECT("HI!$A:$G"),6,0))</f>
        <v>131.30902861415416</v>
      </c>
      <c r="D4" s="151">
        <f ca="1">IF(ISERROR(VLOOKUP("Náklady celkem",INDIRECT("HI!$A:$G"),5,0)),0,VLOOKUP("Náklady celkem",INDIRECT("HI!$A:$G"),5,0))</f>
        <v>195.88847000000001</v>
      </c>
      <c r="E4" s="152">
        <f ca="1">IF(C4=0,0,D4/C4)</f>
        <v>1.4918126504127125</v>
      </c>
    </row>
    <row r="5" spans="1:5" ht="14.4" customHeight="1" x14ac:dyDescent="0.3">
      <c r="A5" s="153" t="s">
        <v>133</v>
      </c>
      <c r="B5" s="154"/>
      <c r="C5" s="155"/>
      <c r="D5" s="155"/>
      <c r="E5" s="156"/>
    </row>
    <row r="6" spans="1:5" ht="14.4" customHeight="1" x14ac:dyDescent="0.3">
      <c r="A6" s="157" t="s">
        <v>138</v>
      </c>
      <c r="B6" s="158"/>
      <c r="C6" s="159"/>
      <c r="D6" s="159"/>
      <c r="E6" s="156"/>
    </row>
    <row r="7" spans="1:5" ht="14.4" customHeight="1" x14ac:dyDescent="0.3">
      <c r="A7" s="16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8" t="s">
        <v>100</v>
      </c>
      <c r="C7" s="159">
        <f>IF(ISERROR(HI!F5),"",HI!F5)</f>
        <v>0</v>
      </c>
      <c r="D7" s="159">
        <f>IF(ISERROR(HI!E5),"",HI!E5)</f>
        <v>0</v>
      </c>
      <c r="E7" s="156">
        <f t="shared" ref="E7:E13" si="0">IF(C7=0,0,D7/C7)</f>
        <v>0</v>
      </c>
    </row>
    <row r="8" spans="1:5" ht="14.4" customHeight="1" x14ac:dyDescent="0.3">
      <c r="A8" s="162" t="s">
        <v>134</v>
      </c>
      <c r="B8" s="158"/>
      <c r="C8" s="159"/>
      <c r="D8" s="159"/>
      <c r="E8" s="156"/>
    </row>
    <row r="9" spans="1:5" ht="14.4" customHeight="1" x14ac:dyDescent="0.3">
      <c r="A9" s="160" t="str">
        <f>HYPERLINK("#'Léky Recepty'!A1","% záchytu v lékárně (Úhrada Kč)")</f>
        <v>% záchytu v lékárně (Úhrada Kč)</v>
      </c>
      <c r="B9" s="158" t="s">
        <v>103</v>
      </c>
      <c r="C9" s="161">
        <v>0.6</v>
      </c>
      <c r="D9" s="161">
        <f>IF(ISERROR(VLOOKUP("Celkem",'Léky Recepty'!B:H,5,0)),0,VLOOKUP("Celkem",'Léky Recepty'!B:H,5,0))</f>
        <v>0.52785838251874417</v>
      </c>
      <c r="E9" s="156">
        <f t="shared" si="0"/>
        <v>0.8797639708645737</v>
      </c>
    </row>
    <row r="10" spans="1:5" ht="14.4" customHeight="1" x14ac:dyDescent="0.3">
      <c r="A10" s="160" t="str">
        <f>HYPERLINK("#'LRp PL'!A1","% plnění pozitivního listu")</f>
        <v>% plnění pozitivního listu</v>
      </c>
      <c r="B10" s="158" t="s">
        <v>128</v>
      </c>
      <c r="C10" s="161">
        <v>0.8</v>
      </c>
      <c r="D10" s="161">
        <f>IF(ISERROR(VLOOKUP("Celkem",'LRp PL'!A:F,5,0)),0,VLOOKUP("Celkem",'LRp PL'!A:F,5,0))</f>
        <v>0.98980608571888229</v>
      </c>
      <c r="E10" s="156">
        <f t="shared" si="0"/>
        <v>1.2372576071486028</v>
      </c>
    </row>
    <row r="11" spans="1:5" ht="14.4" customHeight="1" x14ac:dyDescent="0.3">
      <c r="A11" s="162" t="s">
        <v>135</v>
      </c>
      <c r="B11" s="158"/>
      <c r="C11" s="159"/>
      <c r="D11" s="159"/>
      <c r="E11" s="156"/>
    </row>
    <row r="12" spans="1:5" ht="14.4" customHeight="1" x14ac:dyDescent="0.3">
      <c r="A12" s="163" t="s">
        <v>139</v>
      </c>
      <c r="B12" s="158"/>
      <c r="C12" s="155"/>
      <c r="D12" s="155"/>
      <c r="E12" s="156"/>
    </row>
    <row r="13" spans="1:5" ht="14.4" customHeight="1" x14ac:dyDescent="0.3">
      <c r="A13" s="1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8" t="s">
        <v>100</v>
      </c>
      <c r="C13" s="159">
        <f>IF(ISERROR(HI!F6),"",HI!F6)</f>
        <v>122.83874076623833</v>
      </c>
      <c r="D13" s="159">
        <f>IF(ISERROR(HI!E6),"",HI!E6)</f>
        <v>185.22868999999997</v>
      </c>
      <c r="E13" s="156">
        <f t="shared" si="0"/>
        <v>1.5079012438957631</v>
      </c>
    </row>
    <row r="14" spans="1:5" ht="14.4" customHeight="1" thickBot="1" x14ac:dyDescent="0.35">
      <c r="A14" s="165" t="str">
        <f>HYPERLINK("#HI!A1","Osobní náklady")</f>
        <v>Osobní náklady</v>
      </c>
      <c r="B14" s="158"/>
      <c r="C14" s="155">
        <f ca="1">IF(ISERROR(VLOOKUP("Osobní náklady (Kč) *",INDIRECT("HI!$A:$G"),6,0)),0,VLOOKUP("Osobní náklady (Kč) *",INDIRECT("HI!$A:$G"),6,0))</f>
        <v>0</v>
      </c>
      <c r="D14" s="155">
        <f ca="1">IF(ISERROR(VLOOKUP("Osobní náklady (Kč) *",INDIRECT("HI!$A:$G"),5,0)),0,VLOOKUP("Osobní náklady (Kč) *",INDIRECT("HI!$A:$G"),5,0))</f>
        <v>0</v>
      </c>
      <c r="E14" s="156">
        <f ca="1">IF(C14=0,0,D14/C14)</f>
        <v>0</v>
      </c>
    </row>
    <row r="15" spans="1:5" ht="14.4" customHeight="1" thickBot="1" x14ac:dyDescent="0.35">
      <c r="A15" s="169"/>
      <c r="B15" s="170"/>
      <c r="C15" s="171"/>
      <c r="D15" s="171"/>
      <c r="E15" s="172"/>
    </row>
    <row r="16" spans="1:5" ht="14.4" customHeight="1" thickBot="1" x14ac:dyDescent="0.35">
      <c r="A16" s="173" t="str">
        <f>HYPERLINK("#HI!A1","VÝNOSY CELKEM (v tisících)")</f>
        <v>VÝNOSY CELKEM (v tisících)</v>
      </c>
      <c r="B16" s="174"/>
      <c r="C16" s="175">
        <f ca="1">IF(ISERROR(VLOOKUP("Výnosy celkem",INDIRECT("HI!$A:$G"),6,0)),0,VLOOKUP("Výnosy celkem",INDIRECT("HI!$A:$G"),6,0))</f>
        <v>228.35499999999999</v>
      </c>
      <c r="D16" s="175">
        <f ca="1">IF(ISERROR(VLOOKUP("Výnosy celkem",INDIRECT("HI!$A:$G"),5,0)),0,VLOOKUP("Výnosy celkem",INDIRECT("HI!$A:$G"),5,0))</f>
        <v>567.15899999999999</v>
      </c>
      <c r="E16" s="176">
        <f t="shared" ref="E16:E19" ca="1" si="1">IF(C16=0,0,D16/C16)</f>
        <v>2.4836723522585449</v>
      </c>
    </row>
    <row r="17" spans="1:5" ht="14.4" customHeight="1" x14ac:dyDescent="0.3">
      <c r="A17" s="177" t="str">
        <f>HYPERLINK("#HI!A1","Ambulance (body za výkony + Kč za ZUM a ZULP)")</f>
        <v>Ambulance (body za výkony + Kč za ZUM a ZULP)</v>
      </c>
      <c r="B17" s="154"/>
      <c r="C17" s="155">
        <f ca="1">IF(ISERROR(VLOOKUP("Ambulance *",INDIRECT("HI!$A:$G"),6,0)),0,VLOOKUP("Ambulance *",INDIRECT("HI!$A:$G"),6,0))</f>
        <v>228.35499999999999</v>
      </c>
      <c r="D17" s="155">
        <f ca="1">IF(ISERROR(VLOOKUP("Ambulance *",INDIRECT("HI!$A:$G"),5,0)),0,VLOOKUP("Ambulance *",INDIRECT("HI!$A:$G"),5,0))</f>
        <v>567.15899999999999</v>
      </c>
      <c r="E17" s="156">
        <f t="shared" ca="1" si="1"/>
        <v>2.4836723522585449</v>
      </c>
    </row>
    <row r="18" spans="1:5" ht="14.4" customHeight="1" x14ac:dyDescent="0.3">
      <c r="A18" s="178" t="str">
        <f>HYPERLINK("#'ZV Vykáz.-A'!A1","Zdravotní výkony vykázané u ambulantních pacientů (min. 100 %)")</f>
        <v>Zdravotní výkony vykázané u ambulantních pacientů (min. 100 %)</v>
      </c>
      <c r="B18" s="141" t="s">
        <v>109</v>
      </c>
      <c r="C18" s="161">
        <v>1</v>
      </c>
      <c r="D18" s="161">
        <f>IF(ISERROR(VLOOKUP("Celkem:",'ZV Vykáz.-A'!$A:$S,7,0)),"",VLOOKUP("Celkem:",'ZV Vykáz.-A'!$A:$S,7,0))</f>
        <v>2.4836723522585449</v>
      </c>
      <c r="E18" s="156">
        <f t="shared" si="1"/>
        <v>2.4836723522585449</v>
      </c>
    </row>
    <row r="19" spans="1:5" ht="14.4" customHeight="1" x14ac:dyDescent="0.3">
      <c r="A19" s="178" t="str">
        <f>HYPERLINK("#'ZV Vykáz.-H'!A1","Zdravotní výkony vykázané u hospitalizovaných pacientů (max. 85 %)")</f>
        <v>Zdravotní výkony vykázané u hospitalizovaných pacientů (max. 85 %)</v>
      </c>
      <c r="B19" s="141" t="s">
        <v>111</v>
      </c>
      <c r="C19" s="161">
        <v>0.85</v>
      </c>
      <c r="D19" s="161">
        <f>IF(ISERROR(VLOOKUP("Celkem:",'ZV Vykáz.-H'!$A:$S,7,0)),"",VLOOKUP("Celkem:",'ZV Vykáz.-H'!$A:$S,7,0))</f>
        <v>1.4995229007633588</v>
      </c>
      <c r="E19" s="156">
        <f t="shared" si="1"/>
        <v>1.7641445891333634</v>
      </c>
    </row>
    <row r="20" spans="1:5" ht="14.4" customHeight="1" x14ac:dyDescent="0.3">
      <c r="A20" s="179" t="str">
        <f>HYPERLINK("#HI!A1","Hospitalizace (casemix * 30000)")</f>
        <v>Hospitalizace (casemix * 30000)</v>
      </c>
      <c r="B20" s="158"/>
      <c r="C20" s="155">
        <f ca="1">IF(ISERROR(VLOOKUP("Hospitalizace *",INDIRECT("HI!$A:$G"),6,0)),0,VLOOKUP("Hospitalizace *",INDIRECT("HI!$A:$G"),6,0))</f>
        <v>0</v>
      </c>
      <c r="D20" s="155">
        <f ca="1">IF(ISERROR(VLOOKUP("Hospitalizace *",INDIRECT("HI!$A:$G"),5,0)),0,VLOOKUP("Hospitalizace *",INDIRECT("HI!$A:$G"),5,0))</f>
        <v>0</v>
      </c>
      <c r="E20" s="156">
        <f ca="1">IF(C20=0,0,D20/C20)</f>
        <v>0</v>
      </c>
    </row>
    <row r="21" spans="1:5" ht="14.4" customHeight="1" thickBot="1" x14ac:dyDescent="0.35">
      <c r="A21" s="180" t="s">
        <v>136</v>
      </c>
      <c r="B21" s="166"/>
      <c r="C21" s="167"/>
      <c r="D21" s="167"/>
      <c r="E21" s="168"/>
    </row>
    <row r="22" spans="1:5" ht="14.4" customHeight="1" thickBot="1" x14ac:dyDescent="0.35">
      <c r="A22" s="181"/>
      <c r="B22" s="182"/>
      <c r="C22" s="183"/>
      <c r="D22" s="183"/>
      <c r="E22" s="184"/>
    </row>
    <row r="23" spans="1:5" ht="14.4" customHeight="1" thickBot="1" x14ac:dyDescent="0.35">
      <c r="A23" s="185" t="s">
        <v>137</v>
      </c>
      <c r="B23" s="186"/>
      <c r="C23" s="187"/>
      <c r="D23" s="187"/>
      <c r="E23" s="188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39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38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20" bestFit="1" customWidth="1"/>
    <col min="2" max="3" width="9.5546875" style="120" customWidth="1"/>
    <col min="4" max="4" width="2.21875" style="120" customWidth="1"/>
    <col min="5" max="8" width="9.5546875" style="120" customWidth="1"/>
    <col min="9" max="16384" width="8.88671875" style="120"/>
  </cols>
  <sheetData>
    <row r="1" spans="1:8" ht="18.600000000000001" customHeight="1" thickBot="1" x14ac:dyDescent="0.4">
      <c r="A1" s="297" t="s">
        <v>122</v>
      </c>
      <c r="B1" s="297"/>
      <c r="C1" s="297"/>
      <c r="D1" s="297"/>
      <c r="E1" s="297"/>
      <c r="F1" s="297"/>
      <c r="G1" s="298"/>
      <c r="H1" s="298"/>
    </row>
    <row r="2" spans="1:8" ht="14.4" customHeight="1" thickBot="1" x14ac:dyDescent="0.35">
      <c r="A2" s="217" t="s">
        <v>230</v>
      </c>
      <c r="B2" s="101"/>
      <c r="C2" s="101"/>
      <c r="D2" s="101"/>
      <c r="E2" s="101"/>
      <c r="F2" s="101"/>
    </row>
    <row r="3" spans="1:8" ht="14.4" customHeight="1" x14ac:dyDescent="0.3">
      <c r="A3" s="299"/>
      <c r="B3" s="97">
        <v>2012</v>
      </c>
      <c r="C3" s="40">
        <v>2013</v>
      </c>
      <c r="D3" s="7"/>
      <c r="E3" s="303">
        <v>2014</v>
      </c>
      <c r="F3" s="304"/>
      <c r="G3" s="304"/>
      <c r="H3" s="305"/>
    </row>
    <row r="4" spans="1:8" ht="14.4" customHeight="1" thickBot="1" x14ac:dyDescent="0.35">
      <c r="A4" s="300"/>
      <c r="B4" s="301" t="s">
        <v>61</v>
      </c>
      <c r="C4" s="302"/>
      <c r="D4" s="7"/>
      <c r="E4" s="118" t="s">
        <v>61</v>
      </c>
      <c r="F4" s="99" t="s">
        <v>62</v>
      </c>
      <c r="G4" s="99" t="s">
        <v>56</v>
      </c>
      <c r="H4" s="100" t="s">
        <v>63</v>
      </c>
    </row>
    <row r="5" spans="1:8" ht="14.4" customHeight="1" x14ac:dyDescent="0.3">
      <c r="A5" s="102" t="str">
        <f>HYPERLINK("#'Léky Žádanky'!A1","Léky (Kč)")</f>
        <v>Léky (Kč)</v>
      </c>
      <c r="B5" s="27">
        <v>0</v>
      </c>
      <c r="C5" s="29">
        <v>0</v>
      </c>
      <c r="D5" s="8"/>
      <c r="E5" s="107">
        <v>0</v>
      </c>
      <c r="F5" s="28">
        <v>0</v>
      </c>
      <c r="G5" s="106">
        <f>E5-F5</f>
        <v>0</v>
      </c>
      <c r="H5" s="112" t="str">
        <f>IF(F5&lt;0.00000001,"",E5/F5)</f>
        <v/>
      </c>
    </row>
    <row r="6" spans="1:8" ht="14.4" customHeight="1" x14ac:dyDescent="0.3">
      <c r="A6" s="102" t="str">
        <f>HYPERLINK("#'Materiál Žádanky'!A1","Materiál - SZM (Kč)")</f>
        <v>Materiál - SZM (Kč)</v>
      </c>
      <c r="B6" s="10">
        <v>34.320959999999999</v>
      </c>
      <c r="C6" s="31">
        <v>65.828900000000004</v>
      </c>
      <c r="D6" s="8"/>
      <c r="E6" s="108">
        <v>185.22868999999997</v>
      </c>
      <c r="F6" s="30">
        <v>122.83874076623833</v>
      </c>
      <c r="G6" s="109">
        <f>E6-F6</f>
        <v>62.389949233761641</v>
      </c>
      <c r="H6" s="113">
        <f>IF(F6&lt;0.00000001,"",E6/F6)</f>
        <v>1.5079012438957631</v>
      </c>
    </row>
    <row r="7" spans="1:8" ht="14.4" customHeight="1" x14ac:dyDescent="0.3">
      <c r="A7" s="10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08">
        <v>0</v>
      </c>
      <c r="F7" s="30">
        <v>0</v>
      </c>
      <c r="G7" s="109">
        <f>E7-F7</f>
        <v>0</v>
      </c>
      <c r="H7" s="113" t="str">
        <f>IF(F7&lt;0.00000001,"",E7/F7)</f>
        <v/>
      </c>
    </row>
    <row r="8" spans="1:8" ht="14.4" customHeight="1" thickBot="1" x14ac:dyDescent="0.35">
      <c r="A8" s="1" t="s">
        <v>64</v>
      </c>
      <c r="B8" s="11">
        <v>10.593640000000008</v>
      </c>
      <c r="C8" s="33">
        <v>115.77507999999997</v>
      </c>
      <c r="D8" s="8"/>
      <c r="E8" s="110">
        <v>10.65978000000004</v>
      </c>
      <c r="F8" s="32">
        <v>8.4702878479158272</v>
      </c>
      <c r="G8" s="111">
        <f>E8-F8</f>
        <v>2.1894921520842132</v>
      </c>
      <c r="H8" s="114">
        <f>IF(F8&lt;0.00000001,"",E8/F8)</f>
        <v>1.2584908791054785</v>
      </c>
    </row>
    <row r="9" spans="1:8" ht="14.4" customHeight="1" thickBot="1" x14ac:dyDescent="0.35">
      <c r="A9" s="2" t="s">
        <v>65</v>
      </c>
      <c r="B9" s="3">
        <v>44.914600000000007</v>
      </c>
      <c r="C9" s="35">
        <v>181.60397999999998</v>
      </c>
      <c r="D9" s="8"/>
      <c r="E9" s="3">
        <v>195.88847000000001</v>
      </c>
      <c r="F9" s="34">
        <v>131.30902861415416</v>
      </c>
      <c r="G9" s="34">
        <f>E9-F9</f>
        <v>64.579441385845854</v>
      </c>
      <c r="H9" s="115">
        <f>IF(F9&lt;0.00000001,"",E9/F9)</f>
        <v>1.4918126504127125</v>
      </c>
    </row>
    <row r="10" spans="1:8" ht="14.4" customHeight="1" thickBot="1" x14ac:dyDescent="0.35">
      <c r="A10" s="12"/>
      <c r="B10" s="12"/>
      <c r="C10" s="98"/>
      <c r="D10" s="8"/>
      <c r="E10" s="12"/>
      <c r="F10" s="13"/>
    </row>
    <row r="11" spans="1:8" ht="14.4" customHeight="1" x14ac:dyDescent="0.3">
      <c r="A11" s="123" t="str">
        <f>HYPERLINK("#'ZV Vykáz.-A'!A1","Ambulance *")</f>
        <v>Ambulance *</v>
      </c>
      <c r="B11" s="9">
        <f>IF(ISERROR(VLOOKUP("Celkem:",'ZV Vykáz.-A'!A:F,2,0)),0,VLOOKUP("Celkem:",'ZV Vykáz.-A'!A:F,2,0)/1000)</f>
        <v>228.35499999999999</v>
      </c>
      <c r="C11" s="29">
        <f>IF(ISERROR(VLOOKUP("Celkem:",'ZV Vykáz.-A'!A:F,4,0)),0,VLOOKUP("Celkem:",'ZV Vykáz.-A'!A:F,4,0)/1000)</f>
        <v>353.51</v>
      </c>
      <c r="D11" s="8"/>
      <c r="E11" s="107">
        <f>IF(ISERROR(VLOOKUP("Celkem:",'ZV Vykáz.-A'!A:F,6,0)),0,VLOOKUP("Celkem:",'ZV Vykáz.-A'!A:F,6,0)/1000)</f>
        <v>567.15899999999999</v>
      </c>
      <c r="F11" s="28">
        <f>B11</f>
        <v>228.35499999999999</v>
      </c>
      <c r="G11" s="106">
        <f>E11-F11</f>
        <v>338.80399999999997</v>
      </c>
      <c r="H11" s="112">
        <f>IF(F11&lt;0.00000001,"",E11/F11)</f>
        <v>2.4836723522585449</v>
      </c>
    </row>
    <row r="12" spans="1:8" ht="14.4" customHeight="1" thickBot="1" x14ac:dyDescent="0.35">
      <c r="A12" s="12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0">
        <f>IF(ISERROR(VLOOKUP("Celkem",#REF!,4,0)),0,VLOOKUP("Celkem",#REF!,4,0)*30)</f>
        <v>0</v>
      </c>
      <c r="F12" s="32">
        <f>B12</f>
        <v>0</v>
      </c>
      <c r="G12" s="111">
        <f>E12-F12</f>
        <v>0</v>
      </c>
      <c r="H12" s="114" t="str">
        <f>IF(F12&lt;0.00000001,"",E12/F12)</f>
        <v/>
      </c>
    </row>
    <row r="13" spans="1:8" ht="14.4" customHeight="1" thickBot="1" x14ac:dyDescent="0.35">
      <c r="A13" s="4" t="s">
        <v>68</v>
      </c>
      <c r="B13" s="5">
        <f>SUM(B11:B12)</f>
        <v>228.35499999999999</v>
      </c>
      <c r="C13" s="37">
        <f>SUM(C11:C12)</f>
        <v>353.51</v>
      </c>
      <c r="D13" s="8"/>
      <c r="E13" s="5">
        <f>SUM(E11:E12)</f>
        <v>567.15899999999999</v>
      </c>
      <c r="F13" s="36">
        <f>SUM(F11:F12)</f>
        <v>228.35499999999999</v>
      </c>
      <c r="G13" s="36">
        <f>E13-F13</f>
        <v>338.80399999999997</v>
      </c>
      <c r="H13" s="116">
        <f>IF(F13&lt;0.00000001,"",E13/F13)</f>
        <v>2.4836723522585449</v>
      </c>
    </row>
    <row r="14" spans="1:8" ht="14.4" customHeight="1" thickBot="1" x14ac:dyDescent="0.35">
      <c r="A14" s="12"/>
      <c r="B14" s="12"/>
      <c r="C14" s="98"/>
      <c r="D14" s="8"/>
      <c r="E14" s="12"/>
      <c r="F14" s="13"/>
    </row>
    <row r="15" spans="1:8" ht="14.4" customHeight="1" thickBot="1" x14ac:dyDescent="0.35">
      <c r="A15" s="125" t="str">
        <f>HYPERLINK("#'HI Graf'!A1","Hospodářský index (Výnosy / Náklady) *")</f>
        <v>Hospodářský index (Výnosy / Náklady) *</v>
      </c>
      <c r="B15" s="6">
        <f>IF(B9=0,"",B13/B9)</f>
        <v>5.084204245390139</v>
      </c>
      <c r="C15" s="39">
        <f>IF(C9=0,"",C13/C9)</f>
        <v>1.946598306931379</v>
      </c>
      <c r="D15" s="8"/>
      <c r="E15" s="6">
        <f>IF(E9=0,"",E13/E9)</f>
        <v>2.895315890720878</v>
      </c>
      <c r="F15" s="38">
        <f>IF(F9=0,"",F13/F9)</f>
        <v>1.7390654885659933</v>
      </c>
      <c r="G15" s="38">
        <f>IF(ISERROR(F15-E15),"",E15-F15)</f>
        <v>1.1562504021548847</v>
      </c>
      <c r="H15" s="117">
        <f>IF(ISERROR(F15-E15),"",IF(F15&lt;0.00000001,"",E15/F15))</f>
        <v>1.6648688101494735</v>
      </c>
    </row>
    <row r="17" spans="1:8" ht="14.4" customHeight="1" x14ac:dyDescent="0.3">
      <c r="A17" s="103" t="s">
        <v>141</v>
      </c>
    </row>
    <row r="18" spans="1:8" ht="14.4" customHeight="1" x14ac:dyDescent="0.3">
      <c r="A18" s="280" t="s">
        <v>186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185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04" t="s">
        <v>142</v>
      </c>
    </row>
    <row r="21" spans="1:8" ht="14.4" customHeight="1" x14ac:dyDescent="0.3">
      <c r="A21" s="104" t="s">
        <v>143</v>
      </c>
    </row>
    <row r="22" spans="1:8" ht="14.4" customHeight="1" x14ac:dyDescent="0.3">
      <c r="A22" s="105" t="s">
        <v>144</v>
      </c>
    </row>
    <row r="23" spans="1:8" ht="14.4" customHeight="1" x14ac:dyDescent="0.3">
      <c r="A23" s="105" t="s">
        <v>145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0"/>
    <col min="2" max="13" width="8.88671875" style="120" customWidth="1"/>
    <col min="14" max="16384" width="8.88671875" style="120"/>
  </cols>
  <sheetData>
    <row r="1" spans="1:13" ht="18.600000000000001" customHeight="1" thickBot="1" x14ac:dyDescent="0.4">
      <c r="A1" s="297" t="s">
        <v>93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17" t="s">
        <v>230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4.4" customHeight="1" x14ac:dyDescent="0.3">
      <c r="A3" s="189"/>
      <c r="B3" s="190" t="s">
        <v>70</v>
      </c>
      <c r="C3" s="191" t="s">
        <v>71</v>
      </c>
      <c r="D3" s="191" t="s">
        <v>72</v>
      </c>
      <c r="E3" s="190" t="s">
        <v>73</v>
      </c>
      <c r="F3" s="191" t="s">
        <v>74</v>
      </c>
      <c r="G3" s="191" t="s">
        <v>75</v>
      </c>
      <c r="H3" s="191" t="s">
        <v>76</v>
      </c>
      <c r="I3" s="191" t="s">
        <v>77</v>
      </c>
      <c r="J3" s="191" t="s">
        <v>78</v>
      </c>
      <c r="K3" s="191" t="s">
        <v>79</v>
      </c>
      <c r="L3" s="191" t="s">
        <v>80</v>
      </c>
      <c r="M3" s="191" t="s">
        <v>81</v>
      </c>
    </row>
    <row r="4" spans="1:13" ht="14.4" customHeight="1" x14ac:dyDescent="0.3">
      <c r="A4" s="189" t="s">
        <v>69</v>
      </c>
      <c r="B4" s="192">
        <f>(B10+B8)/B6</f>
        <v>2.7122880678338945</v>
      </c>
      <c r="C4" s="192">
        <f t="shared" ref="C4:M4" si="0">(C10+C8)/C6</f>
        <v>3.1181920672365377</v>
      </c>
      <c r="D4" s="192">
        <f t="shared" si="0"/>
        <v>3.0032749620857504</v>
      </c>
      <c r="E4" s="192">
        <f t="shared" si="0"/>
        <v>3.0744577209147583</v>
      </c>
      <c r="F4" s="192">
        <f t="shared" si="0"/>
        <v>2.895315890720878</v>
      </c>
      <c r="G4" s="192">
        <f t="shared" si="0"/>
        <v>2.895315890720878</v>
      </c>
      <c r="H4" s="192">
        <f t="shared" si="0"/>
        <v>2.895315890720878</v>
      </c>
      <c r="I4" s="192">
        <f t="shared" si="0"/>
        <v>2.895315890720878</v>
      </c>
      <c r="J4" s="192">
        <f t="shared" si="0"/>
        <v>2.895315890720878</v>
      </c>
      <c r="K4" s="192">
        <f t="shared" si="0"/>
        <v>2.895315890720878</v>
      </c>
      <c r="L4" s="192">
        <f t="shared" si="0"/>
        <v>2.895315890720878</v>
      </c>
      <c r="M4" s="192">
        <f t="shared" si="0"/>
        <v>2.895315890720878</v>
      </c>
    </row>
    <row r="5" spans="1:13" ht="14.4" customHeight="1" x14ac:dyDescent="0.3">
      <c r="A5" s="193" t="s">
        <v>42</v>
      </c>
      <c r="B5" s="192">
        <f>IF(ISERROR(VLOOKUP($A5,'Man Tab'!$A:$Q,COLUMN()+2,0)),0,VLOOKUP($A5,'Man Tab'!$A:$Q,COLUMN()+2,0))</f>
        <v>41.022559999999999</v>
      </c>
      <c r="C5" s="192">
        <f>IF(ISERROR(VLOOKUP($A5,'Man Tab'!$A:$Q,COLUMN()+2,0)),0,VLOOKUP($A5,'Man Tab'!$A:$Q,COLUMN()+2,0))</f>
        <v>33.334629999999997</v>
      </c>
      <c r="D5" s="192">
        <f>IF(ISERROR(VLOOKUP($A5,'Man Tab'!$A:$Q,COLUMN()+2,0)),0,VLOOKUP($A5,'Man Tab'!$A:$Q,COLUMN()+2,0))</f>
        <v>41.430410000000002</v>
      </c>
      <c r="E5" s="192">
        <f>IF(ISERROR(VLOOKUP($A5,'Man Tab'!$A:$Q,COLUMN()+2,0)),0,VLOOKUP($A5,'Man Tab'!$A:$Q,COLUMN()+2,0))</f>
        <v>38.466920000000002</v>
      </c>
      <c r="F5" s="192">
        <f>IF(ISERROR(VLOOKUP($A5,'Man Tab'!$A:$Q,COLUMN()+2,0)),0,VLOOKUP($A5,'Man Tab'!$A:$Q,COLUMN()+2,0))</f>
        <v>41.633949999999999</v>
      </c>
      <c r="G5" s="192">
        <f>IF(ISERROR(VLOOKUP($A5,'Man Tab'!$A:$Q,COLUMN()+2,0)),0,VLOOKUP($A5,'Man Tab'!$A:$Q,COLUMN()+2,0))</f>
        <v>4.9406564584124654E-324</v>
      </c>
      <c r="H5" s="192">
        <f>IF(ISERROR(VLOOKUP($A5,'Man Tab'!$A:$Q,COLUMN()+2,0)),0,VLOOKUP($A5,'Man Tab'!$A:$Q,COLUMN()+2,0))</f>
        <v>4.9406564584124654E-324</v>
      </c>
      <c r="I5" s="192">
        <f>IF(ISERROR(VLOOKUP($A5,'Man Tab'!$A:$Q,COLUMN()+2,0)),0,VLOOKUP($A5,'Man Tab'!$A:$Q,COLUMN()+2,0))</f>
        <v>4.9406564584124654E-324</v>
      </c>
      <c r="J5" s="192">
        <f>IF(ISERROR(VLOOKUP($A5,'Man Tab'!$A:$Q,COLUMN()+2,0)),0,VLOOKUP($A5,'Man Tab'!$A:$Q,COLUMN()+2,0))</f>
        <v>4.9406564584124654E-324</v>
      </c>
      <c r="K5" s="192">
        <f>IF(ISERROR(VLOOKUP($A5,'Man Tab'!$A:$Q,COLUMN()+2,0)),0,VLOOKUP($A5,'Man Tab'!$A:$Q,COLUMN()+2,0))</f>
        <v>4.9406564584124654E-324</v>
      </c>
      <c r="L5" s="192">
        <f>IF(ISERROR(VLOOKUP($A5,'Man Tab'!$A:$Q,COLUMN()+2,0)),0,VLOOKUP($A5,'Man Tab'!$A:$Q,COLUMN()+2,0))</f>
        <v>4.9406564584124654E-324</v>
      </c>
      <c r="M5" s="192">
        <f>IF(ISERROR(VLOOKUP($A5,'Man Tab'!$A:$Q,COLUMN()+2,0)),0,VLOOKUP($A5,'Man Tab'!$A:$Q,COLUMN()+2,0))</f>
        <v>4.9406564584124654E-324</v>
      </c>
    </row>
    <row r="6" spans="1:13" ht="14.4" customHeight="1" x14ac:dyDescent="0.3">
      <c r="A6" s="193" t="s">
        <v>65</v>
      </c>
      <c r="B6" s="194">
        <f>B5</f>
        <v>41.022559999999999</v>
      </c>
      <c r="C6" s="194">
        <f t="shared" ref="C6:M6" si="1">C5+B6</f>
        <v>74.357190000000003</v>
      </c>
      <c r="D6" s="194">
        <f t="shared" si="1"/>
        <v>115.7876</v>
      </c>
      <c r="E6" s="194">
        <f t="shared" si="1"/>
        <v>154.25452000000001</v>
      </c>
      <c r="F6" s="194">
        <f t="shared" si="1"/>
        <v>195.88847000000001</v>
      </c>
      <c r="G6" s="194">
        <f t="shared" si="1"/>
        <v>195.88847000000001</v>
      </c>
      <c r="H6" s="194">
        <f t="shared" si="1"/>
        <v>195.88847000000001</v>
      </c>
      <c r="I6" s="194">
        <f t="shared" si="1"/>
        <v>195.88847000000001</v>
      </c>
      <c r="J6" s="194">
        <f t="shared" si="1"/>
        <v>195.88847000000001</v>
      </c>
      <c r="K6" s="194">
        <f t="shared" si="1"/>
        <v>195.88847000000001</v>
      </c>
      <c r="L6" s="194">
        <f t="shared" si="1"/>
        <v>195.88847000000001</v>
      </c>
      <c r="M6" s="194">
        <f t="shared" si="1"/>
        <v>195.88847000000001</v>
      </c>
    </row>
    <row r="7" spans="1:13" ht="14.4" customHeight="1" x14ac:dyDescent="0.3">
      <c r="A7" s="193" t="s">
        <v>91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4.4" customHeight="1" x14ac:dyDescent="0.3">
      <c r="A8" s="193" t="s">
        <v>66</v>
      </c>
      <c r="B8" s="194">
        <f>B7*30</f>
        <v>0</v>
      </c>
      <c r="C8" s="194">
        <f t="shared" ref="C8:M8" si="2">C7*30</f>
        <v>0</v>
      </c>
      <c r="D8" s="194">
        <f t="shared" si="2"/>
        <v>0</v>
      </c>
      <c r="E8" s="194">
        <f t="shared" si="2"/>
        <v>0</v>
      </c>
      <c r="F8" s="194">
        <f t="shared" si="2"/>
        <v>0</v>
      </c>
      <c r="G8" s="194">
        <f t="shared" si="2"/>
        <v>0</v>
      </c>
      <c r="H8" s="194">
        <f t="shared" si="2"/>
        <v>0</v>
      </c>
      <c r="I8" s="194">
        <f t="shared" si="2"/>
        <v>0</v>
      </c>
      <c r="J8" s="194">
        <f t="shared" si="2"/>
        <v>0</v>
      </c>
      <c r="K8" s="194">
        <f t="shared" si="2"/>
        <v>0</v>
      </c>
      <c r="L8" s="194">
        <f t="shared" si="2"/>
        <v>0</v>
      </c>
      <c r="M8" s="194">
        <f t="shared" si="2"/>
        <v>0</v>
      </c>
    </row>
    <row r="9" spans="1:13" ht="14.4" customHeight="1" x14ac:dyDescent="0.3">
      <c r="A9" s="193" t="s">
        <v>92</v>
      </c>
      <c r="B9" s="193">
        <v>111265</v>
      </c>
      <c r="C9" s="193">
        <v>120595</v>
      </c>
      <c r="D9" s="193">
        <v>115882</v>
      </c>
      <c r="E9" s="193">
        <v>126507</v>
      </c>
      <c r="F9" s="193">
        <v>92910</v>
      </c>
      <c r="G9" s="193">
        <v>0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</row>
    <row r="10" spans="1:13" ht="14.4" customHeight="1" x14ac:dyDescent="0.3">
      <c r="A10" s="193" t="s">
        <v>67</v>
      </c>
      <c r="B10" s="194">
        <f>B9/1000</f>
        <v>111.265</v>
      </c>
      <c r="C10" s="194">
        <f t="shared" ref="C10:M10" si="3">C9/1000+B10</f>
        <v>231.86</v>
      </c>
      <c r="D10" s="194">
        <f t="shared" si="3"/>
        <v>347.74200000000002</v>
      </c>
      <c r="E10" s="194">
        <f t="shared" si="3"/>
        <v>474.24900000000002</v>
      </c>
      <c r="F10" s="194">
        <f t="shared" si="3"/>
        <v>567.15899999999999</v>
      </c>
      <c r="G10" s="194">
        <f t="shared" si="3"/>
        <v>567.15899999999999</v>
      </c>
      <c r="H10" s="194">
        <f t="shared" si="3"/>
        <v>567.15899999999999</v>
      </c>
      <c r="I10" s="194">
        <f t="shared" si="3"/>
        <v>567.15899999999999</v>
      </c>
      <c r="J10" s="194">
        <f t="shared" si="3"/>
        <v>567.15899999999999</v>
      </c>
      <c r="K10" s="194">
        <f t="shared" si="3"/>
        <v>567.15899999999999</v>
      </c>
      <c r="L10" s="194">
        <f t="shared" si="3"/>
        <v>567.15899999999999</v>
      </c>
      <c r="M10" s="194">
        <f t="shared" si="3"/>
        <v>567.15899999999999</v>
      </c>
    </row>
    <row r="11" spans="1:13" ht="14.4" customHeight="1" x14ac:dyDescent="0.3">
      <c r="A11" s="189"/>
      <c r="B11" s="189" t="s">
        <v>82</v>
      </c>
      <c r="C11" s="189">
        <f ca="1">IF(MONTH(TODAY())=1,12,MONTH(TODAY())-1)</f>
        <v>5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4.4" customHeight="1" x14ac:dyDescent="0.3">
      <c r="A12" s="189">
        <v>0</v>
      </c>
      <c r="B12" s="192">
        <f>IF(ISERROR(HI!F15),#REF!,HI!F15)</f>
        <v>1.7390654885659933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4.4" customHeight="1" x14ac:dyDescent="0.3">
      <c r="A13" s="189">
        <v>1</v>
      </c>
      <c r="B13" s="192">
        <f>IF(ISERROR(HI!F15),#REF!,HI!F15)</f>
        <v>1.7390654885659933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0" bestFit="1" customWidth="1"/>
    <col min="2" max="2" width="12.77734375" style="120" bestFit="1" customWidth="1"/>
    <col min="3" max="3" width="13.6640625" style="120" bestFit="1" customWidth="1"/>
    <col min="4" max="15" width="7.77734375" style="120" bestFit="1" customWidth="1"/>
    <col min="16" max="16" width="8.88671875" style="120" customWidth="1"/>
    <col min="17" max="17" width="6.6640625" style="120" bestFit="1" customWidth="1"/>
    <col min="18" max="16384" width="8.88671875" style="120"/>
  </cols>
  <sheetData>
    <row r="1" spans="1:17" s="195" customFormat="1" ht="18.600000000000001" customHeight="1" thickBot="1" x14ac:dyDescent="0.4">
      <c r="A1" s="306" t="s">
        <v>232</v>
      </c>
      <c r="B1" s="306"/>
      <c r="C1" s="306"/>
      <c r="D1" s="306"/>
      <c r="E1" s="306"/>
      <c r="F1" s="306"/>
      <c r="G1" s="306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95" customFormat="1" ht="14.4" customHeight="1" thickBot="1" x14ac:dyDescent="0.3">
      <c r="A2" s="217" t="s">
        <v>230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7" ht="14.4" customHeight="1" x14ac:dyDescent="0.3">
      <c r="A3" s="68"/>
      <c r="B3" s="307" t="s">
        <v>18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128"/>
      <c r="Q3" s="130"/>
    </row>
    <row r="4" spans="1:17" ht="14.4" customHeight="1" x14ac:dyDescent="0.3">
      <c r="A4" s="69"/>
      <c r="B4" s="20">
        <v>2014</v>
      </c>
      <c r="C4" s="129" t="s">
        <v>19</v>
      </c>
      <c r="D4" s="119" t="s">
        <v>146</v>
      </c>
      <c r="E4" s="119" t="s">
        <v>147</v>
      </c>
      <c r="F4" s="119" t="s">
        <v>148</v>
      </c>
      <c r="G4" s="119" t="s">
        <v>149</v>
      </c>
      <c r="H4" s="119" t="s">
        <v>150</v>
      </c>
      <c r="I4" s="119" t="s">
        <v>151</v>
      </c>
      <c r="J4" s="119" t="s">
        <v>152</v>
      </c>
      <c r="K4" s="119" t="s">
        <v>153</v>
      </c>
      <c r="L4" s="119" t="s">
        <v>154</v>
      </c>
      <c r="M4" s="119" t="s">
        <v>155</v>
      </c>
      <c r="N4" s="119" t="s">
        <v>156</v>
      </c>
      <c r="O4" s="119" t="s">
        <v>157</v>
      </c>
      <c r="P4" s="309" t="s">
        <v>3</v>
      </c>
      <c r="Q4" s="310"/>
    </row>
    <row r="5" spans="1:17" ht="14.4" customHeight="1" thickBot="1" x14ac:dyDescent="0.35">
      <c r="A5" s="70"/>
      <c r="B5" s="21" t="s">
        <v>20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2" t="s">
        <v>21</v>
      </c>
      <c r="K5" s="22" t="s">
        <v>21</v>
      </c>
      <c r="L5" s="22" t="s">
        <v>21</v>
      </c>
      <c r="M5" s="22" t="s">
        <v>21</v>
      </c>
      <c r="N5" s="22" t="s">
        <v>21</v>
      </c>
      <c r="O5" s="22" t="s">
        <v>21</v>
      </c>
      <c r="P5" s="22" t="s">
        <v>21</v>
      </c>
      <c r="Q5" s="23" t="s">
        <v>22</v>
      </c>
    </row>
    <row r="6" spans="1:17" ht="14.4" customHeight="1" x14ac:dyDescent="0.3">
      <c r="A6" s="14" t="s">
        <v>23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2.4703282292062327E-323</v>
      </c>
      <c r="Q6" s="84" t="s">
        <v>231</v>
      </c>
    </row>
    <row r="7" spans="1:17" ht="14.4" customHeight="1" x14ac:dyDescent="0.3">
      <c r="A7" s="15" t="s">
        <v>24</v>
      </c>
      <c r="B7" s="51">
        <v>4.9406564584124654E-324</v>
      </c>
      <c r="C7" s="52">
        <v>0</v>
      </c>
      <c r="D7" s="52">
        <v>4.9406564584124654E-324</v>
      </c>
      <c r="E7" s="52">
        <v>4.9406564584124654E-324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2.4703282292062327E-323</v>
      </c>
      <c r="Q7" s="85" t="s">
        <v>231</v>
      </c>
    </row>
    <row r="8" spans="1:17" ht="14.4" customHeight="1" x14ac:dyDescent="0.3">
      <c r="A8" s="15" t="s">
        <v>25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2.4703282292062327E-323</v>
      </c>
      <c r="Q8" s="85" t="s">
        <v>231</v>
      </c>
    </row>
    <row r="9" spans="1:17" ht="14.4" customHeight="1" x14ac:dyDescent="0.3">
      <c r="A9" s="15" t="s">
        <v>26</v>
      </c>
      <c r="B9" s="51">
        <v>294.81297783897202</v>
      </c>
      <c r="C9" s="52">
        <v>24.567748153246999</v>
      </c>
      <c r="D9" s="52">
        <v>38.325699999999998</v>
      </c>
      <c r="E9" s="52">
        <v>30.810030000000001</v>
      </c>
      <c r="F9" s="52">
        <v>38.677720000000001</v>
      </c>
      <c r="G9" s="52">
        <v>36.784289999999999</v>
      </c>
      <c r="H9" s="52">
        <v>40.630949999999999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185.22869</v>
      </c>
      <c r="Q9" s="85">
        <v>1.5079012438949999</v>
      </c>
    </row>
    <row r="10" spans="1:17" ht="14.4" customHeight="1" x14ac:dyDescent="0.3">
      <c r="A10" s="15" t="s">
        <v>27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2.4703282292062327E-323</v>
      </c>
      <c r="Q10" s="85" t="s">
        <v>231</v>
      </c>
    </row>
    <row r="11" spans="1:17" ht="14.4" customHeight="1" x14ac:dyDescent="0.3">
      <c r="A11" s="15" t="s">
        <v>28</v>
      </c>
      <c r="B11" s="51">
        <v>4.9406564584124654E-324</v>
      </c>
      <c r="C11" s="52">
        <v>0</v>
      </c>
      <c r="D11" s="52">
        <v>4.9406564584124654E-324</v>
      </c>
      <c r="E11" s="52">
        <v>4.9406564584124654E-324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2.4703282292062327E-323</v>
      </c>
      <c r="Q11" s="85" t="s">
        <v>231</v>
      </c>
    </row>
    <row r="12" spans="1:17" ht="14.4" customHeight="1" x14ac:dyDescent="0.3">
      <c r="A12" s="15" t="s">
        <v>29</v>
      </c>
      <c r="B12" s="51">
        <v>4.9406564584124654E-324</v>
      </c>
      <c r="C12" s="52">
        <v>0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2.4703282292062327E-323</v>
      </c>
      <c r="Q12" s="85" t="s">
        <v>231</v>
      </c>
    </row>
    <row r="13" spans="1:17" ht="14.4" customHeight="1" x14ac:dyDescent="0.3">
      <c r="A13" s="15" t="s">
        <v>30</v>
      </c>
      <c r="B13" s="51">
        <v>1.999961165073</v>
      </c>
      <c r="C13" s="52">
        <v>0.16666343042199999</v>
      </c>
      <c r="D13" s="52">
        <v>0.12886</v>
      </c>
      <c r="E13" s="52">
        <v>0.3866</v>
      </c>
      <c r="F13" s="52">
        <v>0.85319</v>
      </c>
      <c r="G13" s="52">
        <v>0.38662999999999997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1.75528</v>
      </c>
      <c r="Q13" s="85">
        <v>2.106376900496</v>
      </c>
    </row>
    <row r="14" spans="1:17" ht="14.4" customHeight="1" x14ac:dyDescent="0.3">
      <c r="A14" s="15" t="s">
        <v>31</v>
      </c>
      <c r="B14" s="51">
        <v>18.328729669924002</v>
      </c>
      <c r="C14" s="52">
        <v>1.5273941391600001</v>
      </c>
      <c r="D14" s="52">
        <v>2.5680000000000001</v>
      </c>
      <c r="E14" s="52">
        <v>2.1379999999999999</v>
      </c>
      <c r="F14" s="52">
        <v>1.796</v>
      </c>
      <c r="G14" s="52">
        <v>1.296</v>
      </c>
      <c r="H14" s="52">
        <v>1.0029999999999999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8.8010000000000002</v>
      </c>
      <c r="Q14" s="85">
        <v>1.1524202920969999</v>
      </c>
    </row>
    <row r="15" spans="1:17" ht="14.4" customHeight="1" x14ac:dyDescent="0.3">
      <c r="A15" s="15" t="s">
        <v>32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2.4703282292062327E-323</v>
      </c>
      <c r="Q15" s="85" t="s">
        <v>231</v>
      </c>
    </row>
    <row r="16" spans="1:17" ht="14.4" customHeight="1" x14ac:dyDescent="0.3">
      <c r="A16" s="15" t="s">
        <v>33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2.4703282292062327E-323</v>
      </c>
      <c r="Q16" s="85" t="s">
        <v>231</v>
      </c>
    </row>
    <row r="17" spans="1:17" ht="14.4" customHeight="1" x14ac:dyDescent="0.3">
      <c r="A17" s="15" t="s">
        <v>34</v>
      </c>
      <c r="B17" s="51">
        <v>4.9406564584124654E-324</v>
      </c>
      <c r="C17" s="52">
        <v>0</v>
      </c>
      <c r="D17" s="52">
        <v>4.9406564584124654E-324</v>
      </c>
      <c r="E17" s="52">
        <v>4.9406564584124654E-324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2.4703282292062327E-323</v>
      </c>
      <c r="Q17" s="85" t="s">
        <v>231</v>
      </c>
    </row>
    <row r="18" spans="1:17" ht="14.4" customHeight="1" x14ac:dyDescent="0.3">
      <c r="A18" s="15" t="s">
        <v>35</v>
      </c>
      <c r="B18" s="51">
        <v>4.9406564584124654E-324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2.4703282292062327E-323</v>
      </c>
      <c r="Q18" s="85" t="s">
        <v>231</v>
      </c>
    </row>
    <row r="19" spans="1:17" ht="14.4" customHeight="1" x14ac:dyDescent="0.3">
      <c r="A19" s="15" t="s">
        <v>36</v>
      </c>
      <c r="B19" s="51">
        <v>4.9406564584124654E-324</v>
      </c>
      <c r="C19" s="52">
        <v>0</v>
      </c>
      <c r="D19" s="52">
        <v>4.9406564584124654E-324</v>
      </c>
      <c r="E19" s="52">
        <v>4.9406564584124654E-324</v>
      </c>
      <c r="F19" s="52">
        <v>0.10299999999999999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0.10299999999999999</v>
      </c>
      <c r="Q19" s="85" t="s">
        <v>231</v>
      </c>
    </row>
    <row r="20" spans="1:17" ht="14.4" customHeight="1" x14ac:dyDescent="0.3">
      <c r="A20" s="15" t="s">
        <v>37</v>
      </c>
      <c r="B20" s="51">
        <v>4.9406564584124654E-324</v>
      </c>
      <c r="C20" s="52">
        <v>0</v>
      </c>
      <c r="D20" s="52">
        <v>4.9406564584124654E-324</v>
      </c>
      <c r="E20" s="52">
        <v>4.9406564584124654E-324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2.4703282292062327E-323</v>
      </c>
      <c r="Q20" s="85" t="s">
        <v>231</v>
      </c>
    </row>
    <row r="21" spans="1:17" ht="14.4" customHeight="1" x14ac:dyDescent="0.3">
      <c r="A21" s="16" t="s">
        <v>38</v>
      </c>
      <c r="B21" s="51">
        <v>1.4821969375237396E-323</v>
      </c>
      <c r="C21" s="52">
        <v>0</v>
      </c>
      <c r="D21" s="52">
        <v>1.4821969375237396E-323</v>
      </c>
      <c r="E21" s="52">
        <v>1.4821969375237396E-323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7.4109846876186982E-323</v>
      </c>
      <c r="Q21" s="85" t="s">
        <v>231</v>
      </c>
    </row>
    <row r="22" spans="1:17" ht="14.4" customHeight="1" x14ac:dyDescent="0.3">
      <c r="A22" s="15" t="s">
        <v>39</v>
      </c>
      <c r="B22" s="51">
        <v>4.9406564584124654E-324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2.4703282292062327E-323</v>
      </c>
      <c r="Q22" s="85" t="s">
        <v>231</v>
      </c>
    </row>
    <row r="23" spans="1:17" ht="14.4" customHeight="1" x14ac:dyDescent="0.3">
      <c r="A23" s="16" t="s">
        <v>40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9.8813129168249309E-323</v>
      </c>
      <c r="Q23" s="85" t="s">
        <v>231</v>
      </c>
    </row>
    <row r="24" spans="1:17" ht="14.4" customHeight="1" x14ac:dyDescent="0.3">
      <c r="A24" s="16" t="s">
        <v>41</v>
      </c>
      <c r="B24" s="51">
        <v>0</v>
      </c>
      <c r="C24" s="52">
        <v>3.5527136788005001E-15</v>
      </c>
      <c r="D24" s="52">
        <v>0</v>
      </c>
      <c r="E24" s="52">
        <v>0</v>
      </c>
      <c r="F24" s="52">
        <v>5.0000000000000001E-4</v>
      </c>
      <c r="G24" s="52">
        <v>0</v>
      </c>
      <c r="H24" s="52">
        <v>0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5.0000000000000001E-4</v>
      </c>
      <c r="Q24" s="85"/>
    </row>
    <row r="25" spans="1:17" ht="14.4" customHeight="1" x14ac:dyDescent="0.3">
      <c r="A25" s="17" t="s">
        <v>42</v>
      </c>
      <c r="B25" s="54">
        <v>315.14166867397103</v>
      </c>
      <c r="C25" s="55">
        <v>26.261805722830001</v>
      </c>
      <c r="D25" s="55">
        <v>41.022559999999999</v>
      </c>
      <c r="E25" s="55">
        <v>33.334629999999997</v>
      </c>
      <c r="F25" s="55">
        <v>41.430410000000002</v>
      </c>
      <c r="G25" s="55">
        <v>38.466920000000002</v>
      </c>
      <c r="H25" s="55">
        <v>41.633949999999999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195.88847000000001</v>
      </c>
      <c r="Q25" s="86">
        <v>1.491812650412</v>
      </c>
    </row>
    <row r="26" spans="1:17" ht="14.4" customHeight="1" x14ac:dyDescent="0.3">
      <c r="A26" s="15" t="s">
        <v>43</v>
      </c>
      <c r="B26" s="51">
        <v>43</v>
      </c>
      <c r="C26" s="52">
        <v>3.583333333333</v>
      </c>
      <c r="D26" s="52">
        <v>2.7924500000000001</v>
      </c>
      <c r="E26" s="52">
        <v>1.87652</v>
      </c>
      <c r="F26" s="52">
        <v>2.4277899999999999</v>
      </c>
      <c r="G26" s="52">
        <v>3.0412599999999999</v>
      </c>
      <c r="H26" s="52">
        <v>2.8412199999999999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12.979240000000001</v>
      </c>
      <c r="Q26" s="85">
        <v>0.72442269767400003</v>
      </c>
    </row>
    <row r="27" spans="1:17" ht="14.4" customHeight="1" x14ac:dyDescent="0.3">
      <c r="A27" s="18" t="s">
        <v>44</v>
      </c>
      <c r="B27" s="54">
        <v>358.14166867397103</v>
      </c>
      <c r="C27" s="55">
        <v>29.845139056164001</v>
      </c>
      <c r="D27" s="55">
        <v>43.815010000000001</v>
      </c>
      <c r="E27" s="55">
        <v>35.211150000000004</v>
      </c>
      <c r="F27" s="55">
        <v>43.858199999999997</v>
      </c>
      <c r="G27" s="55">
        <v>41.508180000000003</v>
      </c>
      <c r="H27" s="55">
        <v>44.475169999999999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208.86770999999999</v>
      </c>
      <c r="Q27" s="86">
        <v>1.399676574513</v>
      </c>
    </row>
    <row r="28" spans="1:17" ht="14.4" customHeight="1" x14ac:dyDescent="0.3">
      <c r="A28" s="16" t="s">
        <v>45</v>
      </c>
      <c r="B28" s="51">
        <v>1.2351641146031164E-322</v>
      </c>
      <c r="C28" s="52">
        <v>0</v>
      </c>
      <c r="D28" s="52">
        <v>1.2351641146031164E-322</v>
      </c>
      <c r="E28" s="52">
        <v>1.2351641146031164E-322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6.1758205730155818E-322</v>
      </c>
      <c r="Q28" s="85">
        <v>0</v>
      </c>
    </row>
    <row r="29" spans="1:17" ht="14.4" customHeight="1" x14ac:dyDescent="0.3">
      <c r="A29" s="16" t="s">
        <v>46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4.9406564584124654E-323</v>
      </c>
      <c r="Q29" s="85" t="s">
        <v>231</v>
      </c>
    </row>
    <row r="30" spans="1:17" ht="14.4" customHeight="1" x14ac:dyDescent="0.3">
      <c r="A30" s="16" t="s">
        <v>47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2.4703282292062327E-322</v>
      </c>
      <c r="Q30" s="85">
        <v>0</v>
      </c>
    </row>
    <row r="31" spans="1:17" ht="14.4" customHeight="1" thickBot="1" x14ac:dyDescent="0.35">
      <c r="A31" s="19" t="s">
        <v>48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1.2351641146031164E-322</v>
      </c>
      <c r="Q31" s="87" t="s">
        <v>231</v>
      </c>
    </row>
    <row r="32" spans="1:17" ht="14.4" customHeight="1" x14ac:dyDescent="0.3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4" customHeight="1" x14ac:dyDescent="0.3">
      <c r="A33" s="103" t="s">
        <v>141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ht="14.4" customHeight="1" x14ac:dyDescent="0.3">
      <c r="A34" s="126" t="s">
        <v>166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1:17" ht="14.4" customHeight="1" x14ac:dyDescent="0.3">
      <c r="A35" s="127" t="s">
        <v>49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4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0" customWidth="1"/>
    <col min="2" max="11" width="10" style="120" customWidth="1"/>
    <col min="12" max="16384" width="8.88671875" style="120"/>
  </cols>
  <sheetData>
    <row r="1" spans="1:11" s="60" customFormat="1" ht="18.600000000000001" customHeight="1" thickBot="1" x14ac:dyDescent="0.4">
      <c r="A1" s="306" t="s">
        <v>50</v>
      </c>
      <c r="B1" s="306"/>
      <c r="C1" s="306"/>
      <c r="D1" s="306"/>
      <c r="E1" s="306"/>
      <c r="F1" s="306"/>
      <c r="G1" s="306"/>
      <c r="H1" s="311"/>
      <c r="I1" s="311"/>
      <c r="J1" s="311"/>
      <c r="K1" s="311"/>
    </row>
    <row r="2" spans="1:11" s="60" customFormat="1" ht="14.4" customHeight="1" thickBot="1" x14ac:dyDescent="0.35">
      <c r="A2" s="217" t="s">
        <v>230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7" t="s">
        <v>51</v>
      </c>
      <c r="C3" s="308"/>
      <c r="D3" s="308"/>
      <c r="E3" s="308"/>
      <c r="F3" s="314" t="s">
        <v>52</v>
      </c>
      <c r="G3" s="308"/>
      <c r="H3" s="308"/>
      <c r="I3" s="308"/>
      <c r="J3" s="308"/>
      <c r="K3" s="315"/>
    </row>
    <row r="4" spans="1:11" ht="14.4" customHeight="1" x14ac:dyDescent="0.3">
      <c r="A4" s="69"/>
      <c r="B4" s="312"/>
      <c r="C4" s="313"/>
      <c r="D4" s="313"/>
      <c r="E4" s="313"/>
      <c r="F4" s="316" t="s">
        <v>162</v>
      </c>
      <c r="G4" s="318" t="s">
        <v>53</v>
      </c>
      <c r="H4" s="131" t="s">
        <v>126</v>
      </c>
      <c r="I4" s="316" t="s">
        <v>54</v>
      </c>
      <c r="J4" s="318" t="s">
        <v>164</v>
      </c>
      <c r="K4" s="319" t="s">
        <v>165</v>
      </c>
    </row>
    <row r="5" spans="1:11" ht="42" thickBot="1" x14ac:dyDescent="0.35">
      <c r="A5" s="70"/>
      <c r="B5" s="24" t="s">
        <v>158</v>
      </c>
      <c r="C5" s="25" t="s">
        <v>159</v>
      </c>
      <c r="D5" s="26" t="s">
        <v>160</v>
      </c>
      <c r="E5" s="26" t="s">
        <v>161</v>
      </c>
      <c r="F5" s="317"/>
      <c r="G5" s="317"/>
      <c r="H5" s="25" t="s">
        <v>163</v>
      </c>
      <c r="I5" s="317"/>
      <c r="J5" s="317"/>
      <c r="K5" s="320"/>
    </row>
    <row r="6" spans="1:11" ht="14.4" customHeight="1" thickBot="1" x14ac:dyDescent="0.35">
      <c r="A6" s="406" t="s">
        <v>233</v>
      </c>
      <c r="B6" s="390">
        <v>4.9406564584124654E-324</v>
      </c>
      <c r="C6" s="390">
        <v>4.9406564584124654E-324</v>
      </c>
      <c r="D6" s="391">
        <v>0</v>
      </c>
      <c r="E6" s="392">
        <v>1</v>
      </c>
      <c r="F6" s="390">
        <v>315.14166867397103</v>
      </c>
      <c r="G6" s="391">
        <v>131.30902861415399</v>
      </c>
      <c r="H6" s="393">
        <v>41.633949999999999</v>
      </c>
      <c r="I6" s="390">
        <v>195.88847000000001</v>
      </c>
      <c r="J6" s="391">
        <v>64.579441385845001</v>
      </c>
      <c r="K6" s="394">
        <v>0.62158860433800001</v>
      </c>
    </row>
    <row r="7" spans="1:11" ht="14.4" customHeight="1" thickBot="1" x14ac:dyDescent="0.35">
      <c r="A7" s="407" t="s">
        <v>234</v>
      </c>
      <c r="B7" s="390">
        <v>4.9406564584124654E-324</v>
      </c>
      <c r="C7" s="390">
        <v>4.9406564584124654E-324</v>
      </c>
      <c r="D7" s="391">
        <v>0</v>
      </c>
      <c r="E7" s="392">
        <v>1</v>
      </c>
      <c r="F7" s="390">
        <v>315.14166867397103</v>
      </c>
      <c r="G7" s="391">
        <v>131.30902861415399</v>
      </c>
      <c r="H7" s="393">
        <v>41.633949999999999</v>
      </c>
      <c r="I7" s="390">
        <v>195.78547</v>
      </c>
      <c r="J7" s="391">
        <v>64.476441385845007</v>
      </c>
      <c r="K7" s="394">
        <v>0.62126176720299997</v>
      </c>
    </row>
    <row r="8" spans="1:11" ht="14.4" customHeight="1" thickBot="1" x14ac:dyDescent="0.35">
      <c r="A8" s="408" t="s">
        <v>235</v>
      </c>
      <c r="B8" s="390">
        <v>4.9406564584124654E-324</v>
      </c>
      <c r="C8" s="390">
        <v>4.9406564584124654E-324</v>
      </c>
      <c r="D8" s="391">
        <v>0</v>
      </c>
      <c r="E8" s="392">
        <v>1</v>
      </c>
      <c r="F8" s="390">
        <v>296.81293900404597</v>
      </c>
      <c r="G8" s="391">
        <v>123.672057918352</v>
      </c>
      <c r="H8" s="393">
        <v>40.630949999999999</v>
      </c>
      <c r="I8" s="390">
        <v>186.98446999999999</v>
      </c>
      <c r="J8" s="391">
        <v>63.312412081646997</v>
      </c>
      <c r="K8" s="394">
        <v>0.62997411981899998</v>
      </c>
    </row>
    <row r="9" spans="1:11" ht="14.4" customHeight="1" thickBot="1" x14ac:dyDescent="0.35">
      <c r="A9" s="409" t="s">
        <v>236</v>
      </c>
      <c r="B9" s="395">
        <v>4.9406564584124654E-324</v>
      </c>
      <c r="C9" s="395">
        <v>4.9406564584124654E-324</v>
      </c>
      <c r="D9" s="396">
        <v>0</v>
      </c>
      <c r="E9" s="397">
        <v>1</v>
      </c>
      <c r="F9" s="395">
        <v>4.9406564584124654E-324</v>
      </c>
      <c r="G9" s="396">
        <v>0</v>
      </c>
      <c r="H9" s="398">
        <v>4.9406564584124654E-324</v>
      </c>
      <c r="I9" s="395">
        <v>5.0000000000000001E-4</v>
      </c>
      <c r="J9" s="396">
        <v>5.0000000000000001E-4</v>
      </c>
      <c r="K9" s="399" t="s">
        <v>237</v>
      </c>
    </row>
    <row r="10" spans="1:11" ht="14.4" customHeight="1" thickBot="1" x14ac:dyDescent="0.35">
      <c r="A10" s="410" t="s">
        <v>238</v>
      </c>
      <c r="B10" s="390">
        <v>4.9406564584124654E-324</v>
      </c>
      <c r="C10" s="390">
        <v>4.9406564584124654E-324</v>
      </c>
      <c r="D10" s="391">
        <v>0</v>
      </c>
      <c r="E10" s="392">
        <v>1</v>
      </c>
      <c r="F10" s="390">
        <v>4.9406564584124654E-324</v>
      </c>
      <c r="G10" s="391">
        <v>0</v>
      </c>
      <c r="H10" s="393">
        <v>4.9406564584124654E-324</v>
      </c>
      <c r="I10" s="390">
        <v>5.0000000000000001E-4</v>
      </c>
      <c r="J10" s="391">
        <v>5.0000000000000001E-4</v>
      </c>
      <c r="K10" s="400" t="s">
        <v>237</v>
      </c>
    </row>
    <row r="11" spans="1:11" ht="14.4" customHeight="1" thickBot="1" x14ac:dyDescent="0.35">
      <c r="A11" s="409" t="s">
        <v>239</v>
      </c>
      <c r="B11" s="395">
        <v>4.9406564584124654E-324</v>
      </c>
      <c r="C11" s="395">
        <v>4.9406564584124654E-324</v>
      </c>
      <c r="D11" s="396">
        <v>0</v>
      </c>
      <c r="E11" s="397">
        <v>1</v>
      </c>
      <c r="F11" s="395">
        <v>294.81297783897202</v>
      </c>
      <c r="G11" s="396">
        <v>122.838740766238</v>
      </c>
      <c r="H11" s="398">
        <v>40.630949999999999</v>
      </c>
      <c r="I11" s="395">
        <v>185.22869</v>
      </c>
      <c r="J11" s="396">
        <v>62.389949233761001</v>
      </c>
      <c r="K11" s="401">
        <v>0.62829218495600003</v>
      </c>
    </row>
    <row r="12" spans="1:11" ht="14.4" customHeight="1" thickBot="1" x14ac:dyDescent="0.35">
      <c r="A12" s="410" t="s">
        <v>240</v>
      </c>
      <c r="B12" s="390">
        <v>4.9406564584124654E-324</v>
      </c>
      <c r="C12" s="390">
        <v>4.9406564584124654E-324</v>
      </c>
      <c r="D12" s="391">
        <v>0</v>
      </c>
      <c r="E12" s="392">
        <v>1</v>
      </c>
      <c r="F12" s="390">
        <v>13.442228964231999</v>
      </c>
      <c r="G12" s="391">
        <v>5.6009287350969998</v>
      </c>
      <c r="H12" s="393">
        <v>0.5635</v>
      </c>
      <c r="I12" s="390">
        <v>8.4160599999999999</v>
      </c>
      <c r="J12" s="391">
        <v>2.815131264903</v>
      </c>
      <c r="K12" s="394">
        <v>0.62609110604999996</v>
      </c>
    </row>
    <row r="13" spans="1:11" ht="14.4" customHeight="1" thickBot="1" x14ac:dyDescent="0.35">
      <c r="A13" s="410" t="s">
        <v>241</v>
      </c>
      <c r="B13" s="390">
        <v>4.9406564584124654E-324</v>
      </c>
      <c r="C13" s="390">
        <v>4.9406564584124654E-324</v>
      </c>
      <c r="D13" s="391">
        <v>0</v>
      </c>
      <c r="E13" s="392">
        <v>1</v>
      </c>
      <c r="F13" s="390">
        <v>211.76558468579</v>
      </c>
      <c r="G13" s="391">
        <v>88.235660285744999</v>
      </c>
      <c r="H13" s="393">
        <v>26.23245</v>
      </c>
      <c r="I13" s="390">
        <v>128.31700000000001</v>
      </c>
      <c r="J13" s="391">
        <v>40.081339714254</v>
      </c>
      <c r="K13" s="394">
        <v>0.60593887430000004</v>
      </c>
    </row>
    <row r="14" spans="1:11" ht="14.4" customHeight="1" thickBot="1" x14ac:dyDescent="0.35">
      <c r="A14" s="410" t="s">
        <v>242</v>
      </c>
      <c r="B14" s="390">
        <v>4.9406564584124654E-324</v>
      </c>
      <c r="C14" s="390">
        <v>4.9406564584124654E-324</v>
      </c>
      <c r="D14" s="391">
        <v>0</v>
      </c>
      <c r="E14" s="392">
        <v>1</v>
      </c>
      <c r="F14" s="390">
        <v>33.611598001963003</v>
      </c>
      <c r="G14" s="391">
        <v>14.004832500818001</v>
      </c>
      <c r="H14" s="393">
        <v>12.26</v>
      </c>
      <c r="I14" s="390">
        <v>26.5107</v>
      </c>
      <c r="J14" s="391">
        <v>12.505867499181999</v>
      </c>
      <c r="K14" s="394">
        <v>0.78873667352700005</v>
      </c>
    </row>
    <row r="15" spans="1:11" ht="14.4" customHeight="1" thickBot="1" x14ac:dyDescent="0.35">
      <c r="A15" s="410" t="s">
        <v>243</v>
      </c>
      <c r="B15" s="390">
        <v>4.9406564584124654E-324</v>
      </c>
      <c r="C15" s="390">
        <v>4.9406564584124654E-324</v>
      </c>
      <c r="D15" s="391">
        <v>0</v>
      </c>
      <c r="E15" s="392">
        <v>1</v>
      </c>
      <c r="F15" s="390">
        <v>7.1271627748070001</v>
      </c>
      <c r="G15" s="391">
        <v>2.9696511561690002</v>
      </c>
      <c r="H15" s="393">
        <v>4.9406564584124654E-324</v>
      </c>
      <c r="I15" s="390">
        <v>6.6139099999999997</v>
      </c>
      <c r="J15" s="391">
        <v>3.6442588438299999</v>
      </c>
      <c r="K15" s="394">
        <v>0.92798638237599995</v>
      </c>
    </row>
    <row r="16" spans="1:11" ht="14.4" customHeight="1" thickBot="1" x14ac:dyDescent="0.35">
      <c r="A16" s="410" t="s">
        <v>244</v>
      </c>
      <c r="B16" s="390">
        <v>4.9406564584124654E-324</v>
      </c>
      <c r="C16" s="390">
        <v>4.9406564584124654E-324</v>
      </c>
      <c r="D16" s="391">
        <v>0</v>
      </c>
      <c r="E16" s="392">
        <v>1</v>
      </c>
      <c r="F16" s="390">
        <v>15.217297548743</v>
      </c>
      <c r="G16" s="391">
        <v>6.3405406453089999</v>
      </c>
      <c r="H16" s="393">
        <v>1.575</v>
      </c>
      <c r="I16" s="390">
        <v>6.1124999999999998</v>
      </c>
      <c r="J16" s="391">
        <v>-0.22804064530900001</v>
      </c>
      <c r="K16" s="394">
        <v>0.40168104621799999</v>
      </c>
    </row>
    <row r="17" spans="1:11" ht="14.4" customHeight="1" thickBot="1" x14ac:dyDescent="0.35">
      <c r="A17" s="410" t="s">
        <v>245</v>
      </c>
      <c r="B17" s="390">
        <v>4.9406564584124654E-324</v>
      </c>
      <c r="C17" s="390">
        <v>4.9406564584124654E-324</v>
      </c>
      <c r="D17" s="391">
        <v>0</v>
      </c>
      <c r="E17" s="392">
        <v>1</v>
      </c>
      <c r="F17" s="390">
        <v>13.649105863435</v>
      </c>
      <c r="G17" s="391">
        <v>5.6871274430980003</v>
      </c>
      <c r="H17" s="393">
        <v>4.9406564584124654E-324</v>
      </c>
      <c r="I17" s="390">
        <v>9.2585200000000007</v>
      </c>
      <c r="J17" s="391">
        <v>3.5713925569009999</v>
      </c>
      <c r="K17" s="394">
        <v>0.67832428678000001</v>
      </c>
    </row>
    <row r="18" spans="1:11" ht="14.4" customHeight="1" thickBot="1" x14ac:dyDescent="0.35">
      <c r="A18" s="409" t="s">
        <v>246</v>
      </c>
      <c r="B18" s="395">
        <v>4.9406564584124654E-324</v>
      </c>
      <c r="C18" s="395">
        <v>4.9406564584124654E-324</v>
      </c>
      <c r="D18" s="396">
        <v>0</v>
      </c>
      <c r="E18" s="397">
        <v>1</v>
      </c>
      <c r="F18" s="395">
        <v>1.999961165073</v>
      </c>
      <c r="G18" s="396">
        <v>0.83331715211299995</v>
      </c>
      <c r="H18" s="398">
        <v>4.9406564584124654E-324</v>
      </c>
      <c r="I18" s="395">
        <v>1.75528</v>
      </c>
      <c r="J18" s="396">
        <v>0.92196284788600003</v>
      </c>
      <c r="K18" s="401">
        <v>0.87765704187299998</v>
      </c>
    </row>
    <row r="19" spans="1:11" ht="14.4" customHeight="1" thickBot="1" x14ac:dyDescent="0.35">
      <c r="A19" s="410" t="s">
        <v>247</v>
      </c>
      <c r="B19" s="390">
        <v>4.9406564584124654E-324</v>
      </c>
      <c r="C19" s="390">
        <v>4.9406564584124654E-324</v>
      </c>
      <c r="D19" s="391">
        <v>0</v>
      </c>
      <c r="E19" s="392">
        <v>1</v>
      </c>
      <c r="F19" s="390">
        <v>1.999961165073</v>
      </c>
      <c r="G19" s="391">
        <v>0.83331715211299995</v>
      </c>
      <c r="H19" s="393">
        <v>4.9406564584124654E-324</v>
      </c>
      <c r="I19" s="390">
        <v>1.75528</v>
      </c>
      <c r="J19" s="391">
        <v>0.92196284788600003</v>
      </c>
      <c r="K19" s="394">
        <v>0.87765704187299998</v>
      </c>
    </row>
    <row r="20" spans="1:11" ht="14.4" customHeight="1" thickBot="1" x14ac:dyDescent="0.35">
      <c r="A20" s="408" t="s">
        <v>31</v>
      </c>
      <c r="B20" s="390">
        <v>4.9406564584124654E-324</v>
      </c>
      <c r="C20" s="390">
        <v>4.9406564584124654E-324</v>
      </c>
      <c r="D20" s="391">
        <v>0</v>
      </c>
      <c r="E20" s="392">
        <v>1</v>
      </c>
      <c r="F20" s="390">
        <v>18.328729669924002</v>
      </c>
      <c r="G20" s="391">
        <v>7.6369706958019998</v>
      </c>
      <c r="H20" s="393">
        <v>1.0029999999999999</v>
      </c>
      <c r="I20" s="390">
        <v>8.8010000000000002</v>
      </c>
      <c r="J20" s="391">
        <v>1.164029304197</v>
      </c>
      <c r="K20" s="394">
        <v>0.480175121707</v>
      </c>
    </row>
    <row r="21" spans="1:11" ht="14.4" customHeight="1" thickBot="1" x14ac:dyDescent="0.35">
      <c r="A21" s="409" t="s">
        <v>248</v>
      </c>
      <c r="B21" s="395">
        <v>4.9406564584124654E-324</v>
      </c>
      <c r="C21" s="395">
        <v>4.9406564584124654E-324</v>
      </c>
      <c r="D21" s="396">
        <v>0</v>
      </c>
      <c r="E21" s="397">
        <v>1</v>
      </c>
      <c r="F21" s="395">
        <v>18.328729669924002</v>
      </c>
      <c r="G21" s="396">
        <v>7.6369706958019998</v>
      </c>
      <c r="H21" s="398">
        <v>1.0029999999999999</v>
      </c>
      <c r="I21" s="395">
        <v>8.8010000000000002</v>
      </c>
      <c r="J21" s="396">
        <v>1.164029304197</v>
      </c>
      <c r="K21" s="401">
        <v>0.480175121707</v>
      </c>
    </row>
    <row r="22" spans="1:11" ht="14.4" customHeight="1" thickBot="1" x14ac:dyDescent="0.35">
      <c r="A22" s="410" t="s">
        <v>249</v>
      </c>
      <c r="B22" s="390">
        <v>4.9406564584124654E-324</v>
      </c>
      <c r="C22" s="390">
        <v>4.9406564584124654E-324</v>
      </c>
      <c r="D22" s="391">
        <v>0</v>
      </c>
      <c r="E22" s="392">
        <v>1</v>
      </c>
      <c r="F22" s="390">
        <v>18.328729669924002</v>
      </c>
      <c r="G22" s="391">
        <v>7.6369706958019998</v>
      </c>
      <c r="H22" s="393">
        <v>1.0029999999999999</v>
      </c>
      <c r="I22" s="390">
        <v>8.8010000000000002</v>
      </c>
      <c r="J22" s="391">
        <v>1.164029304197</v>
      </c>
      <c r="K22" s="394">
        <v>0.480175121707</v>
      </c>
    </row>
    <row r="23" spans="1:11" ht="14.4" customHeight="1" thickBot="1" x14ac:dyDescent="0.35">
      <c r="A23" s="411" t="s">
        <v>250</v>
      </c>
      <c r="B23" s="395">
        <v>4.9406564584124654E-324</v>
      </c>
      <c r="C23" s="395">
        <v>4.9406564584124654E-324</v>
      </c>
      <c r="D23" s="396">
        <v>0</v>
      </c>
      <c r="E23" s="397">
        <v>1</v>
      </c>
      <c r="F23" s="395">
        <v>4.9406564584124654E-324</v>
      </c>
      <c r="G23" s="396">
        <v>0</v>
      </c>
      <c r="H23" s="398">
        <v>4.9406564584124654E-324</v>
      </c>
      <c r="I23" s="395">
        <v>0.10299999999999999</v>
      </c>
      <c r="J23" s="396">
        <v>0.10299999999999999</v>
      </c>
      <c r="K23" s="399" t="s">
        <v>237</v>
      </c>
    </row>
    <row r="24" spans="1:11" ht="14.4" customHeight="1" thickBot="1" x14ac:dyDescent="0.35">
      <c r="A24" s="408" t="s">
        <v>36</v>
      </c>
      <c r="B24" s="390">
        <v>4.9406564584124654E-324</v>
      </c>
      <c r="C24" s="390">
        <v>4.9406564584124654E-324</v>
      </c>
      <c r="D24" s="391">
        <v>0</v>
      </c>
      <c r="E24" s="392">
        <v>1</v>
      </c>
      <c r="F24" s="390">
        <v>4.9406564584124654E-324</v>
      </c>
      <c r="G24" s="391">
        <v>0</v>
      </c>
      <c r="H24" s="393">
        <v>4.9406564584124654E-324</v>
      </c>
      <c r="I24" s="390">
        <v>0.10299999999999999</v>
      </c>
      <c r="J24" s="391">
        <v>0.10299999999999999</v>
      </c>
      <c r="K24" s="400" t="s">
        <v>237</v>
      </c>
    </row>
    <row r="25" spans="1:11" ht="14.4" customHeight="1" thickBot="1" x14ac:dyDescent="0.35">
      <c r="A25" s="409" t="s">
        <v>251</v>
      </c>
      <c r="B25" s="395">
        <v>4.9406564584124654E-324</v>
      </c>
      <c r="C25" s="395">
        <v>4.9406564584124654E-324</v>
      </c>
      <c r="D25" s="396">
        <v>0</v>
      </c>
      <c r="E25" s="397">
        <v>1</v>
      </c>
      <c r="F25" s="395">
        <v>4.9406564584124654E-324</v>
      </c>
      <c r="G25" s="396">
        <v>0</v>
      </c>
      <c r="H25" s="398">
        <v>4.9406564584124654E-324</v>
      </c>
      <c r="I25" s="395">
        <v>0.10299999999999999</v>
      </c>
      <c r="J25" s="396">
        <v>0.10299999999999999</v>
      </c>
      <c r="K25" s="399" t="s">
        <v>237</v>
      </c>
    </row>
    <row r="26" spans="1:11" ht="14.4" customHeight="1" thickBot="1" x14ac:dyDescent="0.35">
      <c r="A26" s="410" t="s">
        <v>252</v>
      </c>
      <c r="B26" s="390">
        <v>4.9406564584124654E-324</v>
      </c>
      <c r="C26" s="390">
        <v>4.9406564584124654E-324</v>
      </c>
      <c r="D26" s="391">
        <v>0</v>
      </c>
      <c r="E26" s="392">
        <v>1</v>
      </c>
      <c r="F26" s="390">
        <v>4.9406564584124654E-324</v>
      </c>
      <c r="G26" s="391">
        <v>0</v>
      </c>
      <c r="H26" s="393">
        <v>4.9406564584124654E-324</v>
      </c>
      <c r="I26" s="390">
        <v>0.10299999999999999</v>
      </c>
      <c r="J26" s="391">
        <v>0.10299999999999999</v>
      </c>
      <c r="K26" s="400" t="s">
        <v>237</v>
      </c>
    </row>
    <row r="27" spans="1:11" ht="14.4" customHeight="1" thickBot="1" x14ac:dyDescent="0.35">
      <c r="A27" s="406" t="s">
        <v>253</v>
      </c>
      <c r="B27" s="390">
        <v>4.9406564584124654E-324</v>
      </c>
      <c r="C27" s="390">
        <v>4.9406564584124654E-324</v>
      </c>
      <c r="D27" s="391">
        <v>0</v>
      </c>
      <c r="E27" s="392">
        <v>1</v>
      </c>
      <c r="F27" s="390">
        <v>4.9406564584124654E-324</v>
      </c>
      <c r="G27" s="391">
        <v>0</v>
      </c>
      <c r="H27" s="393">
        <v>138.66051999999999</v>
      </c>
      <c r="I27" s="390">
        <v>535.08132000000001</v>
      </c>
      <c r="J27" s="391">
        <v>535.08132000000001</v>
      </c>
      <c r="K27" s="400" t="s">
        <v>237</v>
      </c>
    </row>
    <row r="28" spans="1:11" ht="14.4" customHeight="1" thickBot="1" x14ac:dyDescent="0.35">
      <c r="A28" s="407" t="s">
        <v>254</v>
      </c>
      <c r="B28" s="390">
        <v>4.9406564584124654E-324</v>
      </c>
      <c r="C28" s="390">
        <v>4.9406564584124654E-324</v>
      </c>
      <c r="D28" s="391">
        <v>0</v>
      </c>
      <c r="E28" s="392">
        <v>1</v>
      </c>
      <c r="F28" s="390">
        <v>4.9406564584124654E-324</v>
      </c>
      <c r="G28" s="391">
        <v>0</v>
      </c>
      <c r="H28" s="393">
        <v>138.66051999999999</v>
      </c>
      <c r="I28" s="390">
        <v>535.08132000000001</v>
      </c>
      <c r="J28" s="391">
        <v>535.08132000000001</v>
      </c>
      <c r="K28" s="400" t="s">
        <v>237</v>
      </c>
    </row>
    <row r="29" spans="1:11" ht="14.4" customHeight="1" thickBot="1" x14ac:dyDescent="0.35">
      <c r="A29" s="408" t="s">
        <v>255</v>
      </c>
      <c r="B29" s="390">
        <v>4.9406564584124654E-324</v>
      </c>
      <c r="C29" s="390">
        <v>4.9406564584124654E-324</v>
      </c>
      <c r="D29" s="391">
        <v>0</v>
      </c>
      <c r="E29" s="392">
        <v>1</v>
      </c>
      <c r="F29" s="390">
        <v>4.9406564584124654E-324</v>
      </c>
      <c r="G29" s="391">
        <v>0</v>
      </c>
      <c r="H29" s="393">
        <v>138.66051999999999</v>
      </c>
      <c r="I29" s="390">
        <v>535.08132000000001</v>
      </c>
      <c r="J29" s="391">
        <v>535.08132000000001</v>
      </c>
      <c r="K29" s="400" t="s">
        <v>237</v>
      </c>
    </row>
    <row r="30" spans="1:11" ht="14.4" customHeight="1" thickBot="1" x14ac:dyDescent="0.35">
      <c r="A30" s="409" t="s">
        <v>256</v>
      </c>
      <c r="B30" s="395">
        <v>4.9406564584124654E-324</v>
      </c>
      <c r="C30" s="395">
        <v>4.9406564584124654E-324</v>
      </c>
      <c r="D30" s="396">
        <v>0</v>
      </c>
      <c r="E30" s="397">
        <v>1</v>
      </c>
      <c r="F30" s="395">
        <v>4.9406564584124654E-324</v>
      </c>
      <c r="G30" s="396">
        <v>0</v>
      </c>
      <c r="H30" s="398">
        <v>4.9406564584124654E-324</v>
      </c>
      <c r="I30" s="395">
        <v>0.23299</v>
      </c>
      <c r="J30" s="396">
        <v>0.23299</v>
      </c>
      <c r="K30" s="399" t="s">
        <v>237</v>
      </c>
    </row>
    <row r="31" spans="1:11" ht="14.4" customHeight="1" thickBot="1" x14ac:dyDescent="0.35">
      <c r="A31" s="410" t="s">
        <v>257</v>
      </c>
      <c r="B31" s="390">
        <v>4.9406564584124654E-324</v>
      </c>
      <c r="C31" s="390">
        <v>4.9406564584124654E-324</v>
      </c>
      <c r="D31" s="391">
        <v>0</v>
      </c>
      <c r="E31" s="392">
        <v>1</v>
      </c>
      <c r="F31" s="390">
        <v>4.9406564584124654E-324</v>
      </c>
      <c r="G31" s="391">
        <v>0</v>
      </c>
      <c r="H31" s="393">
        <v>4.9406564584124654E-324</v>
      </c>
      <c r="I31" s="390">
        <v>0.23299</v>
      </c>
      <c r="J31" s="391">
        <v>0.23299</v>
      </c>
      <c r="K31" s="400" t="s">
        <v>237</v>
      </c>
    </row>
    <row r="32" spans="1:11" ht="14.4" customHeight="1" thickBot="1" x14ac:dyDescent="0.35">
      <c r="A32" s="409" t="s">
        <v>258</v>
      </c>
      <c r="B32" s="395">
        <v>4.9406564584124654E-324</v>
      </c>
      <c r="C32" s="395">
        <v>4.9406564584124654E-324</v>
      </c>
      <c r="D32" s="396">
        <v>0</v>
      </c>
      <c r="E32" s="397">
        <v>1</v>
      </c>
      <c r="F32" s="395">
        <v>4.9406564584124654E-324</v>
      </c>
      <c r="G32" s="396">
        <v>0</v>
      </c>
      <c r="H32" s="398">
        <v>138.66051999999999</v>
      </c>
      <c r="I32" s="395">
        <v>534.84833000000003</v>
      </c>
      <c r="J32" s="396">
        <v>534.84833000000003</v>
      </c>
      <c r="K32" s="399" t="s">
        <v>237</v>
      </c>
    </row>
    <row r="33" spans="1:11" ht="14.4" customHeight="1" thickBot="1" x14ac:dyDescent="0.35">
      <c r="A33" s="410" t="s">
        <v>259</v>
      </c>
      <c r="B33" s="390">
        <v>4.9406564584124654E-324</v>
      </c>
      <c r="C33" s="390">
        <v>4.9406564584124654E-324</v>
      </c>
      <c r="D33" s="391">
        <v>0</v>
      </c>
      <c r="E33" s="392">
        <v>1</v>
      </c>
      <c r="F33" s="390">
        <v>4.9406564584124654E-324</v>
      </c>
      <c r="G33" s="391">
        <v>0</v>
      </c>
      <c r="H33" s="393">
        <v>12.089449999999999</v>
      </c>
      <c r="I33" s="390">
        <v>123.21937</v>
      </c>
      <c r="J33" s="391">
        <v>123.21937</v>
      </c>
      <c r="K33" s="400" t="s">
        <v>237</v>
      </c>
    </row>
    <row r="34" spans="1:11" ht="14.4" customHeight="1" thickBot="1" x14ac:dyDescent="0.35">
      <c r="A34" s="410" t="s">
        <v>260</v>
      </c>
      <c r="B34" s="390">
        <v>4.9406564584124654E-324</v>
      </c>
      <c r="C34" s="390">
        <v>4.9406564584124654E-324</v>
      </c>
      <c r="D34" s="391">
        <v>0</v>
      </c>
      <c r="E34" s="392">
        <v>1</v>
      </c>
      <c r="F34" s="390">
        <v>4.9406564584124654E-324</v>
      </c>
      <c r="G34" s="391">
        <v>0</v>
      </c>
      <c r="H34" s="393">
        <v>126.57107000000001</v>
      </c>
      <c r="I34" s="390">
        <v>411.62896000000001</v>
      </c>
      <c r="J34" s="391">
        <v>411.62896000000001</v>
      </c>
      <c r="K34" s="400" t="s">
        <v>237</v>
      </c>
    </row>
    <row r="35" spans="1:11" ht="14.4" customHeight="1" thickBot="1" x14ac:dyDescent="0.35">
      <c r="A35" s="406" t="s">
        <v>261</v>
      </c>
      <c r="B35" s="390">
        <v>4.9406564584124654E-324</v>
      </c>
      <c r="C35" s="390">
        <v>4.9406564584124654E-324</v>
      </c>
      <c r="D35" s="391">
        <v>0</v>
      </c>
      <c r="E35" s="392">
        <v>1</v>
      </c>
      <c r="F35" s="390">
        <v>43</v>
      </c>
      <c r="G35" s="391">
        <v>17.916666666666</v>
      </c>
      <c r="H35" s="393">
        <v>2.8412199999999999</v>
      </c>
      <c r="I35" s="390">
        <v>12.979240000000001</v>
      </c>
      <c r="J35" s="391">
        <v>-4.9374266666660001</v>
      </c>
      <c r="K35" s="394">
        <v>0.30184279069699999</v>
      </c>
    </row>
    <row r="36" spans="1:11" ht="14.4" customHeight="1" thickBot="1" x14ac:dyDescent="0.35">
      <c r="A36" s="411" t="s">
        <v>262</v>
      </c>
      <c r="B36" s="395">
        <v>4.9406564584124654E-324</v>
      </c>
      <c r="C36" s="395">
        <v>4.9406564584124654E-324</v>
      </c>
      <c r="D36" s="396">
        <v>0</v>
      </c>
      <c r="E36" s="397">
        <v>1</v>
      </c>
      <c r="F36" s="395">
        <v>43</v>
      </c>
      <c r="G36" s="396">
        <v>17.916666666666</v>
      </c>
      <c r="H36" s="398">
        <v>2.8412199999999999</v>
      </c>
      <c r="I36" s="395">
        <v>12.979240000000001</v>
      </c>
      <c r="J36" s="396">
        <v>-4.9374266666660001</v>
      </c>
      <c r="K36" s="401">
        <v>0.30184279069699999</v>
      </c>
    </row>
    <row r="37" spans="1:11" ht="14.4" customHeight="1" thickBot="1" x14ac:dyDescent="0.35">
      <c r="A37" s="412" t="s">
        <v>43</v>
      </c>
      <c r="B37" s="395">
        <v>4.9406564584124654E-324</v>
      </c>
      <c r="C37" s="395">
        <v>4.9406564584124654E-324</v>
      </c>
      <c r="D37" s="396">
        <v>0</v>
      </c>
      <c r="E37" s="397">
        <v>1</v>
      </c>
      <c r="F37" s="395">
        <v>43</v>
      </c>
      <c r="G37" s="396">
        <v>17.916666666666</v>
      </c>
      <c r="H37" s="398">
        <v>2.8412199999999999</v>
      </c>
      <c r="I37" s="395">
        <v>12.979240000000001</v>
      </c>
      <c r="J37" s="396">
        <v>-4.9374266666660001</v>
      </c>
      <c r="K37" s="401">
        <v>0.30184279069699999</v>
      </c>
    </row>
    <row r="38" spans="1:11" ht="14.4" customHeight="1" thickBot="1" x14ac:dyDescent="0.35">
      <c r="A38" s="409" t="s">
        <v>263</v>
      </c>
      <c r="B38" s="395">
        <v>4.9406564584124654E-324</v>
      </c>
      <c r="C38" s="395">
        <v>4.9406564584124654E-324</v>
      </c>
      <c r="D38" s="396">
        <v>0</v>
      </c>
      <c r="E38" s="397">
        <v>1</v>
      </c>
      <c r="F38" s="395">
        <v>4.9406564584124654E-324</v>
      </c>
      <c r="G38" s="396">
        <v>0</v>
      </c>
      <c r="H38" s="398">
        <v>4.9406564584124654E-324</v>
      </c>
      <c r="I38" s="395">
        <v>0.31492999999999999</v>
      </c>
      <c r="J38" s="396">
        <v>0.31492999999999999</v>
      </c>
      <c r="K38" s="399" t="s">
        <v>237</v>
      </c>
    </row>
    <row r="39" spans="1:11" ht="14.4" customHeight="1" thickBot="1" x14ac:dyDescent="0.35">
      <c r="A39" s="410" t="s">
        <v>264</v>
      </c>
      <c r="B39" s="390">
        <v>4.9406564584124654E-324</v>
      </c>
      <c r="C39" s="390">
        <v>4.9406564584124654E-324</v>
      </c>
      <c r="D39" s="391">
        <v>0</v>
      </c>
      <c r="E39" s="392">
        <v>1</v>
      </c>
      <c r="F39" s="390">
        <v>4.9406564584124654E-324</v>
      </c>
      <c r="G39" s="391">
        <v>0</v>
      </c>
      <c r="H39" s="393">
        <v>4.9406564584124654E-324</v>
      </c>
      <c r="I39" s="390">
        <v>0.31492999999999999</v>
      </c>
      <c r="J39" s="391">
        <v>0.31492999999999999</v>
      </c>
      <c r="K39" s="400" t="s">
        <v>237</v>
      </c>
    </row>
    <row r="40" spans="1:11" ht="14.4" customHeight="1" thickBot="1" x14ac:dyDescent="0.35">
      <c r="A40" s="409" t="s">
        <v>265</v>
      </c>
      <c r="B40" s="395">
        <v>4.9406564584124654E-324</v>
      </c>
      <c r="C40" s="395">
        <v>4.9406564584124654E-324</v>
      </c>
      <c r="D40" s="396">
        <v>0</v>
      </c>
      <c r="E40" s="397">
        <v>1</v>
      </c>
      <c r="F40" s="395">
        <v>43</v>
      </c>
      <c r="G40" s="396">
        <v>17.916666666666</v>
      </c>
      <c r="H40" s="398">
        <v>2.8412199999999999</v>
      </c>
      <c r="I40" s="395">
        <v>12.66431</v>
      </c>
      <c r="J40" s="396">
        <v>-5.2523566666660004</v>
      </c>
      <c r="K40" s="401">
        <v>0.29451883720900002</v>
      </c>
    </row>
    <row r="41" spans="1:11" ht="14.4" customHeight="1" thickBot="1" x14ac:dyDescent="0.35">
      <c r="A41" s="410" t="s">
        <v>266</v>
      </c>
      <c r="B41" s="390">
        <v>4.9406564584124654E-324</v>
      </c>
      <c r="C41" s="390">
        <v>4.9406564584124654E-324</v>
      </c>
      <c r="D41" s="391">
        <v>0</v>
      </c>
      <c r="E41" s="392">
        <v>1</v>
      </c>
      <c r="F41" s="390">
        <v>43</v>
      </c>
      <c r="G41" s="391">
        <v>17.916666666666</v>
      </c>
      <c r="H41" s="393">
        <v>2.8412199999999999</v>
      </c>
      <c r="I41" s="390">
        <v>12.66431</v>
      </c>
      <c r="J41" s="391">
        <v>-5.2523566666660004</v>
      </c>
      <c r="K41" s="394">
        <v>0.29451883720900002</v>
      </c>
    </row>
    <row r="42" spans="1:11" ht="14.4" customHeight="1" thickBot="1" x14ac:dyDescent="0.35">
      <c r="A42" s="413"/>
      <c r="B42" s="390">
        <v>4.9406564584124654E-324</v>
      </c>
      <c r="C42" s="390">
        <v>4.9406564584124654E-324</v>
      </c>
      <c r="D42" s="391">
        <v>0</v>
      </c>
      <c r="E42" s="392">
        <v>1</v>
      </c>
      <c r="F42" s="390">
        <v>-358.14166867397103</v>
      </c>
      <c r="G42" s="391">
        <v>-149.22569528082099</v>
      </c>
      <c r="H42" s="393">
        <v>94.18535</v>
      </c>
      <c r="I42" s="390">
        <v>326.21361000000002</v>
      </c>
      <c r="J42" s="391">
        <v>475.43930528082097</v>
      </c>
      <c r="K42" s="394">
        <v>-0.91085075692999995</v>
      </c>
    </row>
    <row r="43" spans="1:11" ht="14.4" customHeight="1" thickBot="1" x14ac:dyDescent="0.35">
      <c r="A43" s="414" t="s">
        <v>55</v>
      </c>
      <c r="B43" s="402">
        <v>-4.9406564584124654E-324</v>
      </c>
      <c r="C43" s="402">
        <v>-4.9406564584124654E-324</v>
      </c>
      <c r="D43" s="403">
        <v>0</v>
      </c>
      <c r="E43" s="404">
        <v>-1</v>
      </c>
      <c r="F43" s="402">
        <v>-358.14166867397103</v>
      </c>
      <c r="G43" s="403">
        <v>-149.22569528082099</v>
      </c>
      <c r="H43" s="402">
        <v>94.18535</v>
      </c>
      <c r="I43" s="402">
        <v>326.21361000000002</v>
      </c>
      <c r="J43" s="403">
        <v>475.43930528082097</v>
      </c>
      <c r="K43" s="405">
        <v>-0.91085075692999995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0" customWidth="1"/>
    <col min="2" max="2" width="34.21875" style="120" customWidth="1"/>
    <col min="3" max="3" width="11.109375" style="120" bestFit="1" customWidth="1"/>
    <col min="4" max="4" width="7.33203125" style="120" bestFit="1" customWidth="1"/>
    <col min="5" max="5" width="11.109375" style="120" bestFit="1" customWidth="1"/>
    <col min="6" max="6" width="5.33203125" style="120" customWidth="1"/>
    <col min="7" max="7" width="7.33203125" style="120" bestFit="1" customWidth="1"/>
    <col min="8" max="8" width="5.33203125" style="120" customWidth="1"/>
    <col min="9" max="9" width="11.109375" style="120" customWidth="1"/>
    <col min="10" max="10" width="5.33203125" style="120" customWidth="1"/>
    <col min="11" max="11" width="7.33203125" style="120" customWidth="1"/>
    <col min="12" max="12" width="5.33203125" style="120" customWidth="1"/>
    <col min="13" max="13" width="0" style="120" hidden="1" customWidth="1"/>
    <col min="14" max="16384" width="8.88671875" style="120"/>
  </cols>
  <sheetData>
    <row r="1" spans="1:14" ht="18.600000000000001" customHeight="1" thickBot="1" x14ac:dyDescent="0.4">
      <c r="A1" s="333" t="s">
        <v>123</v>
      </c>
      <c r="B1" s="333"/>
      <c r="C1" s="333"/>
      <c r="D1" s="333"/>
      <c r="E1" s="333"/>
      <c r="F1" s="333"/>
      <c r="G1" s="333"/>
      <c r="H1" s="333"/>
      <c r="I1" s="298"/>
      <c r="J1" s="298"/>
      <c r="K1" s="298"/>
      <c r="L1" s="298"/>
    </row>
    <row r="2" spans="1:14" ht="14.4" customHeight="1" thickBot="1" x14ac:dyDescent="0.35">
      <c r="A2" s="217" t="s">
        <v>230</v>
      </c>
      <c r="B2" s="197"/>
      <c r="C2" s="197"/>
      <c r="D2" s="197"/>
      <c r="E2" s="197"/>
      <c r="F2" s="197"/>
      <c r="G2" s="197"/>
      <c r="H2" s="197"/>
    </row>
    <row r="3" spans="1:14" ht="14.4" customHeight="1" thickBot="1" x14ac:dyDescent="0.35">
      <c r="A3" s="134"/>
      <c r="B3" s="134"/>
      <c r="C3" s="344" t="s">
        <v>11</v>
      </c>
      <c r="D3" s="343"/>
      <c r="E3" s="343" t="s">
        <v>12</v>
      </c>
      <c r="F3" s="343"/>
      <c r="G3" s="343"/>
      <c r="H3" s="343"/>
      <c r="I3" s="343" t="s">
        <v>130</v>
      </c>
      <c r="J3" s="343"/>
      <c r="K3" s="343"/>
      <c r="L3" s="345"/>
    </row>
    <row r="4" spans="1:14" ht="14.4" customHeight="1" thickBot="1" x14ac:dyDescent="0.35">
      <c r="A4" s="73" t="s">
        <v>13</v>
      </c>
      <c r="B4" s="74" t="s">
        <v>14</v>
      </c>
      <c r="C4" s="75" t="s">
        <v>15</v>
      </c>
      <c r="D4" s="75" t="s">
        <v>16</v>
      </c>
      <c r="E4" s="75" t="s">
        <v>15</v>
      </c>
      <c r="F4" s="75" t="s">
        <v>2</v>
      </c>
      <c r="G4" s="75" t="s">
        <v>16</v>
      </c>
      <c r="H4" s="75" t="s">
        <v>2</v>
      </c>
      <c r="I4" s="75" t="s">
        <v>15</v>
      </c>
      <c r="J4" s="75" t="s">
        <v>2</v>
      </c>
      <c r="K4" s="75" t="s">
        <v>16</v>
      </c>
      <c r="L4" s="76" t="s">
        <v>2</v>
      </c>
    </row>
    <row r="5" spans="1:14" ht="14.4" customHeight="1" x14ac:dyDescent="0.3">
      <c r="A5" s="415">
        <v>57</v>
      </c>
      <c r="B5" s="416" t="s">
        <v>267</v>
      </c>
      <c r="C5" s="417">
        <v>788994.12000000011</v>
      </c>
      <c r="D5" s="417">
        <v>223</v>
      </c>
      <c r="E5" s="417">
        <v>416477.16000000003</v>
      </c>
      <c r="F5" s="418">
        <v>0.52785838251874417</v>
      </c>
      <c r="G5" s="417">
        <v>113</v>
      </c>
      <c r="H5" s="418">
        <v>0.50672645739910316</v>
      </c>
      <c r="I5" s="417">
        <v>372516.96</v>
      </c>
      <c r="J5" s="418">
        <v>0.47214161748125572</v>
      </c>
      <c r="K5" s="417">
        <v>110</v>
      </c>
      <c r="L5" s="418">
        <v>0.49327354260089684</v>
      </c>
      <c r="M5" s="417" t="s">
        <v>57</v>
      </c>
      <c r="N5" s="141"/>
    </row>
    <row r="6" spans="1:14" ht="14.4" customHeight="1" x14ac:dyDescent="0.3">
      <c r="A6" s="415">
        <v>57</v>
      </c>
      <c r="B6" s="416" t="s">
        <v>268</v>
      </c>
      <c r="C6" s="417">
        <v>788994.12000000011</v>
      </c>
      <c r="D6" s="417">
        <v>208</v>
      </c>
      <c r="E6" s="417">
        <v>416477.16000000003</v>
      </c>
      <c r="F6" s="418">
        <v>0.52785838251874417</v>
      </c>
      <c r="G6" s="417">
        <v>101</v>
      </c>
      <c r="H6" s="418">
        <v>0.48557692307692307</v>
      </c>
      <c r="I6" s="417">
        <v>372516.96</v>
      </c>
      <c r="J6" s="418">
        <v>0.47214161748125572</v>
      </c>
      <c r="K6" s="417">
        <v>107</v>
      </c>
      <c r="L6" s="418">
        <v>0.51442307692307687</v>
      </c>
      <c r="M6" s="417" t="s">
        <v>1</v>
      </c>
      <c r="N6" s="141"/>
    </row>
    <row r="7" spans="1:14" ht="14.4" customHeight="1" x14ac:dyDescent="0.3">
      <c r="A7" s="415">
        <v>57</v>
      </c>
      <c r="B7" s="416" t="s">
        <v>269</v>
      </c>
      <c r="C7" s="417">
        <v>0</v>
      </c>
      <c r="D7" s="417">
        <v>15</v>
      </c>
      <c r="E7" s="417">
        <v>0</v>
      </c>
      <c r="F7" s="418" t="s">
        <v>270</v>
      </c>
      <c r="G7" s="417">
        <v>12</v>
      </c>
      <c r="H7" s="418">
        <v>0.8</v>
      </c>
      <c r="I7" s="417">
        <v>0</v>
      </c>
      <c r="J7" s="418" t="s">
        <v>270</v>
      </c>
      <c r="K7" s="417">
        <v>3</v>
      </c>
      <c r="L7" s="418">
        <v>0.2</v>
      </c>
      <c r="M7" s="417" t="s">
        <v>1</v>
      </c>
      <c r="N7" s="141"/>
    </row>
    <row r="8" spans="1:14" ht="14.4" customHeight="1" x14ac:dyDescent="0.3">
      <c r="A8" s="415" t="s">
        <v>271</v>
      </c>
      <c r="B8" s="416" t="s">
        <v>3</v>
      </c>
      <c r="C8" s="417">
        <v>788994.12000000011</v>
      </c>
      <c r="D8" s="417">
        <v>223</v>
      </c>
      <c r="E8" s="417">
        <v>416477.16000000003</v>
      </c>
      <c r="F8" s="418">
        <v>0.52785838251874417</v>
      </c>
      <c r="G8" s="417">
        <v>113</v>
      </c>
      <c r="H8" s="418">
        <v>0.50672645739910316</v>
      </c>
      <c r="I8" s="417">
        <v>372516.96</v>
      </c>
      <c r="J8" s="418">
        <v>0.47214161748125572</v>
      </c>
      <c r="K8" s="417">
        <v>110</v>
      </c>
      <c r="L8" s="418">
        <v>0.49327354260089684</v>
      </c>
      <c r="M8" s="417" t="s">
        <v>272</v>
      </c>
      <c r="N8" s="141"/>
    </row>
    <row r="10" spans="1:14" ht="14.4" customHeight="1" x14ac:dyDescent="0.3">
      <c r="A10" s="415">
        <v>57</v>
      </c>
      <c r="B10" s="416" t="s">
        <v>267</v>
      </c>
      <c r="C10" s="417" t="s">
        <v>270</v>
      </c>
      <c r="D10" s="417" t="s">
        <v>270</v>
      </c>
      <c r="E10" s="417" t="s">
        <v>270</v>
      </c>
      <c r="F10" s="418" t="s">
        <v>270</v>
      </c>
      <c r="G10" s="417" t="s">
        <v>270</v>
      </c>
      <c r="H10" s="418" t="s">
        <v>270</v>
      </c>
      <c r="I10" s="417" t="s">
        <v>270</v>
      </c>
      <c r="J10" s="418" t="s">
        <v>270</v>
      </c>
      <c r="K10" s="417" t="s">
        <v>270</v>
      </c>
      <c r="L10" s="418" t="s">
        <v>270</v>
      </c>
      <c r="M10" s="417" t="s">
        <v>57</v>
      </c>
      <c r="N10" s="141"/>
    </row>
    <row r="11" spans="1:14" ht="14.4" customHeight="1" x14ac:dyDescent="0.3">
      <c r="A11" s="415">
        <v>89301594</v>
      </c>
      <c r="B11" s="416" t="s">
        <v>268</v>
      </c>
      <c r="C11" s="417">
        <v>788994.12000000011</v>
      </c>
      <c r="D11" s="417">
        <v>208</v>
      </c>
      <c r="E11" s="417">
        <v>416477.16000000003</v>
      </c>
      <c r="F11" s="418">
        <v>0.52785838251874417</v>
      </c>
      <c r="G11" s="417">
        <v>101</v>
      </c>
      <c r="H11" s="418">
        <v>0.48557692307692307</v>
      </c>
      <c r="I11" s="417">
        <v>372516.96</v>
      </c>
      <c r="J11" s="418">
        <v>0.47214161748125572</v>
      </c>
      <c r="K11" s="417">
        <v>107</v>
      </c>
      <c r="L11" s="418">
        <v>0.51442307692307687</v>
      </c>
      <c r="M11" s="417" t="s">
        <v>1</v>
      </c>
      <c r="N11" s="141"/>
    </row>
    <row r="12" spans="1:14" ht="14.4" customHeight="1" x14ac:dyDescent="0.3">
      <c r="A12" s="415">
        <v>89301594</v>
      </c>
      <c r="B12" s="416" t="s">
        <v>269</v>
      </c>
      <c r="C12" s="417">
        <v>0</v>
      </c>
      <c r="D12" s="417">
        <v>15</v>
      </c>
      <c r="E12" s="417">
        <v>0</v>
      </c>
      <c r="F12" s="418" t="s">
        <v>270</v>
      </c>
      <c r="G12" s="417">
        <v>12</v>
      </c>
      <c r="H12" s="418">
        <v>0.8</v>
      </c>
      <c r="I12" s="417">
        <v>0</v>
      </c>
      <c r="J12" s="418" t="s">
        <v>270</v>
      </c>
      <c r="K12" s="417">
        <v>3</v>
      </c>
      <c r="L12" s="418">
        <v>0.2</v>
      </c>
      <c r="M12" s="417" t="s">
        <v>1</v>
      </c>
      <c r="N12" s="141"/>
    </row>
    <row r="13" spans="1:14" ht="14.4" customHeight="1" x14ac:dyDescent="0.3">
      <c r="A13" s="415" t="s">
        <v>273</v>
      </c>
      <c r="B13" s="416" t="s">
        <v>274</v>
      </c>
      <c r="C13" s="417">
        <v>788994.12000000011</v>
      </c>
      <c r="D13" s="417">
        <v>223</v>
      </c>
      <c r="E13" s="417">
        <v>416477.16000000003</v>
      </c>
      <c r="F13" s="418">
        <v>0.52785838251874417</v>
      </c>
      <c r="G13" s="417">
        <v>113</v>
      </c>
      <c r="H13" s="418">
        <v>0.50672645739910316</v>
      </c>
      <c r="I13" s="417">
        <v>372516.96</v>
      </c>
      <c r="J13" s="418">
        <v>0.47214161748125572</v>
      </c>
      <c r="K13" s="417">
        <v>110</v>
      </c>
      <c r="L13" s="418">
        <v>0.49327354260089684</v>
      </c>
      <c r="M13" s="417" t="s">
        <v>275</v>
      </c>
      <c r="N13" s="141"/>
    </row>
    <row r="14" spans="1:14" ht="14.4" customHeight="1" x14ac:dyDescent="0.3">
      <c r="A14" s="415" t="s">
        <v>270</v>
      </c>
      <c r="B14" s="416" t="s">
        <v>270</v>
      </c>
      <c r="C14" s="417" t="s">
        <v>270</v>
      </c>
      <c r="D14" s="417" t="s">
        <v>270</v>
      </c>
      <c r="E14" s="417" t="s">
        <v>270</v>
      </c>
      <c r="F14" s="418" t="s">
        <v>270</v>
      </c>
      <c r="G14" s="417" t="s">
        <v>270</v>
      </c>
      <c r="H14" s="418" t="s">
        <v>270</v>
      </c>
      <c r="I14" s="417" t="s">
        <v>270</v>
      </c>
      <c r="J14" s="418" t="s">
        <v>270</v>
      </c>
      <c r="K14" s="417" t="s">
        <v>270</v>
      </c>
      <c r="L14" s="418" t="s">
        <v>270</v>
      </c>
      <c r="M14" s="417" t="s">
        <v>276</v>
      </c>
      <c r="N14" s="141"/>
    </row>
    <row r="15" spans="1:14" ht="14.4" customHeight="1" x14ac:dyDescent="0.3">
      <c r="A15" s="415" t="s">
        <v>271</v>
      </c>
      <c r="B15" s="416" t="s">
        <v>274</v>
      </c>
      <c r="C15" s="417">
        <v>788994.12000000011</v>
      </c>
      <c r="D15" s="417">
        <v>223</v>
      </c>
      <c r="E15" s="417">
        <v>416477.16000000003</v>
      </c>
      <c r="F15" s="418">
        <v>0.52785838251874417</v>
      </c>
      <c r="G15" s="417">
        <v>113</v>
      </c>
      <c r="H15" s="418">
        <v>0.50672645739910316</v>
      </c>
      <c r="I15" s="417">
        <v>372516.96</v>
      </c>
      <c r="J15" s="418">
        <v>0.47214161748125572</v>
      </c>
      <c r="K15" s="417">
        <v>110</v>
      </c>
      <c r="L15" s="418">
        <v>0.49327354260089684</v>
      </c>
      <c r="M15" s="417" t="s">
        <v>272</v>
      </c>
      <c r="N15" s="14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0" customWidth="1"/>
    <col min="2" max="2" width="11.109375" style="198" bestFit="1" customWidth="1"/>
    <col min="3" max="3" width="11.109375" style="120" hidden="1" customWidth="1"/>
    <col min="4" max="4" width="7.33203125" style="198" bestFit="1" customWidth="1"/>
    <col min="5" max="5" width="7.33203125" style="120" hidden="1" customWidth="1"/>
    <col min="6" max="6" width="11.109375" style="198" bestFit="1" customWidth="1"/>
    <col min="7" max="7" width="5.33203125" style="201" customWidth="1"/>
    <col min="8" max="8" width="7.33203125" style="198" bestFit="1" customWidth="1"/>
    <col min="9" max="9" width="5.33203125" style="201" customWidth="1"/>
    <col min="10" max="10" width="11.109375" style="198" customWidth="1"/>
    <col min="11" max="11" width="5.33203125" style="201" customWidth="1"/>
    <col min="12" max="12" width="7.33203125" style="198" customWidth="1"/>
    <col min="13" max="13" width="5.33203125" style="201" customWidth="1"/>
    <col min="14" max="14" width="0" style="120" hidden="1" customWidth="1"/>
    <col min="15" max="16384" width="8.88671875" style="120"/>
  </cols>
  <sheetData>
    <row r="1" spans="1:13" ht="18.600000000000001" customHeight="1" thickBot="1" x14ac:dyDescent="0.4">
      <c r="A1" s="333" t="s">
        <v>131</v>
      </c>
      <c r="B1" s="333"/>
      <c r="C1" s="333"/>
      <c r="D1" s="333"/>
      <c r="E1" s="333"/>
      <c r="F1" s="333"/>
      <c r="G1" s="333"/>
      <c r="H1" s="333"/>
      <c r="I1" s="333"/>
      <c r="J1" s="298"/>
      <c r="K1" s="298"/>
      <c r="L1" s="298"/>
      <c r="M1" s="298"/>
    </row>
    <row r="2" spans="1:13" ht="14.4" customHeight="1" thickBot="1" x14ac:dyDescent="0.35">
      <c r="A2" s="217" t="s">
        <v>230</v>
      </c>
      <c r="B2" s="205"/>
      <c r="C2" s="197"/>
      <c r="D2" s="205"/>
      <c r="E2" s="197"/>
      <c r="F2" s="205"/>
      <c r="G2" s="206"/>
      <c r="H2" s="205"/>
      <c r="I2" s="206"/>
    </row>
    <row r="3" spans="1:13" ht="14.4" customHeight="1" thickBot="1" x14ac:dyDescent="0.35">
      <c r="A3" s="134"/>
      <c r="B3" s="344" t="s">
        <v>11</v>
      </c>
      <c r="C3" s="346"/>
      <c r="D3" s="343"/>
      <c r="E3" s="133"/>
      <c r="F3" s="343" t="s">
        <v>12</v>
      </c>
      <c r="G3" s="343"/>
      <c r="H3" s="343"/>
      <c r="I3" s="343"/>
      <c r="J3" s="343" t="s">
        <v>130</v>
      </c>
      <c r="K3" s="343"/>
      <c r="L3" s="343"/>
      <c r="M3" s="345"/>
    </row>
    <row r="4" spans="1:13" ht="14.4" customHeight="1" thickBot="1" x14ac:dyDescent="0.35">
      <c r="A4" s="419" t="s">
        <v>121</v>
      </c>
      <c r="B4" s="423" t="s">
        <v>15</v>
      </c>
      <c r="C4" s="424"/>
      <c r="D4" s="423" t="s">
        <v>16</v>
      </c>
      <c r="E4" s="424"/>
      <c r="F4" s="423" t="s">
        <v>15</v>
      </c>
      <c r="G4" s="437" t="s">
        <v>2</v>
      </c>
      <c r="H4" s="423" t="s">
        <v>16</v>
      </c>
      <c r="I4" s="437" t="s">
        <v>2</v>
      </c>
      <c r="J4" s="423" t="s">
        <v>15</v>
      </c>
      <c r="K4" s="437" t="s">
        <v>2</v>
      </c>
      <c r="L4" s="423" t="s">
        <v>16</v>
      </c>
      <c r="M4" s="438" t="s">
        <v>2</v>
      </c>
    </row>
    <row r="5" spans="1:13" ht="14.4" customHeight="1" x14ac:dyDescent="0.3">
      <c r="A5" s="420" t="s">
        <v>277</v>
      </c>
      <c r="B5" s="425">
        <v>1515.3600000000001</v>
      </c>
      <c r="C5" s="426">
        <v>1</v>
      </c>
      <c r="D5" s="434">
        <v>1</v>
      </c>
      <c r="E5" s="448" t="s">
        <v>277</v>
      </c>
      <c r="F5" s="425">
        <v>1515.3600000000001</v>
      </c>
      <c r="G5" s="442">
        <v>1</v>
      </c>
      <c r="H5" s="427">
        <v>1</v>
      </c>
      <c r="I5" s="443">
        <v>1</v>
      </c>
      <c r="J5" s="451"/>
      <c r="K5" s="442">
        <v>0</v>
      </c>
      <c r="L5" s="427"/>
      <c r="M5" s="443">
        <v>0</v>
      </c>
    </row>
    <row r="6" spans="1:13" ht="14.4" customHeight="1" x14ac:dyDescent="0.3">
      <c r="A6" s="421" t="s">
        <v>278</v>
      </c>
      <c r="B6" s="428">
        <v>227903.68</v>
      </c>
      <c r="C6" s="429">
        <v>1</v>
      </c>
      <c r="D6" s="435">
        <v>79</v>
      </c>
      <c r="E6" s="449" t="s">
        <v>278</v>
      </c>
      <c r="F6" s="428">
        <v>132836.54999999999</v>
      </c>
      <c r="G6" s="444">
        <v>0.58286268128711216</v>
      </c>
      <c r="H6" s="430">
        <v>38</v>
      </c>
      <c r="I6" s="445">
        <v>0.48101265822784811</v>
      </c>
      <c r="J6" s="452">
        <v>95067.12999999999</v>
      </c>
      <c r="K6" s="444">
        <v>0.41713731871288778</v>
      </c>
      <c r="L6" s="430">
        <v>41</v>
      </c>
      <c r="M6" s="445">
        <v>0.51898734177215189</v>
      </c>
    </row>
    <row r="7" spans="1:13" ht="14.4" customHeight="1" x14ac:dyDescent="0.3">
      <c r="A7" s="421" t="s">
        <v>279</v>
      </c>
      <c r="B7" s="428">
        <v>2843.1000000000004</v>
      </c>
      <c r="C7" s="429">
        <v>1</v>
      </c>
      <c r="D7" s="435">
        <v>16</v>
      </c>
      <c r="E7" s="449" t="s">
        <v>279</v>
      </c>
      <c r="F7" s="428">
        <v>0</v>
      </c>
      <c r="G7" s="444">
        <v>0</v>
      </c>
      <c r="H7" s="430">
        <v>12</v>
      </c>
      <c r="I7" s="445">
        <v>0.75</v>
      </c>
      <c r="J7" s="452">
        <v>2843.1000000000004</v>
      </c>
      <c r="K7" s="444">
        <v>1</v>
      </c>
      <c r="L7" s="430">
        <v>4</v>
      </c>
      <c r="M7" s="445">
        <v>0.25</v>
      </c>
    </row>
    <row r="8" spans="1:13" ht="14.4" customHeight="1" x14ac:dyDescent="0.3">
      <c r="A8" s="421" t="s">
        <v>280</v>
      </c>
      <c r="B8" s="428">
        <v>1684.96</v>
      </c>
      <c r="C8" s="429">
        <v>1</v>
      </c>
      <c r="D8" s="435">
        <v>1</v>
      </c>
      <c r="E8" s="449" t="s">
        <v>280</v>
      </c>
      <c r="F8" s="428"/>
      <c r="G8" s="444">
        <v>0</v>
      </c>
      <c r="H8" s="430"/>
      <c r="I8" s="445">
        <v>0</v>
      </c>
      <c r="J8" s="452">
        <v>1684.96</v>
      </c>
      <c r="K8" s="444">
        <v>1</v>
      </c>
      <c r="L8" s="430">
        <v>1</v>
      </c>
      <c r="M8" s="445">
        <v>1</v>
      </c>
    </row>
    <row r="9" spans="1:13" ht="14.4" customHeight="1" thickBot="1" x14ac:dyDescent="0.35">
      <c r="A9" s="422" t="s">
        <v>281</v>
      </c>
      <c r="B9" s="431">
        <v>555047.0199999999</v>
      </c>
      <c r="C9" s="432">
        <v>1</v>
      </c>
      <c r="D9" s="436">
        <v>126</v>
      </c>
      <c r="E9" s="450" t="s">
        <v>281</v>
      </c>
      <c r="F9" s="431">
        <v>282125.25</v>
      </c>
      <c r="G9" s="446">
        <v>0.50829072102756279</v>
      </c>
      <c r="H9" s="433">
        <v>62</v>
      </c>
      <c r="I9" s="447">
        <v>0.49206349206349204</v>
      </c>
      <c r="J9" s="453">
        <v>272921.7699999999</v>
      </c>
      <c r="K9" s="446">
        <v>0.49170927897243721</v>
      </c>
      <c r="L9" s="433">
        <v>64</v>
      </c>
      <c r="M9" s="447">
        <v>0.50793650793650791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0" customWidth="1"/>
    <col min="2" max="2" width="10" style="198" customWidth="1"/>
    <col min="3" max="3" width="5.5546875" style="201" customWidth="1"/>
    <col min="4" max="4" width="10" style="198" customWidth="1"/>
    <col min="5" max="5" width="5.5546875" style="201" customWidth="1"/>
    <col min="6" max="6" width="10" style="198" customWidth="1"/>
    <col min="7" max="7" width="8.88671875" style="120" customWidth="1"/>
    <col min="8" max="16384" width="8.88671875" style="120"/>
  </cols>
  <sheetData>
    <row r="1" spans="1:6" ht="37.799999999999997" customHeight="1" thickBot="1" x14ac:dyDescent="0.4">
      <c r="A1" s="332" t="s">
        <v>282</v>
      </c>
      <c r="B1" s="333"/>
      <c r="C1" s="333"/>
      <c r="D1" s="333"/>
      <c r="E1" s="333"/>
      <c r="F1" s="333"/>
    </row>
    <row r="2" spans="1:6" ht="14.4" customHeight="1" thickBot="1" x14ac:dyDescent="0.35">
      <c r="A2" s="217" t="s">
        <v>230</v>
      </c>
      <c r="B2" s="63"/>
      <c r="C2" s="64"/>
      <c r="D2" s="65"/>
      <c r="E2" s="64"/>
      <c r="F2" s="65"/>
    </row>
    <row r="3" spans="1:6" ht="14.4" customHeight="1" thickBot="1" x14ac:dyDescent="0.35">
      <c r="A3" s="90"/>
      <c r="B3" s="334" t="s">
        <v>116</v>
      </c>
      <c r="C3" s="335"/>
      <c r="D3" s="336" t="s">
        <v>115</v>
      </c>
      <c r="E3" s="335"/>
      <c r="F3" s="72" t="s">
        <v>3</v>
      </c>
    </row>
    <row r="4" spans="1:6" ht="14.4" customHeight="1" thickBot="1" x14ac:dyDescent="0.35">
      <c r="A4" s="454" t="s">
        <v>167</v>
      </c>
      <c r="B4" s="455" t="s">
        <v>10</v>
      </c>
      <c r="C4" s="456" t="s">
        <v>2</v>
      </c>
      <c r="D4" s="455" t="s">
        <v>10</v>
      </c>
      <c r="E4" s="456" t="s">
        <v>2</v>
      </c>
      <c r="F4" s="457" t="s">
        <v>10</v>
      </c>
    </row>
    <row r="5" spans="1:6" ht="14.4" customHeight="1" x14ac:dyDescent="0.3">
      <c r="A5" s="469" t="s">
        <v>281</v>
      </c>
      <c r="B5" s="427">
        <v>7598.9499999999989</v>
      </c>
      <c r="C5" s="442">
        <v>1.4048141647314532E-2</v>
      </c>
      <c r="D5" s="427">
        <v>533323.12999999977</v>
      </c>
      <c r="E5" s="442">
        <v>0.98595185835268551</v>
      </c>
      <c r="F5" s="458">
        <v>540922.07999999973</v>
      </c>
    </row>
    <row r="6" spans="1:6" ht="14.4" customHeight="1" x14ac:dyDescent="0.3">
      <c r="A6" s="470" t="s">
        <v>278</v>
      </c>
      <c r="B6" s="430">
        <v>300</v>
      </c>
      <c r="C6" s="444">
        <v>1.3163455719539066E-3</v>
      </c>
      <c r="D6" s="430">
        <v>227603.67999999993</v>
      </c>
      <c r="E6" s="444">
        <v>0.99868365442804607</v>
      </c>
      <c r="F6" s="459">
        <v>227903.67999999993</v>
      </c>
    </row>
    <row r="7" spans="1:6" ht="14.4" customHeight="1" x14ac:dyDescent="0.3">
      <c r="A7" s="470" t="s">
        <v>280</v>
      </c>
      <c r="B7" s="430"/>
      <c r="C7" s="444">
        <v>0</v>
      </c>
      <c r="D7" s="430">
        <v>1684.96</v>
      </c>
      <c r="E7" s="444">
        <v>1</v>
      </c>
      <c r="F7" s="459">
        <v>1684.96</v>
      </c>
    </row>
    <row r="8" spans="1:6" ht="14.4" customHeight="1" x14ac:dyDescent="0.3">
      <c r="A8" s="470" t="s">
        <v>277</v>
      </c>
      <c r="B8" s="430"/>
      <c r="C8" s="444">
        <v>0</v>
      </c>
      <c r="D8" s="430">
        <v>1515.3600000000001</v>
      </c>
      <c r="E8" s="444">
        <v>1</v>
      </c>
      <c r="F8" s="459">
        <v>1515.3600000000001</v>
      </c>
    </row>
    <row r="9" spans="1:6" ht="14.4" customHeight="1" thickBot="1" x14ac:dyDescent="0.35">
      <c r="A9" s="471" t="s">
        <v>279</v>
      </c>
      <c r="B9" s="461"/>
      <c r="C9" s="462">
        <v>0</v>
      </c>
      <c r="D9" s="461">
        <v>2843.1000000000004</v>
      </c>
      <c r="E9" s="462">
        <v>1</v>
      </c>
      <c r="F9" s="463">
        <v>2843.1000000000004</v>
      </c>
    </row>
    <row r="10" spans="1:6" ht="14.4" customHeight="1" thickBot="1" x14ac:dyDescent="0.35">
      <c r="A10" s="465" t="s">
        <v>3</v>
      </c>
      <c r="B10" s="466">
        <v>7898.9499999999989</v>
      </c>
      <c r="C10" s="467">
        <v>1.0193914281117752E-2</v>
      </c>
      <c r="D10" s="466">
        <v>766970.22999999975</v>
      </c>
      <c r="E10" s="467">
        <v>0.98980608571888229</v>
      </c>
      <c r="F10" s="468">
        <v>774869.1799999997</v>
      </c>
    </row>
    <row r="11" spans="1:6" ht="14.4" customHeight="1" thickBot="1" x14ac:dyDescent="0.35"/>
    <row r="12" spans="1:6" ht="14.4" customHeight="1" x14ac:dyDescent="0.3">
      <c r="A12" s="469" t="s">
        <v>283</v>
      </c>
      <c r="B12" s="427">
        <v>7898.9499999999989</v>
      </c>
      <c r="C12" s="442">
        <v>1.0207713883425205E-2</v>
      </c>
      <c r="D12" s="427">
        <v>765922.7</v>
      </c>
      <c r="E12" s="442">
        <v>0.98979228611657488</v>
      </c>
      <c r="F12" s="458">
        <v>773821.64999999991</v>
      </c>
    </row>
    <row r="13" spans="1:6" ht="14.4" customHeight="1" x14ac:dyDescent="0.3">
      <c r="A13" s="470" t="s">
        <v>284</v>
      </c>
      <c r="B13" s="430">
        <v>0</v>
      </c>
      <c r="C13" s="444"/>
      <c r="D13" s="430"/>
      <c r="E13" s="444"/>
      <c r="F13" s="459">
        <v>0</v>
      </c>
    </row>
    <row r="14" spans="1:6" ht="14.4" customHeight="1" x14ac:dyDescent="0.3">
      <c r="A14" s="470" t="s">
        <v>285</v>
      </c>
      <c r="B14" s="430"/>
      <c r="C14" s="444">
        <v>0</v>
      </c>
      <c r="D14" s="430">
        <v>420.09000000000003</v>
      </c>
      <c r="E14" s="444">
        <v>1</v>
      </c>
      <c r="F14" s="459">
        <v>420.09000000000003</v>
      </c>
    </row>
    <row r="15" spans="1:6" ht="14.4" customHeight="1" thickBot="1" x14ac:dyDescent="0.35">
      <c r="A15" s="471" t="s">
        <v>286</v>
      </c>
      <c r="B15" s="461"/>
      <c r="C15" s="462">
        <v>0</v>
      </c>
      <c r="D15" s="461">
        <v>627.44000000000005</v>
      </c>
      <c r="E15" s="462">
        <v>1</v>
      </c>
      <c r="F15" s="463">
        <v>627.44000000000005</v>
      </c>
    </row>
    <row r="16" spans="1:6" ht="14.4" customHeight="1" thickBot="1" x14ac:dyDescent="0.35">
      <c r="A16" s="465" t="s">
        <v>3</v>
      </c>
      <c r="B16" s="466">
        <v>7898.9499999999989</v>
      </c>
      <c r="C16" s="467">
        <v>1.0193914281117749E-2</v>
      </c>
      <c r="D16" s="466">
        <v>766970.23</v>
      </c>
      <c r="E16" s="467">
        <v>0.98980608571888229</v>
      </c>
      <c r="F16" s="468">
        <v>774869.17999999993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{0CDCA9EF-6AE5-4C9D-BC3A-B6D39A21840D}</x14:id>
        </ext>
      </extLst>
    </cfRule>
  </conditionalFormatting>
  <conditionalFormatting sqref="F12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{487DEA36-11D7-4A21-BBE0-0F3E8F584FFB}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DCA9EF-6AE5-4C9D-BC3A-B6D39A2184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487DEA36-11D7-4A21-BBE0-0F3E8F584F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2014-06-18T07:53:55Z</dcterms:modified>
</cp:coreProperties>
</file>