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B22" i="419" l="1"/>
  <c r="G22" i="419"/>
  <c r="E22" i="419"/>
  <c r="H22" i="419"/>
  <c r="L22" i="419"/>
  <c r="P22" i="419"/>
  <c r="T22" i="419"/>
  <c r="X22" i="419"/>
  <c r="AB22" i="419"/>
  <c r="AF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D22" i="419"/>
  <c r="K22" i="419"/>
  <c r="O22" i="419"/>
  <c r="S22" i="419"/>
  <c r="W22" i="419"/>
  <c r="AA22" i="419"/>
  <c r="AE22" i="419"/>
  <c r="A22" i="383"/>
  <c r="G3" i="429"/>
  <c r="F3" i="429"/>
  <c r="E3" i="429"/>
  <c r="D3" i="429"/>
  <c r="C3" i="429"/>
  <c r="B3" i="429"/>
  <c r="AG26" i="419" l="1"/>
  <c r="AG25" i="419"/>
  <c r="C11" i="340" l="1"/>
  <c r="A16" i="383" l="1"/>
  <c r="C14" i="414"/>
  <c r="D14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4" i="414"/>
  <c r="D17" i="414"/>
  <c r="C17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C20" i="414"/>
  <c r="D20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<sst xmlns="http://schemas.openxmlformats.org/spreadsheetml/2006/main" count="2860" uniqueCount="712">
  <si>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</si>
  <si>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</si>
  <si>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</si>
  <si>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</si>
  <si>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</si>
  <si>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</si>
  <si>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</si>
  <si>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</si>
  <si>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</si>
  <si>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</si>
  <si>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</si>
  <si>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</si>
  <si>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</si>
  <si>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</si>
  <si>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</si>
  <si>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</si>
  <si>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</si>
  <si>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</si>
  <si>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</si>
  <si>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</si>
  <si>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</si>
  <si>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</si>
  <si>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</si>
  <si>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</si>
  <si>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</si>
  <si>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</si>
  <si>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</si>
  <si>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</si>
  <si>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</si>
  <si>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</si>
  <si>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</si>
  <si>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</si>
  <si>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</si>
  <si>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</si>
  <si>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</si>
  <si>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</si>
  <si>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</si>
  <si>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</si>
  <si>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</si>
  <si>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</si>
  <si>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</si>
  <si>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</si>
  <si>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</si>
  <si>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</si>
  <si>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</si>
  <si>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</si>
  <si>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</si>
  <si>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</si>
  <si>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</si>
  <si>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</si>
  <si>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</si>
  <si>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</si>
  <si>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</si>
  <si>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</si>
  <si>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</si>
  <si>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</si>
  <si>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</si>
  <si>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</si>
  <si>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</si>
  <si>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</si>
  <si>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</si>
  <si>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</si>
  <si>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</si>
  <si>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</si>
  <si>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</si>
  <si>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</si>
  <si>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</si>
  <si>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</si>
  <si>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</si>
  <si>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</si>
  <si>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</si>
  <si>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</si>
  <si>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</si>
  <si>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</si>
  <si>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</si>
  <si>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</si>
  <si>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</si>
  <si>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</si>
  <si>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</si>
  <si>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</si>
  <si>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</si>
  <si>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</si>
  <si>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</si>
  <si>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</si>
  <si>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</si>
  <si>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</si>
  <si>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</si>
  <si>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</si>
  <si>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</si>
  <si>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</si>
  <si>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</si>
  <si>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</si>
  <si>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</si>
  <si>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</si>
  <si>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</si>
  <si>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</si>
  <si>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</si>
  <si>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</si>
  <si>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</si>
  <si>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</si>
  <si>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</si>
  <si>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</si>
  <si>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</si>
  <si>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</si>
  <si>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</si>
  <si>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</si>
  <si>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</si>
  <si>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</si>
  <si>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</si>
  <si>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</si>
  <si>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</si>
  <si>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</si>
  <si>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</si>
  <si>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</si>
  <si>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</si>
  <si>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</si>
  <si>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</si>
  <si>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</si>
  <si>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</si>
  <si>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</si>
  <si>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</si>
  <si>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</si>
  <si>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</si>
  <si>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</si>
  <si>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</si>
  <si>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</si>
  <si>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</si>
  <si>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</si>
  <si>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</si>
  <si>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</si>
  <si>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</si>
  <si>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</si>
  <si>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</si>
  <si>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</si>
  <si>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</si>
  <si>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</si>
  <si>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</si>
  <si>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</si>
  <si>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</si>
  <si>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</si>
  <si>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</si>
  <si>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</si>
  <si>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</si>
  <si>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</si>
  <si>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</si>
  <si>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</si>
  <si>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</si>
  <si>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</si>
  <si>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</si>
  <si>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</si>
  <si>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</si>
  <si>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</si>
  <si>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</si>
  <si>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</si>
  <si>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</si>
  <si>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</si>
  <si>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</si>
  <si>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</si>
  <si>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</si>
  <si>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</si>
  <si>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</si>
  <si>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</si>
  <si>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</si>
  <si>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</si>
  <si>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</si>
  <si>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</si>
  <si>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</si>
  <si>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</si>
  <si>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</si>
  <si>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</si>
  <si>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</si>
  <si>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</si>
  <si>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</si>
  <si>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</si>
  <si>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</si>
  <si>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</si>
  <si>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</si>
  <si>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</si>
  <si>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</si>
  <si>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</si>
  <si>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</si>
  <si>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</si>
  <si>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</si>
  <si>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</si>
  <si>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</si>
  <si>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</si>
  <si>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</si>
  <si>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</si>
  <si>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</si>
  <si>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</si>
  <si>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</si>
  <si>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</si>
  <si>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</si>
  <si>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</si>
  <si>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</si>
  <si>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</si>
  <si>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</si>
  <si>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</si>
  <si>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</si>
  <si>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</si>
  <si>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</si>
  <si>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</si>
  <si>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</si>
  <si>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</si>
  <si>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</si>
  <si>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</si>
  <si>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</si>
  <si>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</si>
  <si>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</si>
  <si>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</si>
  <si>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</si>
  <si>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</si>
  <si>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</si>
  <si>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</si>
  <si>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</si>
  <si>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</si>
  <si>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</si>
  <si>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</si>
  <si>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</si>
  <si>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</si>
  <si>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</si>
  <si>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</si>
  <si>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</si>
  <si>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</si>
  <si>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</si>
  <si>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</si>
  <si>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</si>
  <si>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</si>
  <si>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</si>
  <si>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</si>
  <si>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</si>
  <si>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</si>
  <si>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</si>
  <si>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</si>
  <si>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</si>
  <si>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</si>
  <si>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</si>
  <si>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</si>
  <si>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</si>
  <si>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</si>
  <si>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</si>
  <si>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</si>
  <si>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</si>
  <si>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</si>
  <si>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</si>
  <si>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</si>
  <si>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</si>
  <si>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</si>
  <si>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</si>
  <si>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</si>
  <si>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</si>
  <si>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</si>
  <si>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</si>
  <si>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</si>
  <si>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</si>
  <si>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</si>
  <si>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</si>
  <si>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</si>
  <si>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</si>
  <si>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</si>
  <si>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</si>
  <si>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</si>
  <si>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</si>
  <si>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</si>
  <si>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</si>
  <si>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</si>
  <si>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</si>
  <si>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</si>
  <si>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</si>
  <si>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</si>
  <si>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</si>
  <si>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</si>
  <si>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</si>
  <si>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</si>
  <si>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</si>
  <si>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50115070     ostatní ZPr - katetry (sk.Z_513)</t>
  </si>
  <si>
    <t>50119     DDHM a textil</t>
  </si>
  <si>
    <t>50119101     jednorázový operační materiál (sk.T18B)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</si>
  <si>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</si>
  <si>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</si>
  <si>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</si>
  <si>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</si>
  <si>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</si>
  <si>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</si>
  <si>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</si>
  <si>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</si>
  <si>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</si>
  <si>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</si>
  <si>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</si>
  <si>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</si>
  <si>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</si>
  <si>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</si>
  <si>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</si>
  <si>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</si>
  <si>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</si>
  <si>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</si>
  <si>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</si>
  <si>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</si>
  <si>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</si>
  <si>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</si>
  <si>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</si>
  <si>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</si>
  <si>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</si>
  <si>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</si>
  <si>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</si>
  <si>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Nutriční ambulance</t>
  </si>
  <si>
    <t>HVLP</t>
  </si>
  <si>
    <t>IPLP</t>
  </si>
  <si>
    <t/>
  </si>
  <si>
    <t>57</t>
  </si>
  <si>
    <t>SumaKL</t>
  </si>
  <si>
    <t>89301594</t>
  </si>
  <si>
    <t>Nutriční ambulance Celkem</t>
  </si>
  <si>
    <t>SumaNS</t>
  </si>
  <si>
    <t>mezeraNS</t>
  </si>
  <si>
    <t>Bohanes Tomáš</t>
  </si>
  <si>
    <t>Hrabalová Monika</t>
  </si>
  <si>
    <t>Karásková Eva</t>
  </si>
  <si>
    <t>Molitorová Ivana</t>
  </si>
  <si>
    <t>Vrzalová Drahomíra</t>
  </si>
  <si>
    <t>Jiná</t>
  </si>
  <si>
    <t>999999</t>
  </si>
  <si>
    <t>Jiný</t>
  </si>
  <si>
    <t>Potraviny pro zvláštní lékařské účely (PZLÚ)</t>
  </si>
  <si>
    <t>33340</t>
  </si>
  <si>
    <t>DIASIP S PŘÍCHUTÍ VANILKOVOU</t>
  </si>
  <si>
    <t>POR SOL 1X200ML</t>
  </si>
  <si>
    <t>33526</t>
  </si>
  <si>
    <t>NUTRISON</t>
  </si>
  <si>
    <t>POR SOL 1X1000ML</t>
  </si>
  <si>
    <t>33530</t>
  </si>
  <si>
    <t>NUTRISON MULTI FIBRE</t>
  </si>
  <si>
    <t>33739</t>
  </si>
  <si>
    <t>NUTRIDRINK COMPACT PROTEIN S PŘÍCHUTÍ VANILKOVOU</t>
  </si>
  <si>
    <t>POR SOL 4X125ML</t>
  </si>
  <si>
    <t>33677</t>
  </si>
  <si>
    <t>NUTRISON ENERGY MULTI FIBRE</t>
  </si>
  <si>
    <t>POR SOL 1X1500ML</t>
  </si>
  <si>
    <t>33322</t>
  </si>
  <si>
    <t>NUTRIDRINK S PŘÍCHUTÍ ČOKOLÁDOVOU</t>
  </si>
  <si>
    <t>33324</t>
  </si>
  <si>
    <t>NUTRIDRINK MULTI FIBRE S PŘÍCHUTÍ JAHODOVOU</t>
  </si>
  <si>
    <t>33325</t>
  </si>
  <si>
    <t>NUTRIDRINK MULTI FIBRE S PŘÍCHUTÍ POMERANČOVOU</t>
  </si>
  <si>
    <t>33326</t>
  </si>
  <si>
    <t>NUTRIDRINK MULTI FIBRE S PŘÍCHUTÍ VANILKOVOU</t>
  </si>
  <si>
    <t>33327</t>
  </si>
  <si>
    <t>NUTRIDRINK NEUTRAL</t>
  </si>
  <si>
    <t>33328</t>
  </si>
  <si>
    <t>NUTRIDRINK S PŘÍCHUTÍ TROPICKÉHO OVOCE</t>
  </si>
  <si>
    <t>33331</t>
  </si>
  <si>
    <t>NUTRIDRINK BALÍČEK 5+1</t>
  </si>
  <si>
    <t>POR SOL 6X200ML</t>
  </si>
  <si>
    <t>33335</t>
  </si>
  <si>
    <t>NUTRIDRINK MULTI FIBRE S PŘÍCHUTÍ BANÁNOVOU</t>
  </si>
  <si>
    <t>33339</t>
  </si>
  <si>
    <t>DIASIP S PŘÍCHUTÍ JAHODOVOU</t>
  </si>
  <si>
    <t>33341</t>
  </si>
  <si>
    <t>CUBITAN S PŘÍCHUTÍ VANILKOVOU</t>
  </si>
  <si>
    <t>33342</t>
  </si>
  <si>
    <t>CUBITAN S PŘÍCHUTÍ ČOKOLÁDOVOU</t>
  </si>
  <si>
    <t>33343</t>
  </si>
  <si>
    <t>CUBITAN S PŘÍCHUTÍ JAHODOVOU</t>
  </si>
  <si>
    <t>33473</t>
  </si>
  <si>
    <t>NUTRIDRINK JUICE STYLE S PŘÍCHUTÍ JAHODOVOU</t>
  </si>
  <si>
    <t>33474</t>
  </si>
  <si>
    <t>NUTRIDRINK JUICE STYLE S PŘÍCHUTÍ JABLEČNOU</t>
  </si>
  <si>
    <t>33490</t>
  </si>
  <si>
    <t>NUTRIDRINK PROTEIN S PŘÍCHUTÍ LESNÍHO OVOCE</t>
  </si>
  <si>
    <t>33527</t>
  </si>
  <si>
    <t>POR SOL 1X500ML</t>
  </si>
  <si>
    <t>33531</t>
  </si>
  <si>
    <t>33704</t>
  </si>
  <si>
    <t>DIASIP S PŘÍCHUTÍ CAPPUCCINO</t>
  </si>
  <si>
    <t>33705</t>
  </si>
  <si>
    <t>NUTRIDRINK S PŘÍCHUTÍ VANILKOVOU</t>
  </si>
  <si>
    <t>33741</t>
  </si>
  <si>
    <t>NUTRIDRINK COMPACT PROTEIN S PŘÍCHUTÍ BANÁNOVOU</t>
  </si>
  <si>
    <t>33751</t>
  </si>
  <si>
    <t>NUTRIDRINK CREME S PŘÍCHUTÍ ČOKOLÁDOVOU</t>
  </si>
  <si>
    <t>POR SOL 4X125GM</t>
  </si>
  <si>
    <t>33750</t>
  </si>
  <si>
    <t>NUTRIDRINK CREME S PŘÍCHUTÍ VANILKOVOU</t>
  </si>
  <si>
    <t>33742</t>
  </si>
  <si>
    <t>NUTRIDRINK COMPACT PROTEIN S PŘÍCHUTÍ JAHODOVOU</t>
  </si>
  <si>
    <t>33787</t>
  </si>
  <si>
    <t>FORTICARE S PŘÍCHUTÍ CAPPUCCINO</t>
  </si>
  <si>
    <t>33786</t>
  </si>
  <si>
    <t>FORTICARE S PŘÍCHUTÍ BROSKEV A ZÁZVOR</t>
  </si>
  <si>
    <t>33345</t>
  </si>
  <si>
    <t>POR SOL 1X125ML</t>
  </si>
  <si>
    <t>33855</t>
  </si>
  <si>
    <t>NUTRIDRINK BALÍČEK 5 + 1</t>
  </si>
  <si>
    <t>33347</t>
  </si>
  <si>
    <t>FORTICARE S PŘÍCHUTÍ POMERANČ A CITRON</t>
  </si>
  <si>
    <t>33519</t>
  </si>
  <si>
    <t>ENSURE PLUS PŘÍCHUŤ ČOKOLÁDA</t>
  </si>
  <si>
    <t>POR SOL 1X220ML</t>
  </si>
  <si>
    <t>33521</t>
  </si>
  <si>
    <t>ENSURE PLUS PŘÍCHUŤ VANILKA</t>
  </si>
  <si>
    <t>33789</t>
  </si>
  <si>
    <t>ENSURE PLUS ADVANCE PŘÍCHUŤ ČOKOLÁDA</t>
  </si>
  <si>
    <t>33790</t>
  </si>
  <si>
    <t>ENSURE PLUS ADVANCE PŘÍCHUŤ VANILKA</t>
  </si>
  <si>
    <t>33848</t>
  </si>
  <si>
    <t>POR SOL 4X200ML</t>
  </si>
  <si>
    <t>33488</t>
  </si>
  <si>
    <t>NUTRIDRINK PROTEIN S PŘÍCHUTÍ VANILKOVOU</t>
  </si>
  <si>
    <t>33489</t>
  </si>
  <si>
    <t>NUTRIDRINK PROTEIN S PŘÍCHUTÍ ČOKOLÁDOVOU</t>
  </si>
  <si>
    <t>1401013</t>
  </si>
  <si>
    <t>1401014</t>
  </si>
  <si>
    <t>1402001</t>
  </si>
  <si>
    <t>Alopurinol</t>
  </si>
  <si>
    <t>1711</t>
  </si>
  <si>
    <t>MILURIT 300</t>
  </si>
  <si>
    <t>POR TBL NOB 100X300MG</t>
  </si>
  <si>
    <t>Aminokyseliny včetně kombinací s polypeptidy</t>
  </si>
  <si>
    <t>88115</t>
  </si>
  <si>
    <t>KETOSTERIL</t>
  </si>
  <si>
    <t>POR TBL FLM 100</t>
  </si>
  <si>
    <t>Amoxicilin a enzymový inhibitor</t>
  </si>
  <si>
    <t>5951</t>
  </si>
  <si>
    <t>AMOKSIKLAV 1 G</t>
  </si>
  <si>
    <t>POR TBL FLM 14X1GM</t>
  </si>
  <si>
    <t>Fytomenadion</t>
  </si>
  <si>
    <t>720</t>
  </si>
  <si>
    <t>KANAVIT</t>
  </si>
  <si>
    <t>POR GTT EML 1X5ML/100MG</t>
  </si>
  <si>
    <t>Klindamycin</t>
  </si>
  <si>
    <t>83459</t>
  </si>
  <si>
    <t>DALACIN C 300 MG</t>
  </si>
  <si>
    <t>POR CPS DUR 100X300MG</t>
  </si>
  <si>
    <t>Kyselina ursodeoxycholová</t>
  </si>
  <si>
    <t>13808</t>
  </si>
  <si>
    <t>URSOSAN</t>
  </si>
  <si>
    <t>POR CPS DUR 100X250MG</t>
  </si>
  <si>
    <t>Léčiva k terapii onemocnění jater</t>
  </si>
  <si>
    <t>125753</t>
  </si>
  <si>
    <t>ESSENTIALE FORTE N</t>
  </si>
  <si>
    <t>POR CPS DUR 100</t>
  </si>
  <si>
    <t>Magnesium-laktát</t>
  </si>
  <si>
    <t>17992</t>
  </si>
  <si>
    <t>MAGNESII LACTICI 0,5 TBL. MEDICAMENTA</t>
  </si>
  <si>
    <t>POR TBL NOB 100X0.5GM</t>
  </si>
  <si>
    <t>Multienzymové přípravky (lipáza, proteáza apod.)</t>
  </si>
  <si>
    <t>14814</t>
  </si>
  <si>
    <t>KREON 10 000</t>
  </si>
  <si>
    <t>POR CPS ETD 50</t>
  </si>
  <si>
    <t>Mupirocin</t>
  </si>
  <si>
    <t>90778</t>
  </si>
  <si>
    <t>BACTROBAN</t>
  </si>
  <si>
    <t>DRM UNG 1X15GM</t>
  </si>
  <si>
    <t>Omeprazol</t>
  </si>
  <si>
    <t>132531</t>
  </si>
  <si>
    <t>HELICID 20</t>
  </si>
  <si>
    <t>POR CPS ETD 90X20MG</t>
  </si>
  <si>
    <t>25366</t>
  </si>
  <si>
    <t>HELICID 20 ZENTIVA</t>
  </si>
  <si>
    <t>POR CPS ETD 90X20MG SKLO</t>
  </si>
  <si>
    <t>Organismy produkující kyselinu mléčnou</t>
  </si>
  <si>
    <t>9159</t>
  </si>
  <si>
    <t>HYLAK FORTE</t>
  </si>
  <si>
    <t>POR SOL 1X100ML</t>
  </si>
  <si>
    <t>Pantoprazol</t>
  </si>
  <si>
    <t>49115</t>
  </si>
  <si>
    <t>CONTROLOC 20 MG</t>
  </si>
  <si>
    <t>POR TBL ENT 100X20MG</t>
  </si>
  <si>
    <t>Pitofenon a analgetika</t>
  </si>
  <si>
    <t>50335</t>
  </si>
  <si>
    <t>ALGIFEN NEO</t>
  </si>
  <si>
    <t>POR GTT SOL 1X25ML</t>
  </si>
  <si>
    <t>33323</t>
  </si>
  <si>
    <t>NUTRIDRINK S PŘÍCHUTÍ KARAMELOVOU</t>
  </si>
  <si>
    <t>33329</t>
  </si>
  <si>
    <t>NUTRIDRINK YOGHURT S PŘÍCHUTÍ MALINA</t>
  </si>
  <si>
    <t>33420</t>
  </si>
  <si>
    <t>NUTRIDRINK COMPACT S PŘÍCHUTÍ VANILKOVOU</t>
  </si>
  <si>
    <t>33421</t>
  </si>
  <si>
    <t>NUTRIDRINK COMPACT S PŘÍCHUTÍ KÁVY</t>
  </si>
  <si>
    <t>33752</t>
  </si>
  <si>
    <t>NUTRIDRINK CREME S PŘÍCHUTÍ LESNÍHO OVOCE</t>
  </si>
  <si>
    <t>33740</t>
  </si>
  <si>
    <t>NUTRIDRINK COMPACT PROTEIN S PŘÍCHUTÍ KÁVY</t>
  </si>
  <si>
    <t>33749</t>
  </si>
  <si>
    <t>NUTRIDRINK CREME S PŘÍCHUTÍ BANÁNOVOU</t>
  </si>
  <si>
    <t>33578</t>
  </si>
  <si>
    <t>FRESUBIN 2 KCAL DRINK NEUTRAL</t>
  </si>
  <si>
    <t>33788</t>
  </si>
  <si>
    <t>ENSURE PLUS ADVANCE PŘÍCHUŤ BANÁN</t>
  </si>
  <si>
    <t>33678</t>
  </si>
  <si>
    <t>POR SOL 6X1500ML</t>
  </si>
  <si>
    <t>33854</t>
  </si>
  <si>
    <t>NUTRIDRINK S PŘÍCHUTÍ BANÁNOVOU</t>
  </si>
  <si>
    <t>33423</t>
  </si>
  <si>
    <t>NUTRISON ADVANCED PEPTISORB</t>
  </si>
  <si>
    <t>33676</t>
  </si>
  <si>
    <t>ENSURE PLUS FIBER PŘÍCHUŤ VANILKA</t>
  </si>
  <si>
    <t>Prokinetika</t>
  </si>
  <si>
    <t>166760</t>
  </si>
  <si>
    <t>KINITO 50 MG, POTAHOVANÉ TABLETY</t>
  </si>
  <si>
    <t>POR TBL FLM 100X50MG</t>
  </si>
  <si>
    <t>Silymarin</t>
  </si>
  <si>
    <t>19571</t>
  </si>
  <si>
    <t>LAGOSA</t>
  </si>
  <si>
    <t>POR TBL OBD 100X150MG</t>
  </si>
  <si>
    <t>Tramadol</t>
  </si>
  <si>
    <t>57793</t>
  </si>
  <si>
    <t>TRAMAL KAPKY 100 MG/1 ML</t>
  </si>
  <si>
    <t>POR GTT SOL 1X96ML</t>
  </si>
  <si>
    <t>*4033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</si>
  <si>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</si>
  <si>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</si>
  <si>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</si>
  <si>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</si>
  <si>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N02AX02 - Tramadol</t>
  </si>
  <si>
    <t>J01FF01 - Klindamycin</t>
  </si>
  <si>
    <t>A03FA - Prokinetika</t>
  </si>
  <si>
    <t>A02BC02 - Pantoprazol</t>
  </si>
  <si>
    <t>J01CR02 - Amoxicilin a enzymový inhibitor</t>
  </si>
  <si>
    <t>V06XX</t>
  </si>
  <si>
    <t>A02BC02</t>
  </si>
  <si>
    <t>A03FA</t>
  </si>
  <si>
    <t>J01CR02</t>
  </si>
  <si>
    <t>J01FF01</t>
  </si>
  <si>
    <t>N02AX02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</si>
  <si>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</si>
  <si>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</si>
  <si>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</si>
  <si>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</si>
  <si>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</si>
  <si>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</si>
  <si>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ZA315</t>
  </si>
  <si>
    <t>Kompresa NT   5 x  5 cm / 2 ks sterilní 26501</t>
  </si>
  <si>
    <t>ZA324</t>
  </si>
  <si>
    <t>Náplast tegaderm 10,0 cm x 12,0 cm bal. á 50 ks 1626W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</si>
  <si>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</si>
  <si>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</si>
  <si>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</si>
  <si>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</si>
  <si>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</si>
  <si>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</si>
  <si>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ZC550</t>
  </si>
  <si>
    <t>Krytí mepilex silikonový Ag 10 x 10 cm bal. á 5 ks 287110-00</t>
  </si>
  <si>
    <t>ZC702</t>
  </si>
  <si>
    <t>Náplast tegaderm 6,0 cm x 7,0 cm bal. á 100 ks 1624W</t>
  </si>
  <si>
    <t>ZC854</t>
  </si>
  <si>
    <t xml:space="preserve">Kompresa NT 7,5 x 7,5 cm / 2 ks sterilní 26510 </t>
  </si>
  <si>
    <t>Kompresa NT 7,5 x 7,5 cm / 2 ks sterilní 26510</t>
  </si>
  <si>
    <t>ZH012</t>
  </si>
  <si>
    <t>Náplast micropore 2,50 cm x 5,00 m 840W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</si>
  <si>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</si>
  <si>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</si>
  <si>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</si>
  <si>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</si>
  <si>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</si>
  <si>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</si>
  <si>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</si>
  <si>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Krytí tegaderm + PAD na i. v. vstupy bal. á 25 ks 9 x 10 cm 3586</t>
  </si>
  <si>
    <t>ZF749</t>
  </si>
  <si>
    <t>Nasofix niko S střední bal. á 100 ks 49-625-S</t>
  </si>
  <si>
    <t>ZD237</t>
  </si>
  <si>
    <t>Sprej argogen 125 ml SIGNO-1268500001</t>
  </si>
  <si>
    <t>ZE449</t>
  </si>
  <si>
    <t>Kompresa NT 5 x 5 cm / 5 ks sterilní bal. á 2400 ks 26502</t>
  </si>
  <si>
    <t>ZA705</t>
  </si>
  <si>
    <t>Hadička spojovací HS 1,8 x 450UNIV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</si>
  <si>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</si>
  <si>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</si>
  <si>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</si>
  <si>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</si>
  <si>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</si>
  <si>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</si>
  <si>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</si>
  <si>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</si>
  <si>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</si>
  <si>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</si>
  <si>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</si>
  <si>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</si>
  <si>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ZC769</t>
  </si>
  <si>
    <t>Hadička spojovací HS 1,8 x 450LL 606301</t>
  </si>
  <si>
    <t>ZC863</t>
  </si>
  <si>
    <t>Hadička spojovací HS 1,8 x 1800LL 606304</t>
  </si>
  <si>
    <t>ZF159</t>
  </si>
  <si>
    <t>Nádoba na kontaminovaný odpad 1 l 15-0002</t>
  </si>
  <si>
    <t>ZH168</t>
  </si>
  <si>
    <t>Stříkačka injekční 3-dílná 1 ml L tuberculin KD-JECT III 831786</t>
  </si>
  <si>
    <t>Stříkačka injekční 3-dílná 1 ml L tuberculin s jehlou KD-JECT III 831786</t>
  </si>
  <si>
    <t>ZH546</t>
  </si>
  <si>
    <t>Flocare infinity pack set mobile 2778307</t>
  </si>
  <si>
    <t>Flocare infinity pack set mobile 569572 ,2778307</t>
  </si>
  <si>
    <t>ZK798</t>
  </si>
  <si>
    <t xml:space="preserve">Zátka combi modrá 4495152 </t>
  </si>
  <si>
    <t>Zátka combi modrá 4495152</t>
  </si>
  <si>
    <t>ZK735</t>
  </si>
  <si>
    <t>Konektor bezjehlový caresite bal. á 200 ks dohodnutá cena 9,60 Kč 415122</t>
  </si>
  <si>
    <t>Konektor bezjehlový caresite bal. á 200 ks dohodnutá cena 7,93 Kč bez DPH 415122</t>
  </si>
  <si>
    <t>ZL781</t>
  </si>
  <si>
    <t>Konektor bezjehlový K-NECT 7 denní M79400845</t>
  </si>
  <si>
    <t>ZF973</t>
  </si>
  <si>
    <t>Hadička tlaková spojovací unicath 1,5 x 25 cm LL na obou koncích male-male bal. á 40 ks PN 1202</t>
  </si>
  <si>
    <t>Hadička tlaková spojovací unicath 1,5 x 25 cm LL na obou koncích male-male bal. á 40 ks PN1202</t>
  </si>
  <si>
    <t>ZA240</t>
  </si>
  <si>
    <t>Katetr broviak 1 lumen 6,6Fr x 90 cm 0600540CE</t>
  </si>
  <si>
    <t>ZA715</t>
  </si>
  <si>
    <t>Set infuzní intrafix 4062957</t>
  </si>
  <si>
    <t>Set infuzní intrafix primeline classic 150 cm 4062957</t>
  </si>
  <si>
    <t>ZB715</t>
  </si>
  <si>
    <t>Set kangaro univerzální bal. á 30 ks 777304</t>
  </si>
  <si>
    <t>Set kangaro univ. pro enterální výživu bal. á 30 ks 777304</t>
  </si>
  <si>
    <t>Set kangaro univ. pro enterální výživu bal. á 30 ks  S777403</t>
  </si>
  <si>
    <t>ZE973</t>
  </si>
  <si>
    <t>Set pro parenterenterální výživu á 100 ks 8701148SP</t>
  </si>
  <si>
    <t>ZA999</t>
  </si>
  <si>
    <t>Jehla injekční 0,5 x   16 mm oranžová 4657853</t>
  </si>
  <si>
    <t>ZB556</t>
  </si>
  <si>
    <t>Jehla injekční 1,2 x   40 mm růžová 4665120</t>
  </si>
  <si>
    <t>ZB781</t>
  </si>
  <si>
    <t>Jehla cytocan žlutá bal. á 25 ks 4439767</t>
  </si>
  <si>
    <t>ZC634</t>
  </si>
  <si>
    <t>Jehla portacath dětská á 12 ks 22G 21-2737-24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</si>
  <si>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</si>
  <si>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</si>
  <si>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</si>
  <si>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</si>
  <si>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</si>
  <si>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</si>
  <si>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</si>
  <si>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</si>
  <si>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Rukavice operační latexové s pudrem ansell medigrip plus vel. 8,5 302927 (302767)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</si>
  <si>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</si>
  <si>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</si>
  <si>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</si>
  <si>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</si>
  <si>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</si>
  <si>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</si>
  <si>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</si>
  <si>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</si>
  <si>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</si>
  <si>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</si>
  <si>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</si>
  <si>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</si>
  <si>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</si>
  <si>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</si>
  <si>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</si>
  <si>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</si>
  <si>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</si>
  <si>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</si>
  <si>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</si>
  <si>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Beneš Petr</t>
  </si>
  <si>
    <t>beze jména</t>
  </si>
  <si>
    <t>Švébišová Hana</t>
  </si>
  <si>
    <t>Carbolová Jaroslava</t>
  </si>
  <si>
    <t>Zdravotní výkony vykázané na pracovišti v rámci ambulantní péče dle lékařů *</t>
  </si>
  <si>
    <t>708</t>
  </si>
  <si>
    <t>V</t>
  </si>
  <si>
    <t>06415</t>
  </si>
  <si>
    <t>EDUKACE NUTRIČNÍM TERAPEUTEM</t>
  </si>
  <si>
    <t>09511</t>
  </si>
  <si>
    <t>MINIMÁLNÍ KONTAKT LÉKAŘE S PACIENTEM</t>
  </si>
  <si>
    <t>78022</t>
  </si>
  <si>
    <t>CÍLENÉ VYŠETŘENÍ ANESTEZIOLOGEM</t>
  </si>
  <si>
    <t>09543</t>
  </si>
  <si>
    <t>REGULAČNÍ POPLATEK ZA NÁVŠTĚVU -- POPLATEK UHRAZEN</t>
  </si>
  <si>
    <t>06419</t>
  </si>
  <si>
    <t>PROPOČET NUTRIČNÍ BILANCE (SW NÁSTROJEM)</t>
  </si>
  <si>
    <t>11513</t>
  </si>
  <si>
    <t>PUMPOU APLIKOVANÁ ENTERÁLNÍ VÝŽIVA PROVÁDĚNÁ VE VL</t>
  </si>
  <si>
    <t>11511</t>
  </si>
  <si>
    <t>PARENTERÁLNÍ VÝŽIVA PROVÁDĚNÁ VE VLASTNÍM SOCIÁLNÍ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</si>
  <si>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</si>
  <si>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</si>
  <si>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</si>
  <si>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</si>
  <si>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</si>
  <si>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</si>
  <si>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</si>
  <si>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</si>
  <si>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</si>
  <si>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</si>
  <si>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</si>
  <si>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</si>
  <si>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</si>
  <si>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</si>
  <si>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</si>
  <si>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</si>
  <si>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</si>
  <si>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</si>
  <si>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</si>
  <si>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</si>
  <si>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</si>
  <si>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</si>
  <si>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</si>
  <si>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</si>
  <si>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</si>
  <si>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06</t>
  </si>
  <si>
    <t>08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</si>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</sst>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3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7" xfId="53" applyNumberFormat="1" applyFont="1" applyFill="1" applyBorder="1"/>
    <xf numFmtId="9" fontId="3" fillId="0" borderId="67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5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0" fillId="0" borderId="0" xfId="0" applyNumberFormat="1"/>
    <xf numFmtId="3" fontId="0" fillId="7" borderId="71" xfId="0" applyNumberFormat="1" applyFont="1" applyFill="1" applyBorder="1"/>
    <xf numFmtId="3" fontId="53" fillId="8" borderId="72" xfId="0" applyNumberFormat="1" applyFont="1" applyFill="1" applyBorder="1"/>
    <xf numFmtId="3" fontId="53" fillId="8" borderId="7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5" xfId="0" applyNumberFormat="1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8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1" xfId="0" applyFont="1" applyFill="1" applyBorder="1" applyAlignment="1"/>
    <xf numFmtId="0" fontId="40" fillId="2" borderId="83" xfId="0" applyFont="1" applyFill="1" applyBorder="1" applyAlignment="1">
      <alignment horizontal="left" indent="1"/>
    </xf>
    <xf numFmtId="0" fontId="40" fillId="2" borderId="89" xfId="0" applyFont="1" applyFill="1" applyBorder="1" applyAlignment="1">
      <alignment horizontal="left" indent="1"/>
    </xf>
    <xf numFmtId="0" fontId="40" fillId="4" borderId="81" xfId="0" applyFont="1" applyFill="1" applyBorder="1" applyAlignment="1"/>
    <xf numFmtId="0" fontId="40" fillId="4" borderId="83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2" borderId="83" xfId="0" quotePrefix="1" applyFont="1" applyFill="1" applyBorder="1" applyAlignment="1">
      <alignment horizontal="left" indent="2"/>
    </xf>
    <xf numFmtId="0" fontId="33" fillId="2" borderId="89" xfId="0" quotePrefix="1" applyFont="1" applyFill="1" applyBorder="1" applyAlignment="1">
      <alignment horizontal="left" indent="2"/>
    </xf>
    <xf numFmtId="0" fontId="40" fillId="2" borderId="81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9" xfId="0" applyFont="1" applyFill="1" applyBorder="1" applyAlignment="1">
      <alignment horizontal="left" indent="1"/>
    </xf>
    <xf numFmtId="0" fontId="33" fillId="0" borderId="99" xfId="0" applyFont="1" applyBorder="1"/>
    <xf numFmtId="3" fontId="33" fillId="0" borderId="99" xfId="0" applyNumberFormat="1" applyFont="1" applyBorder="1"/>
    <xf numFmtId="0" fontId="40" fillId="4" borderId="73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8" xfId="0" applyNumberFormat="1" applyFont="1" applyFill="1" applyBorder="1" applyAlignment="1">
      <alignment horizontal="center" vertical="center"/>
    </xf>
    <xf numFmtId="3" fontId="55" fillId="2" borderId="96" xfId="0" applyNumberFormat="1" applyFont="1" applyFill="1" applyBorder="1" applyAlignment="1">
      <alignment horizontal="center" vertical="center" wrapText="1"/>
    </xf>
    <xf numFmtId="174" fontId="40" fillId="4" borderId="82" xfId="0" applyNumberFormat="1" applyFont="1" applyFill="1" applyBorder="1" applyAlignment="1"/>
    <xf numFmtId="174" fontId="40" fillId="4" borderId="75" xfId="0" applyNumberFormat="1" applyFont="1" applyFill="1" applyBorder="1" applyAlignment="1"/>
    <xf numFmtId="174" fontId="40" fillId="4" borderId="76" xfId="0" applyNumberFormat="1" applyFont="1" applyFill="1" applyBorder="1" applyAlignment="1"/>
    <xf numFmtId="174" fontId="40" fillId="0" borderId="84" xfId="0" applyNumberFormat="1" applyFont="1" applyBorder="1"/>
    <xf numFmtId="174" fontId="33" fillId="0" borderId="88" xfId="0" applyNumberFormat="1" applyFont="1" applyBorder="1"/>
    <xf numFmtId="174" fontId="33" fillId="0" borderId="86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79" xfId="0" applyNumberFormat="1" applyFont="1" applyBorder="1"/>
    <xf numFmtId="174" fontId="40" fillId="2" borderId="97" xfId="0" applyNumberFormat="1" applyFont="1" applyFill="1" applyBorder="1" applyAlignment="1"/>
    <xf numFmtId="174" fontId="40" fillId="2" borderId="75" xfId="0" applyNumberFormat="1" applyFont="1" applyFill="1" applyBorder="1" applyAlignment="1"/>
    <xf numFmtId="174" fontId="40" fillId="2" borderId="76" xfId="0" applyNumberFormat="1" applyFont="1" applyFill="1" applyBorder="1" applyAlignment="1"/>
    <xf numFmtId="174" fontId="40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174" fontId="40" fillId="0" borderId="82" xfId="0" applyNumberFormat="1" applyFont="1" applyBorder="1"/>
    <xf numFmtId="174" fontId="33" fillId="0" borderId="98" xfId="0" applyNumberFormat="1" applyFont="1" applyBorder="1"/>
    <xf numFmtId="174" fontId="33" fillId="0" borderId="76" xfId="0" applyNumberFormat="1" applyFont="1" applyBorder="1"/>
    <xf numFmtId="175" fontId="40" fillId="2" borderId="82" xfId="0" applyNumberFormat="1" applyFont="1" applyFill="1" applyBorder="1" applyAlignment="1"/>
    <xf numFmtId="175" fontId="33" fillId="2" borderId="75" xfId="0" applyNumberFormat="1" applyFont="1" applyFill="1" applyBorder="1" applyAlignment="1"/>
    <xf numFmtId="175" fontId="33" fillId="2" borderId="76" xfId="0" applyNumberFormat="1" applyFont="1" applyFill="1" applyBorder="1" applyAlignment="1"/>
    <xf numFmtId="175" fontId="40" fillId="0" borderId="84" xfId="0" applyNumberFormat="1" applyFont="1" applyBorder="1"/>
    <xf numFmtId="175" fontId="33" fillId="0" borderId="85" xfId="0" applyNumberFormat="1" applyFont="1" applyBorder="1"/>
    <xf numFmtId="175" fontId="33" fillId="0" borderId="86" xfId="0" applyNumberFormat="1" applyFont="1" applyBorder="1"/>
    <xf numFmtId="175" fontId="33" fillId="0" borderId="88" xfId="0" applyNumberFormat="1" applyFont="1" applyBorder="1"/>
    <xf numFmtId="175" fontId="40" fillId="0" borderId="90" xfId="0" applyNumberFormat="1" applyFont="1" applyBorder="1"/>
    <xf numFmtId="175" fontId="33" fillId="0" borderId="91" xfId="0" applyNumberFormat="1" applyFont="1" applyBorder="1"/>
    <xf numFmtId="175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2" xfId="0" applyNumberFormat="1" applyFont="1" applyFill="1" applyBorder="1" applyAlignment="1">
      <alignment horizontal="center"/>
    </xf>
    <xf numFmtId="176" fontId="40" fillId="0" borderId="90" xfId="0" applyNumberFormat="1" applyFont="1" applyBorder="1"/>
    <xf numFmtId="0" fontId="32" fillId="2" borderId="106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26" xfId="0" applyNumberFormat="1" applyFont="1" applyFill="1" applyBorder="1"/>
    <xf numFmtId="9" fontId="33" fillId="0" borderId="19" xfId="0" applyNumberFormat="1" applyFont="1" applyFill="1" applyBorder="1"/>
    <xf numFmtId="0" fontId="33" fillId="0" borderId="99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70" fontId="40" fillId="0" borderId="19" xfId="0" applyNumberFormat="1" applyFont="1" applyFill="1" applyBorder="1" applyAlignment="1"/>
    <xf numFmtId="9" fontId="40" fillId="0" borderId="84" xfId="0" applyNumberFormat="1" applyFont="1" applyBorder="1"/>
    <xf numFmtId="9" fontId="33" fillId="0" borderId="88" xfId="0" applyNumberFormat="1" applyFont="1" applyBorder="1"/>
    <xf numFmtId="9" fontId="33" fillId="0" borderId="86" xfId="0" applyNumberFormat="1" applyFont="1" applyBorder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69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6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4" fillId="2" borderId="49" xfId="0" applyNumberFormat="1" applyFont="1" applyFill="1" applyBorder="1" applyAlignment="1">
      <alignment horizontal="center" vertical="top"/>
    </xf>
    <xf numFmtId="3" fontId="34" fillId="9" borderId="109" xfId="0" applyNumberFormat="1" applyFont="1" applyFill="1" applyBorder="1" applyAlignment="1">
      <alignment horizontal="right" vertical="top"/>
    </xf>
    <xf numFmtId="3" fontId="34" fillId="9" borderId="110" xfId="0" applyNumberFormat="1" applyFont="1" applyFill="1" applyBorder="1" applyAlignment="1">
      <alignment horizontal="right" vertical="top"/>
    </xf>
    <xf numFmtId="177" fontId="34" fillId="9" borderId="111" xfId="0" applyNumberFormat="1" applyFont="1" applyFill="1" applyBorder="1" applyAlignment="1">
      <alignment horizontal="right" vertical="top"/>
    </xf>
    <xf numFmtId="3" fontId="34" fillId="0" borderId="109" xfId="0" applyNumberFormat="1" applyFont="1" applyBorder="1" applyAlignment="1">
      <alignment horizontal="right" vertical="top"/>
    </xf>
    <xf numFmtId="177" fontId="34" fillId="9" borderId="112" xfId="0" applyNumberFormat="1" applyFont="1" applyFill="1" applyBorder="1" applyAlignment="1">
      <alignment horizontal="right" vertical="top"/>
    </xf>
    <xf numFmtId="3" fontId="36" fillId="9" borderId="114" xfId="0" applyNumberFormat="1" applyFont="1" applyFill="1" applyBorder="1" applyAlignment="1">
      <alignment horizontal="right" vertical="top"/>
    </xf>
    <xf numFmtId="3" fontId="36" fillId="9" borderId="115" xfId="0" applyNumberFormat="1" applyFont="1" applyFill="1" applyBorder="1" applyAlignment="1">
      <alignment horizontal="right" vertical="top"/>
    </xf>
    <xf numFmtId="177" fontId="36" fillId="9" borderId="116" xfId="0" applyNumberFormat="1" applyFont="1" applyFill="1" applyBorder="1" applyAlignment="1">
      <alignment horizontal="right" vertical="top"/>
    </xf>
    <xf numFmtId="3" fontId="36" fillId="0" borderId="114" xfId="0" applyNumberFormat="1" applyFont="1" applyBorder="1" applyAlignment="1">
      <alignment horizontal="right" vertical="top"/>
    </xf>
    <xf numFmtId="0" fontId="36" fillId="9" borderId="117" xfId="0" applyFont="1" applyFill="1" applyBorder="1" applyAlignment="1">
      <alignment horizontal="right" vertical="top"/>
    </xf>
    <xf numFmtId="0" fontId="34" fillId="9" borderId="112" xfId="0" applyFont="1" applyFill="1" applyBorder="1" applyAlignment="1">
      <alignment horizontal="right" vertical="top"/>
    </xf>
    <xf numFmtId="177" fontId="36" fillId="9" borderId="117" xfId="0" applyNumberFormat="1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0" fontId="38" fillId="10" borderId="108" xfId="0" applyFont="1" applyFill="1" applyBorder="1" applyAlignment="1">
      <alignment vertical="top"/>
    </xf>
    <xf numFmtId="0" fontId="38" fillId="10" borderId="108" xfId="0" applyFont="1" applyFill="1" applyBorder="1" applyAlignment="1">
      <alignment vertical="top" indent="2"/>
    </xf>
    <xf numFmtId="0" fontId="38" fillId="10" borderId="108" xfId="0" applyFont="1" applyFill="1" applyBorder="1" applyAlignment="1">
      <alignment vertical="top" indent="4"/>
    </xf>
    <xf numFmtId="0" fontId="39" fillId="10" borderId="113" xfId="0" applyFont="1" applyFill="1" applyBorder="1" applyAlignment="1">
      <alignment vertical="top" indent="6"/>
    </xf>
    <xf numFmtId="0" fontId="38" fillId="10" borderId="108" xfId="0" applyFont="1" applyFill="1" applyBorder="1" applyAlignment="1">
      <alignment vertical="top" indent="8"/>
    </xf>
    <xf numFmtId="0" fontId="39" fillId="10" borderId="113" xfId="0" applyFont="1" applyFill="1" applyBorder="1" applyAlignment="1">
      <alignment vertical="top" indent="2"/>
    </xf>
    <xf numFmtId="0" fontId="39" fillId="10" borderId="113" xfId="0" applyFont="1" applyFill="1" applyBorder="1" applyAlignment="1">
      <alignment vertical="top" indent="4"/>
    </xf>
    <xf numFmtId="0" fontId="33" fillId="10" borderId="108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3" fillId="2" borderId="122" xfId="79" applyFont="1" applyFill="1" applyBorder="1" applyAlignment="1">
      <alignment horizontal="left"/>
    </xf>
    <xf numFmtId="0" fontId="40" fillId="10" borderId="106" xfId="0" applyFont="1" applyFill="1" applyBorder="1"/>
    <xf numFmtId="0" fontId="40" fillId="10" borderId="104" xfId="0" applyFont="1" applyFill="1" applyBorder="1"/>
    <xf numFmtId="0" fontId="40" fillId="10" borderId="105" xfId="0" applyFont="1" applyFill="1" applyBorder="1"/>
    <xf numFmtId="3" fontId="3" fillId="2" borderId="92" xfId="80" applyNumberFormat="1" applyFont="1" applyFill="1" applyBorder="1"/>
    <xf numFmtId="0" fontId="3" fillId="2" borderId="92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85" xfId="0" applyNumberFormat="1" applyFont="1" applyFill="1" applyBorder="1"/>
    <xf numFmtId="0" fontId="33" fillId="0" borderId="86" xfId="0" applyFont="1" applyFill="1" applyBorder="1"/>
    <xf numFmtId="3" fontId="33" fillId="0" borderId="86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02" xfId="0" applyNumberFormat="1" applyFont="1" applyFill="1" applyBorder="1"/>
    <xf numFmtId="3" fontId="33" fillId="0" borderId="100" xfId="0" applyNumberFormat="1" applyFont="1" applyFill="1" applyBorder="1"/>
    <xf numFmtId="3" fontId="33" fillId="0" borderId="101" xfId="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0" fontId="33" fillId="0" borderId="85" xfId="0" applyFont="1" applyFill="1" applyBorder="1"/>
    <xf numFmtId="0" fontId="33" fillId="0" borderId="78" xfId="0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86" xfId="0" applyNumberFormat="1" applyFont="1" applyFill="1" applyBorder="1"/>
    <xf numFmtId="9" fontId="33" fillId="0" borderId="87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106" xfId="0" applyFont="1" applyFill="1" applyBorder="1"/>
    <xf numFmtId="0" fontId="33" fillId="0" borderId="104" xfId="0" applyFont="1" applyFill="1" applyBorder="1"/>
    <xf numFmtId="0" fontId="33" fillId="0" borderId="105" xfId="0" applyFont="1" applyFill="1" applyBorder="1"/>
    <xf numFmtId="3" fontId="33" fillId="0" borderId="98" xfId="0" applyNumberFormat="1" applyFont="1" applyFill="1" applyBorder="1"/>
    <xf numFmtId="3" fontId="33" fillId="0" borderId="88" xfId="0" applyNumberFormat="1" applyFont="1" applyFill="1" applyBorder="1"/>
    <xf numFmtId="3" fontId="33" fillId="0" borderId="96" xfId="0" applyNumberFormat="1" applyFont="1" applyFill="1" applyBorder="1"/>
    <xf numFmtId="0" fontId="3" fillId="2" borderId="125" xfId="79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80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5" fontId="33" fillId="0" borderId="28" xfId="0" applyNumberFormat="1" applyFont="1" applyFill="1" applyBorder="1"/>
    <xf numFmtId="166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86" xfId="0" applyFont="1" applyFill="1" applyBorder="1" applyAlignment="1">
      <alignment horizontal="right"/>
    </xf>
    <xf numFmtId="0" fontId="33" fillId="0" borderId="86" xfId="0" applyFont="1" applyFill="1" applyBorder="1" applyAlignment="1">
      <alignment horizontal="left"/>
    </xf>
    <xf numFmtId="165" fontId="33" fillId="0" borderId="86" xfId="0" applyNumberFormat="1" applyFont="1" applyFill="1" applyBorder="1"/>
    <xf numFmtId="166" fontId="33" fillId="0" borderId="86" xfId="0" applyNumberFormat="1" applyFont="1" applyFill="1" applyBorder="1"/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166" fontId="33" fillId="0" borderId="79" xfId="0" applyNumberFormat="1" applyFont="1" applyFill="1" applyBorder="1"/>
    <xf numFmtId="0" fontId="40" fillId="2" borderId="51" xfId="0" applyFont="1" applyFill="1" applyBorder="1"/>
    <xf numFmtId="3" fontId="40" fillId="2" borderId="129" xfId="0" applyNumberFormat="1" applyFont="1" applyFill="1" applyBorder="1"/>
    <xf numFmtId="9" fontId="40" fillId="2" borderId="70" xfId="0" applyNumberFormat="1" applyFont="1" applyFill="1" applyBorder="1"/>
    <xf numFmtId="3" fontId="40" fillId="2" borderId="124" xfId="0" applyNumberFormat="1" applyFont="1" applyFill="1" applyBorder="1"/>
    <xf numFmtId="3" fontId="33" fillId="0" borderId="24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3" fontId="33" fillId="0" borderId="92" xfId="0" applyNumberFormat="1" applyFont="1" applyFill="1" applyBorder="1"/>
    <xf numFmtId="9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23" xfId="0" applyFont="1" applyFill="1" applyBorder="1"/>
    <xf numFmtId="0" fontId="40" fillId="0" borderId="85" xfId="0" applyFont="1" applyFill="1" applyBorder="1"/>
    <xf numFmtId="0" fontId="40" fillId="0" borderId="130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5" fontId="32" fillId="2" borderId="51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165" fontId="32" fillId="2" borderId="123" xfId="53" applyNumberFormat="1" applyFont="1" applyFill="1" applyBorder="1" applyAlignment="1">
      <alignment horizontal="left"/>
    </xf>
    <xf numFmtId="3" fontId="32" fillId="2" borderId="123" xfId="53" applyNumberFormat="1" applyFont="1" applyFill="1" applyBorder="1" applyAlignment="1">
      <alignment horizontal="left"/>
    </xf>
    <xf numFmtId="3" fontId="32" fillId="2" borderId="124" xfId="53" applyNumberFormat="1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right"/>
    </xf>
    <xf numFmtId="165" fontId="33" fillId="0" borderId="86" xfId="0" applyNumberFormat="1" applyFont="1" applyFill="1" applyBorder="1" applyAlignment="1">
      <alignment horizontal="right"/>
    </xf>
    <xf numFmtId="165" fontId="33" fillId="0" borderId="79" xfId="0" applyNumberFormat="1" applyFont="1" applyFill="1" applyBorder="1" applyAlignment="1">
      <alignment horizontal="right"/>
    </xf>
    <xf numFmtId="174" fontId="40" fillId="4" borderId="131" xfId="0" applyNumberFormat="1" applyFont="1" applyFill="1" applyBorder="1" applyAlignment="1">
      <alignment horizontal="center"/>
    </xf>
    <xf numFmtId="174" fontId="40" fillId="4" borderId="132" xfId="0" applyNumberFormat="1" applyFont="1" applyFill="1" applyBorder="1" applyAlignment="1">
      <alignment horizontal="center"/>
    </xf>
    <xf numFmtId="174" fontId="33" fillId="0" borderId="133" xfId="0" applyNumberFormat="1" applyFont="1" applyBorder="1" applyAlignment="1">
      <alignment horizontal="right"/>
    </xf>
    <xf numFmtId="174" fontId="33" fillId="0" borderId="134" xfId="0" applyNumberFormat="1" applyFont="1" applyBorder="1" applyAlignment="1">
      <alignment horizontal="right"/>
    </xf>
    <xf numFmtId="174" fontId="33" fillId="0" borderId="134" xfId="0" applyNumberFormat="1" applyFont="1" applyBorder="1" applyAlignment="1">
      <alignment horizontal="right" wrapText="1"/>
    </xf>
    <xf numFmtId="176" fontId="33" fillId="0" borderId="133" xfId="0" applyNumberFormat="1" applyFont="1" applyBorder="1" applyAlignment="1">
      <alignment horizontal="right"/>
    </xf>
    <xf numFmtId="176" fontId="33" fillId="0" borderId="134" xfId="0" applyNumberFormat="1" applyFont="1" applyBorder="1" applyAlignment="1">
      <alignment horizontal="right"/>
    </xf>
    <xf numFmtId="174" fontId="33" fillId="0" borderId="135" xfId="0" applyNumberFormat="1" applyFont="1" applyBorder="1" applyAlignment="1">
      <alignment horizontal="right"/>
    </xf>
    <xf numFmtId="174" fontId="33" fillId="0" borderId="136" xfId="0" applyNumberFormat="1" applyFont="1" applyBorder="1" applyAlignment="1">
      <alignment horizontal="right"/>
    </xf>
    <xf numFmtId="0" fontId="40" fillId="2" borderId="56" xfId="0" applyFont="1" applyFill="1" applyBorder="1" applyAlignment="1">
      <alignment horizontal="center" vertical="center"/>
    </xf>
    <xf numFmtId="0" fontId="55" fillId="2" borderId="101" xfId="0" applyFont="1" applyFill="1" applyBorder="1" applyAlignment="1">
      <alignment horizontal="center" vertical="center" wrapText="1"/>
    </xf>
    <xf numFmtId="175" fontId="33" fillId="2" borderId="56" xfId="0" applyNumberFormat="1" applyFont="1" applyFill="1" applyBorder="1" applyAlignment="1"/>
    <xf numFmtId="175" fontId="33" fillId="0" borderId="100" xfId="0" applyNumberFormat="1" applyFont="1" applyBorder="1"/>
    <xf numFmtId="175" fontId="33" fillId="0" borderId="137" xfId="0" applyNumberFormat="1" applyFont="1" applyBorder="1"/>
    <xf numFmtId="174" fontId="40" fillId="4" borderId="56" xfId="0" applyNumberFormat="1" applyFont="1" applyFill="1" applyBorder="1" applyAlignment="1"/>
    <xf numFmtId="174" fontId="33" fillId="0" borderId="100" xfId="0" applyNumberFormat="1" applyFont="1" applyBorder="1"/>
    <xf numFmtId="174" fontId="33" fillId="0" borderId="101" xfId="0" applyNumberFormat="1" applyFont="1" applyBorder="1"/>
    <xf numFmtId="174" fontId="40" fillId="2" borderId="56" xfId="0" applyNumberFormat="1" applyFont="1" applyFill="1" applyBorder="1" applyAlignment="1"/>
    <xf numFmtId="174" fontId="33" fillId="0" borderId="137" xfId="0" applyNumberFormat="1" applyFont="1" applyBorder="1"/>
    <xf numFmtId="174" fontId="33" fillId="0" borderId="56" xfId="0" applyNumberFormat="1" applyFont="1" applyBorder="1"/>
    <xf numFmtId="9" fontId="33" fillId="0" borderId="100" xfId="0" applyNumberFormat="1" applyFont="1" applyBorder="1"/>
    <xf numFmtId="174" fontId="40" fillId="4" borderId="138" xfId="0" applyNumberFormat="1" applyFont="1" applyFill="1" applyBorder="1" applyAlignment="1">
      <alignment horizontal="center"/>
    </xf>
    <xf numFmtId="174" fontId="33" fillId="0" borderId="139" xfId="0" applyNumberFormat="1" applyFont="1" applyBorder="1" applyAlignment="1">
      <alignment horizontal="right"/>
    </xf>
    <xf numFmtId="176" fontId="33" fillId="0" borderId="139" xfId="0" applyNumberFormat="1" applyFont="1" applyBorder="1" applyAlignment="1">
      <alignment horizontal="right"/>
    </xf>
    <xf numFmtId="174" fontId="33" fillId="0" borderId="140" xfId="0" applyNumberFormat="1" applyFont="1" applyBorder="1" applyAlignment="1">
      <alignment horizontal="right"/>
    </xf>
    <xf numFmtId="0" fontId="0" fillId="0" borderId="14" xfId="0" applyBorder="1"/>
    <xf numFmtId="174" fontId="40" fillId="4" borderId="32" xfId="0" applyNumberFormat="1" applyFont="1" applyFill="1" applyBorder="1" applyAlignment="1">
      <alignment horizontal="center"/>
    </xf>
    <xf numFmtId="174" fontId="33" fillId="0" borderId="83" xfId="0" applyNumberFormat="1" applyFont="1" applyBorder="1" applyAlignment="1">
      <alignment horizontal="right"/>
    </xf>
    <xf numFmtId="176" fontId="33" fillId="0" borderId="83" xfId="0" applyNumberFormat="1" applyFont="1" applyBorder="1" applyAlignment="1">
      <alignment horizontal="right"/>
    </xf>
    <xf numFmtId="174" fontId="33" fillId="0" borderId="94" xfId="0" applyNumberFormat="1" applyFont="1" applyBorder="1" applyAlignment="1">
      <alignment horizontal="right"/>
    </xf>
    <xf numFmtId="0" fontId="33" fillId="2" borderId="124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26" xfId="0" applyNumberFormat="1" applyFont="1" applyFill="1" applyBorder="1"/>
    <xf numFmtId="0" fontId="33" fillId="0" borderId="26" xfId="0" applyFont="1" applyFill="1" applyBorder="1"/>
    <xf numFmtId="0" fontId="40" fillId="0" borderId="18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5" xfId="26" applyNumberFormat="1" applyFont="1" applyFill="1" applyBorder="1"/>
    <xf numFmtId="170" fontId="33" fillId="0" borderId="28" xfId="0" applyNumberFormat="1" applyFont="1" applyFill="1" applyBorder="1"/>
    <xf numFmtId="170" fontId="33" fillId="0" borderId="24" xfId="0" applyNumberFormat="1" applyFont="1" applyFill="1" applyBorder="1"/>
    <xf numFmtId="170" fontId="33" fillId="0" borderId="86" xfId="0" applyNumberFormat="1" applyFont="1" applyFill="1" applyBorder="1"/>
    <xf numFmtId="170" fontId="33" fillId="0" borderId="87" xfId="0" applyNumberFormat="1" applyFont="1" applyFill="1" applyBorder="1"/>
    <xf numFmtId="170" fontId="33" fillId="0" borderId="79" xfId="0" applyNumberFormat="1" applyFont="1" applyFill="1" applyBorder="1"/>
    <xf numFmtId="170" fontId="33" fillId="0" borderId="80" xfId="0" applyNumberFormat="1" applyFont="1" applyFill="1" applyBorder="1"/>
    <xf numFmtId="0" fontId="40" fillId="0" borderId="78" xfId="0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2.6957118229579042</c:v>
                </c:pt>
                <c:pt idx="1">
                  <c:v>3.1075004313637993</c:v>
                </c:pt>
                <c:pt idx="2">
                  <c:v>2.9992676245124694</c:v>
                </c:pt>
                <c:pt idx="3">
                  <c:v>3.1247901196023298</c:v>
                </c:pt>
                <c:pt idx="4">
                  <c:v>3.1992541470153908</c:v>
                </c:pt>
                <c:pt idx="5">
                  <c:v>2.7995271683091092</c:v>
                </c:pt>
                <c:pt idx="6">
                  <c:v>2.9782492139645824</c:v>
                </c:pt>
                <c:pt idx="7">
                  <c:v>3.0419051565450612</c:v>
                </c:pt>
                <c:pt idx="8">
                  <c:v>3.1422924652101156</c:v>
                </c:pt>
                <c:pt idx="9">
                  <c:v>3.1856133417825361</c:v>
                </c:pt>
                <c:pt idx="10">
                  <c:v>3.3351116825989791</c:v>
                </c:pt>
                <c:pt idx="11">
                  <c:v>3.0798959058435855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918272"/>
        <c:axId val="12146613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1.5681715853499747</c:v>
                </c:pt>
                <c:pt idx="1">
                  <c:v>1.5681715853499747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663680"/>
        <c:axId val="1215060224"/>
      </c:scatterChart>
      <c:catAx>
        <c:axId val="117691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466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661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6918272"/>
        <c:crosses val="autoZero"/>
        <c:crossBetween val="between"/>
      </c:valAx>
      <c:valAx>
        <c:axId val="12146636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5060224"/>
        <c:crosses val="max"/>
        <c:crossBetween val="midCat"/>
      </c:valAx>
      <c:valAx>
        <c:axId val="1215060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46636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4" t="s">
        <v>108</v>
      </c>
      <c r="B1" s="314"/>
    </row>
    <row r="2" spans="1:3" ht="14.4" customHeight="1" thickBot="1" x14ac:dyDescent="0.35">
      <c r="A2" s="235" t="s">
        <v>260</v>
      </c>
      <c r="B2" s="46"/>
    </row>
    <row r="3" spans="1:3" ht="14.4" customHeight="1" thickBot="1" x14ac:dyDescent="0.35">
      <c r="A3" s="310" t="s">
        <v>137</v>
      </c>
      <c r="B3" s="311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119</v>
      </c>
      <c r="C4" s="47" t="s">
        <v>120</v>
      </c>
    </row>
    <row r="5" spans="1:3" ht="14.4" customHeight="1" x14ac:dyDescent="0.3">
      <c r="A5" s="146" t="str">
        <f t="shared" si="0"/>
        <v>HI</v>
      </c>
      <c r="B5" s="89" t="s">
        <v>134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2" t="s">
        <v>109</v>
      </c>
      <c r="B10" s="311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135</v>
      </c>
      <c r="C11" s="47" t="s">
        <v>114</v>
      </c>
    </row>
    <row r="12" spans="1:3" ht="14.4" customHeight="1" x14ac:dyDescent="0.3">
      <c r="A12" s="147" t="str">
        <f t="shared" si="1"/>
        <v>LRp Lékaři</v>
      </c>
      <c r="B12" s="90" t="s">
        <v>143</v>
      </c>
      <c r="C12" s="47" t="s">
        <v>144</v>
      </c>
    </row>
    <row r="13" spans="1:3" ht="14.4" customHeight="1" x14ac:dyDescent="0.3">
      <c r="A13" s="147" t="str">
        <f t="shared" si="1"/>
        <v>LRp Detail</v>
      </c>
      <c r="B13" s="90" t="s">
        <v>512</v>
      </c>
      <c r="C13" s="47" t="s">
        <v>115</v>
      </c>
    </row>
    <row r="14" spans="1:3" ht="28.8" customHeight="1" x14ac:dyDescent="0.3">
      <c r="A14" s="147" t="str">
        <f t="shared" si="1"/>
        <v>LRp PL</v>
      </c>
      <c r="B14" s="498" t="s">
        <v>513</v>
      </c>
      <c r="C14" s="47" t="s">
        <v>140</v>
      </c>
    </row>
    <row r="15" spans="1:3" ht="14.4" customHeight="1" x14ac:dyDescent="0.3">
      <c r="A15" s="147" t="str">
        <f>HYPERLINK("#'"&amp;C15&amp;"'!A1",C15)</f>
        <v>LRp PL Detail</v>
      </c>
      <c r="B15" s="90" t="s">
        <v>526</v>
      </c>
      <c r="C15" s="47" t="s">
        <v>141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136</v>
      </c>
      <c r="C16" s="47" t="s">
        <v>116</v>
      </c>
    </row>
    <row r="17" spans="1:3" ht="14.4" customHeight="1" x14ac:dyDescent="0.3">
      <c r="A17" s="147" t="str">
        <f t="shared" si="1"/>
        <v>MŽ Detail</v>
      </c>
      <c r="B17" s="90" t="s">
        <v>642</v>
      </c>
      <c r="C17" s="47" t="s">
        <v>117</v>
      </c>
    </row>
    <row r="18" spans="1:3" ht="14.4" customHeight="1" thickBot="1" x14ac:dyDescent="0.35">
      <c r="A18" s="149" t="str">
        <f t="shared" si="1"/>
        <v>Osobní náklady</v>
      </c>
      <c r="B18" s="90" t="s">
        <v>106</v>
      </c>
      <c r="C18" s="47" t="s">
        <v>118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13" t="s">
        <v>110</v>
      </c>
      <c r="B20" s="311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648</v>
      </c>
      <c r="C21" s="47" t="s">
        <v>121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653</v>
      </c>
      <c r="C22" s="47" t="s">
        <v>259</v>
      </c>
    </row>
    <row r="23" spans="1:3" ht="14.4" customHeight="1" x14ac:dyDescent="0.3">
      <c r="A23" s="147" t="str">
        <f t="shared" si="3"/>
        <v>ZV Vykáz.-A Detail</v>
      </c>
      <c r="B23" s="90" t="s">
        <v>670</v>
      </c>
      <c r="C23" s="47" t="s">
        <v>122</v>
      </c>
    </row>
    <row r="24" spans="1:3" ht="14.4" customHeight="1" x14ac:dyDescent="0.3">
      <c r="A24" s="147" t="str">
        <f t="shared" si="3"/>
        <v>ZV Vykáz.-H</v>
      </c>
      <c r="B24" s="90" t="s">
        <v>125</v>
      </c>
      <c r="C24" s="47" t="s">
        <v>123</v>
      </c>
    </row>
    <row r="25" spans="1:3" ht="14.4" customHeight="1" x14ac:dyDescent="0.3">
      <c r="A25" s="147" t="str">
        <f t="shared" si="3"/>
        <v>ZV Vykáz.-H Detail</v>
      </c>
      <c r="B25" s="90" t="s">
        <v>711</v>
      </c>
      <c r="C25" s="47" t="s">
        <v>124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9" t="s">
        <v>513</v>
      </c>
      <c r="B1" s="350"/>
      <c r="C1" s="350"/>
      <c r="D1" s="350"/>
      <c r="E1" s="350"/>
      <c r="F1" s="350"/>
    </row>
    <row r="2" spans="1:6" ht="14.4" customHeight="1" thickBot="1" x14ac:dyDescent="0.35">
      <c r="A2" s="235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1" t="s">
        <v>128</v>
      </c>
      <c r="C3" s="352"/>
      <c r="D3" s="353" t="s">
        <v>127</v>
      </c>
      <c r="E3" s="352"/>
      <c r="F3" s="80" t="s">
        <v>3</v>
      </c>
    </row>
    <row r="4" spans="1:6" ht="14.4" customHeight="1" thickBot="1" x14ac:dyDescent="0.35">
      <c r="A4" s="481" t="s">
        <v>179</v>
      </c>
      <c r="B4" s="482" t="s">
        <v>13</v>
      </c>
      <c r="C4" s="483" t="s">
        <v>2</v>
      </c>
      <c r="D4" s="482" t="s">
        <v>13</v>
      </c>
      <c r="E4" s="483" t="s">
        <v>2</v>
      </c>
      <c r="F4" s="484" t="s">
        <v>13</v>
      </c>
    </row>
    <row r="5" spans="1:6" ht="14.4" customHeight="1" x14ac:dyDescent="0.3">
      <c r="A5" s="495" t="s">
        <v>316</v>
      </c>
      <c r="B5" s="116">
        <v>74370.490000000005</v>
      </c>
      <c r="C5" s="472">
        <v>8.8028706283284755E-2</v>
      </c>
      <c r="D5" s="116">
        <v>770473.12000000034</v>
      </c>
      <c r="E5" s="472">
        <v>0.91197129371671526</v>
      </c>
      <c r="F5" s="485">
        <v>844843.61000000034</v>
      </c>
    </row>
    <row r="6" spans="1:6" ht="14.4" customHeight="1" x14ac:dyDescent="0.3">
      <c r="A6" s="496" t="s">
        <v>319</v>
      </c>
      <c r="B6" s="438">
        <v>43728.83</v>
      </c>
      <c r="C6" s="451">
        <v>2.4927242199588071E-2</v>
      </c>
      <c r="D6" s="438">
        <v>1710529.810000001</v>
      </c>
      <c r="E6" s="451">
        <v>0.97507275780041192</v>
      </c>
      <c r="F6" s="486">
        <v>1754258.6400000011</v>
      </c>
    </row>
    <row r="7" spans="1:6" ht="14.4" customHeight="1" x14ac:dyDescent="0.3">
      <c r="A7" s="496" t="s">
        <v>318</v>
      </c>
      <c r="B7" s="438">
        <v>1942.6</v>
      </c>
      <c r="C7" s="451">
        <v>0.13718384018711122</v>
      </c>
      <c r="D7" s="438">
        <v>12217.960000000001</v>
      </c>
      <c r="E7" s="451">
        <v>0.86281615981288873</v>
      </c>
      <c r="F7" s="486">
        <v>14160.560000000001</v>
      </c>
    </row>
    <row r="8" spans="1:6" ht="14.4" customHeight="1" x14ac:dyDescent="0.3">
      <c r="A8" s="496" t="s">
        <v>315</v>
      </c>
      <c r="B8" s="438"/>
      <c r="C8" s="451">
        <v>0</v>
      </c>
      <c r="D8" s="438">
        <v>44973.819999999992</v>
      </c>
      <c r="E8" s="451">
        <v>1</v>
      </c>
      <c r="F8" s="486">
        <v>44973.819999999992</v>
      </c>
    </row>
    <row r="9" spans="1:6" ht="14.4" customHeight="1" thickBot="1" x14ac:dyDescent="0.35">
      <c r="A9" s="497" t="s">
        <v>317</v>
      </c>
      <c r="B9" s="488"/>
      <c r="C9" s="489">
        <v>0</v>
      </c>
      <c r="D9" s="488">
        <v>2843.1000000000004</v>
      </c>
      <c r="E9" s="489">
        <v>1</v>
      </c>
      <c r="F9" s="490">
        <v>2843.1000000000004</v>
      </c>
    </row>
    <row r="10" spans="1:6" ht="14.4" customHeight="1" thickBot="1" x14ac:dyDescent="0.35">
      <c r="A10" s="491" t="s">
        <v>3</v>
      </c>
      <c r="B10" s="492">
        <v>120041.92000000001</v>
      </c>
      <c r="C10" s="493">
        <v>4.5110230500308969E-2</v>
      </c>
      <c r="D10" s="492">
        <v>2541037.8100000015</v>
      </c>
      <c r="E10" s="493">
        <v>0.95488976949969107</v>
      </c>
      <c r="F10" s="494">
        <v>2661079.7300000014</v>
      </c>
    </row>
    <row r="11" spans="1:6" ht="14.4" customHeight="1" thickBot="1" x14ac:dyDescent="0.35"/>
    <row r="12" spans="1:6" ht="14.4" customHeight="1" x14ac:dyDescent="0.3">
      <c r="A12" s="495" t="s">
        <v>514</v>
      </c>
      <c r="B12" s="116">
        <v>119727.58000000002</v>
      </c>
      <c r="C12" s="472">
        <v>4.5018104088352127E-2</v>
      </c>
      <c r="D12" s="116">
        <v>2539815.3400000012</v>
      </c>
      <c r="E12" s="472">
        <v>0.95498189591164784</v>
      </c>
      <c r="F12" s="485">
        <v>2659542.9200000013</v>
      </c>
    </row>
    <row r="13" spans="1:6" ht="14.4" customHeight="1" x14ac:dyDescent="0.3">
      <c r="A13" s="496" t="s">
        <v>515</v>
      </c>
      <c r="B13" s="438">
        <v>314.33999999999997</v>
      </c>
      <c r="C13" s="451">
        <v>1</v>
      </c>
      <c r="D13" s="438"/>
      <c r="E13" s="451">
        <v>0</v>
      </c>
      <c r="F13" s="486">
        <v>314.33999999999997</v>
      </c>
    </row>
    <row r="14" spans="1:6" ht="14.4" customHeight="1" x14ac:dyDescent="0.3">
      <c r="A14" s="496" t="s">
        <v>516</v>
      </c>
      <c r="B14" s="438">
        <v>0</v>
      </c>
      <c r="C14" s="451"/>
      <c r="D14" s="438"/>
      <c r="E14" s="451"/>
      <c r="F14" s="486">
        <v>0</v>
      </c>
    </row>
    <row r="15" spans="1:6" ht="14.4" customHeight="1" x14ac:dyDescent="0.3">
      <c r="A15" s="496" t="s">
        <v>517</v>
      </c>
      <c r="B15" s="438"/>
      <c r="C15" s="451">
        <v>0</v>
      </c>
      <c r="D15" s="438">
        <v>420.09000000000003</v>
      </c>
      <c r="E15" s="451">
        <v>1</v>
      </c>
      <c r="F15" s="486">
        <v>420.09000000000003</v>
      </c>
    </row>
    <row r="16" spans="1:6" ht="14.4" customHeight="1" x14ac:dyDescent="0.3">
      <c r="A16" s="496" t="s">
        <v>518</v>
      </c>
      <c r="B16" s="438"/>
      <c r="C16" s="451">
        <v>0</v>
      </c>
      <c r="D16" s="438">
        <v>174.94</v>
      </c>
      <c r="E16" s="451">
        <v>1</v>
      </c>
      <c r="F16" s="486">
        <v>174.94</v>
      </c>
    </row>
    <row r="17" spans="1:6" ht="14.4" customHeight="1" thickBot="1" x14ac:dyDescent="0.35">
      <c r="A17" s="497" t="s">
        <v>519</v>
      </c>
      <c r="B17" s="488"/>
      <c r="C17" s="489">
        <v>0</v>
      </c>
      <c r="D17" s="488">
        <v>627.44000000000005</v>
      </c>
      <c r="E17" s="489">
        <v>1</v>
      </c>
      <c r="F17" s="490">
        <v>627.44000000000005</v>
      </c>
    </row>
    <row r="18" spans="1:6" ht="14.4" customHeight="1" thickBot="1" x14ac:dyDescent="0.35">
      <c r="A18" s="491" t="s">
        <v>3</v>
      </c>
      <c r="B18" s="492">
        <v>120041.92000000001</v>
      </c>
      <c r="C18" s="493">
        <v>4.5110230500308969E-2</v>
      </c>
      <c r="D18" s="492">
        <v>2541037.8100000015</v>
      </c>
      <c r="E18" s="493">
        <v>0.95488976949969107</v>
      </c>
      <c r="F18" s="494">
        <v>2661079.7300000014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{6A5BF24D-01F9-4515-A9F7-304EDD3ACDD6}</x14:id>
        </ext>
      </extLst>
    </cfRule>
  </conditionalFormatting>
  <conditionalFormatting sqref="F12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{91054A05-E7A8-41B6-BECE-A0DE617006B3}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5BF24D-01F9-4515-A9F7-304EDD3ACDD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91054A05-E7A8-41B6-BECE-A0DE617006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50" t="s">
        <v>526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14"/>
      <c r="M1" s="314"/>
    </row>
    <row r="2" spans="1:13" ht="14.4" customHeight="1" thickBot="1" x14ac:dyDescent="0.35">
      <c r="A2" s="235" t="s">
        <v>260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126</v>
      </c>
      <c r="F3" s="43">
        <f>SUBTOTAL(9,F6:F1048576)</f>
        <v>996</v>
      </c>
      <c r="G3" s="43">
        <f>SUBTOTAL(9,G6:G1048576)</f>
        <v>120041.92000000001</v>
      </c>
      <c r="H3" s="44">
        <f>IF(M3=0,0,G3/M3)</f>
        <v>4.5110230500308997E-2</v>
      </c>
      <c r="I3" s="43">
        <f>SUBTOTAL(9,I6:I1048576)</f>
        <v>20384</v>
      </c>
      <c r="J3" s="43">
        <f>SUBTOTAL(9,J6:J1048576)</f>
        <v>2541037.8099999991</v>
      </c>
      <c r="K3" s="44">
        <f>IF(M3=0,0,J3/M3)</f>
        <v>0.95488976949969084</v>
      </c>
      <c r="L3" s="43">
        <f>SUBTOTAL(9,L6:L1048576)</f>
        <v>21380</v>
      </c>
      <c r="M3" s="45">
        <f>SUBTOTAL(9,M6:M1048576)</f>
        <v>2661079.7299999995</v>
      </c>
    </row>
    <row r="4" spans="1:13" ht="14.4" customHeight="1" thickBot="1" x14ac:dyDescent="0.35">
      <c r="A4" s="41"/>
      <c r="B4" s="41"/>
      <c r="C4" s="41"/>
      <c r="D4" s="41"/>
      <c r="E4" s="42"/>
      <c r="F4" s="354" t="s">
        <v>128</v>
      </c>
      <c r="G4" s="355"/>
      <c r="H4" s="356"/>
      <c r="I4" s="357" t="s">
        <v>127</v>
      </c>
      <c r="J4" s="355"/>
      <c r="K4" s="356"/>
      <c r="L4" s="358" t="s">
        <v>3</v>
      </c>
      <c r="M4" s="359"/>
    </row>
    <row r="5" spans="1:13" ht="14.4" customHeight="1" thickBot="1" x14ac:dyDescent="0.35">
      <c r="A5" s="481" t="s">
        <v>133</v>
      </c>
      <c r="B5" s="499" t="s">
        <v>129</v>
      </c>
      <c r="C5" s="499" t="s">
        <v>70</v>
      </c>
      <c r="D5" s="499" t="s">
        <v>130</v>
      </c>
      <c r="E5" s="499" t="s">
        <v>131</v>
      </c>
      <c r="F5" s="500" t="s">
        <v>27</v>
      </c>
      <c r="G5" s="500" t="s">
        <v>13</v>
      </c>
      <c r="H5" s="483" t="s">
        <v>132</v>
      </c>
      <c r="I5" s="482" t="s">
        <v>27</v>
      </c>
      <c r="J5" s="500" t="s">
        <v>13</v>
      </c>
      <c r="K5" s="483" t="s">
        <v>132</v>
      </c>
      <c r="L5" s="482" t="s">
        <v>27</v>
      </c>
      <c r="M5" s="501" t="s">
        <v>13</v>
      </c>
    </row>
    <row r="6" spans="1:13" ht="14.4" customHeight="1" x14ac:dyDescent="0.3">
      <c r="A6" s="466" t="s">
        <v>315</v>
      </c>
      <c r="B6" s="467" t="s">
        <v>520</v>
      </c>
      <c r="C6" s="467" t="s">
        <v>324</v>
      </c>
      <c r="D6" s="467" t="s">
        <v>325</v>
      </c>
      <c r="E6" s="467" t="s">
        <v>326</v>
      </c>
      <c r="F6" s="116"/>
      <c r="G6" s="116"/>
      <c r="H6" s="472">
        <v>0</v>
      </c>
      <c r="I6" s="116">
        <v>40</v>
      </c>
      <c r="J6" s="116">
        <v>842.4</v>
      </c>
      <c r="K6" s="472">
        <v>1</v>
      </c>
      <c r="L6" s="116">
        <v>40</v>
      </c>
      <c r="M6" s="485">
        <v>842.4</v>
      </c>
    </row>
    <row r="7" spans="1:13" ht="14.4" customHeight="1" x14ac:dyDescent="0.3">
      <c r="A7" s="447" t="s">
        <v>315</v>
      </c>
      <c r="B7" s="437" t="s">
        <v>520</v>
      </c>
      <c r="C7" s="437" t="s">
        <v>327</v>
      </c>
      <c r="D7" s="437" t="s">
        <v>328</v>
      </c>
      <c r="E7" s="437" t="s">
        <v>329</v>
      </c>
      <c r="F7" s="438"/>
      <c r="G7" s="438"/>
      <c r="H7" s="451">
        <v>0</v>
      </c>
      <c r="I7" s="438">
        <v>60</v>
      </c>
      <c r="J7" s="438">
        <v>6318.6</v>
      </c>
      <c r="K7" s="451">
        <v>1</v>
      </c>
      <c r="L7" s="438">
        <v>60</v>
      </c>
      <c r="M7" s="486">
        <v>6318.6</v>
      </c>
    </row>
    <row r="8" spans="1:13" ht="14.4" customHeight="1" x14ac:dyDescent="0.3">
      <c r="A8" s="447" t="s">
        <v>315</v>
      </c>
      <c r="B8" s="437" t="s">
        <v>520</v>
      </c>
      <c r="C8" s="437" t="s">
        <v>330</v>
      </c>
      <c r="D8" s="437" t="s">
        <v>331</v>
      </c>
      <c r="E8" s="437" t="s">
        <v>329</v>
      </c>
      <c r="F8" s="438"/>
      <c r="G8" s="438"/>
      <c r="H8" s="451">
        <v>0</v>
      </c>
      <c r="I8" s="438">
        <v>102</v>
      </c>
      <c r="J8" s="438">
        <v>11063.939999999999</v>
      </c>
      <c r="K8" s="451">
        <v>1</v>
      </c>
      <c r="L8" s="438">
        <v>102</v>
      </c>
      <c r="M8" s="486">
        <v>11063.939999999999</v>
      </c>
    </row>
    <row r="9" spans="1:13" ht="14.4" customHeight="1" x14ac:dyDescent="0.3">
      <c r="A9" s="447" t="s">
        <v>315</v>
      </c>
      <c r="B9" s="437" t="s">
        <v>520</v>
      </c>
      <c r="C9" s="437" t="s">
        <v>332</v>
      </c>
      <c r="D9" s="437" t="s">
        <v>333</v>
      </c>
      <c r="E9" s="437" t="s">
        <v>334</v>
      </c>
      <c r="F9" s="438"/>
      <c r="G9" s="438"/>
      <c r="H9" s="451">
        <v>0</v>
      </c>
      <c r="I9" s="438">
        <v>12</v>
      </c>
      <c r="J9" s="438">
        <v>1515.3600000000001</v>
      </c>
      <c r="K9" s="451">
        <v>1</v>
      </c>
      <c r="L9" s="438">
        <v>12</v>
      </c>
      <c r="M9" s="486">
        <v>1515.3600000000001</v>
      </c>
    </row>
    <row r="10" spans="1:13" ht="14.4" customHeight="1" x14ac:dyDescent="0.3">
      <c r="A10" s="447" t="s">
        <v>315</v>
      </c>
      <c r="B10" s="437" t="s">
        <v>520</v>
      </c>
      <c r="C10" s="437" t="s">
        <v>335</v>
      </c>
      <c r="D10" s="437" t="s">
        <v>336</v>
      </c>
      <c r="E10" s="437" t="s">
        <v>337</v>
      </c>
      <c r="F10" s="438"/>
      <c r="G10" s="438"/>
      <c r="H10" s="451">
        <v>0</v>
      </c>
      <c r="I10" s="438">
        <v>104</v>
      </c>
      <c r="J10" s="438">
        <v>25233.519999999997</v>
      </c>
      <c r="K10" s="451">
        <v>1</v>
      </c>
      <c r="L10" s="438">
        <v>104</v>
      </c>
      <c r="M10" s="486">
        <v>25233.519999999997</v>
      </c>
    </row>
    <row r="11" spans="1:13" ht="14.4" customHeight="1" x14ac:dyDescent="0.3">
      <c r="A11" s="447" t="s">
        <v>316</v>
      </c>
      <c r="B11" s="437" t="s">
        <v>520</v>
      </c>
      <c r="C11" s="437" t="s">
        <v>338</v>
      </c>
      <c r="D11" s="437" t="s">
        <v>339</v>
      </c>
      <c r="E11" s="437" t="s">
        <v>326</v>
      </c>
      <c r="F11" s="438"/>
      <c r="G11" s="438"/>
      <c r="H11" s="451">
        <v>0</v>
      </c>
      <c r="I11" s="438">
        <v>8</v>
      </c>
      <c r="J11" s="438">
        <v>260.8</v>
      </c>
      <c r="K11" s="451">
        <v>1</v>
      </c>
      <c r="L11" s="438">
        <v>8</v>
      </c>
      <c r="M11" s="486">
        <v>260.8</v>
      </c>
    </row>
    <row r="12" spans="1:13" ht="14.4" customHeight="1" x14ac:dyDescent="0.3">
      <c r="A12" s="447" t="s">
        <v>316</v>
      </c>
      <c r="B12" s="437" t="s">
        <v>520</v>
      </c>
      <c r="C12" s="437" t="s">
        <v>340</v>
      </c>
      <c r="D12" s="437" t="s">
        <v>341</v>
      </c>
      <c r="E12" s="437" t="s">
        <v>326</v>
      </c>
      <c r="F12" s="438"/>
      <c r="G12" s="438"/>
      <c r="H12" s="451">
        <v>0</v>
      </c>
      <c r="I12" s="438">
        <v>15</v>
      </c>
      <c r="J12" s="438">
        <v>496.35</v>
      </c>
      <c r="K12" s="451">
        <v>1</v>
      </c>
      <c r="L12" s="438">
        <v>15</v>
      </c>
      <c r="M12" s="486">
        <v>496.35</v>
      </c>
    </row>
    <row r="13" spans="1:13" ht="14.4" customHeight="1" x14ac:dyDescent="0.3">
      <c r="A13" s="447" t="s">
        <v>316</v>
      </c>
      <c r="B13" s="437" t="s">
        <v>520</v>
      </c>
      <c r="C13" s="437" t="s">
        <v>342</v>
      </c>
      <c r="D13" s="437" t="s">
        <v>343</v>
      </c>
      <c r="E13" s="437" t="s">
        <v>326</v>
      </c>
      <c r="F13" s="438"/>
      <c r="G13" s="438"/>
      <c r="H13" s="451">
        <v>0</v>
      </c>
      <c r="I13" s="438">
        <v>15</v>
      </c>
      <c r="J13" s="438">
        <v>496.35</v>
      </c>
      <c r="K13" s="451">
        <v>1</v>
      </c>
      <c r="L13" s="438">
        <v>15</v>
      </c>
      <c r="M13" s="486">
        <v>496.35</v>
      </c>
    </row>
    <row r="14" spans="1:13" ht="14.4" customHeight="1" x14ac:dyDescent="0.3">
      <c r="A14" s="447" t="s">
        <v>316</v>
      </c>
      <c r="B14" s="437" t="s">
        <v>520</v>
      </c>
      <c r="C14" s="437" t="s">
        <v>344</v>
      </c>
      <c r="D14" s="437" t="s">
        <v>345</v>
      </c>
      <c r="E14" s="437" t="s">
        <v>326</v>
      </c>
      <c r="F14" s="438"/>
      <c r="G14" s="438"/>
      <c r="H14" s="451">
        <v>0</v>
      </c>
      <c r="I14" s="438">
        <v>10</v>
      </c>
      <c r="J14" s="438">
        <v>330.90000000000003</v>
      </c>
      <c r="K14" s="451">
        <v>1</v>
      </c>
      <c r="L14" s="438">
        <v>10</v>
      </c>
      <c r="M14" s="486">
        <v>330.90000000000003</v>
      </c>
    </row>
    <row r="15" spans="1:13" ht="14.4" customHeight="1" x14ac:dyDescent="0.3">
      <c r="A15" s="447" t="s">
        <v>316</v>
      </c>
      <c r="B15" s="437" t="s">
        <v>520</v>
      </c>
      <c r="C15" s="437" t="s">
        <v>346</v>
      </c>
      <c r="D15" s="437" t="s">
        <v>347</v>
      </c>
      <c r="E15" s="437" t="s">
        <v>326</v>
      </c>
      <c r="F15" s="438"/>
      <c r="G15" s="438"/>
      <c r="H15" s="451">
        <v>0</v>
      </c>
      <c r="I15" s="438">
        <v>15</v>
      </c>
      <c r="J15" s="438">
        <v>485.70000000000005</v>
      </c>
      <c r="K15" s="451">
        <v>1</v>
      </c>
      <c r="L15" s="438">
        <v>15</v>
      </c>
      <c r="M15" s="486">
        <v>485.70000000000005</v>
      </c>
    </row>
    <row r="16" spans="1:13" ht="14.4" customHeight="1" x14ac:dyDescent="0.3">
      <c r="A16" s="447" t="s">
        <v>316</v>
      </c>
      <c r="B16" s="437" t="s">
        <v>520</v>
      </c>
      <c r="C16" s="437" t="s">
        <v>348</v>
      </c>
      <c r="D16" s="437" t="s">
        <v>349</v>
      </c>
      <c r="E16" s="437" t="s">
        <v>326</v>
      </c>
      <c r="F16" s="438"/>
      <c r="G16" s="438"/>
      <c r="H16" s="451">
        <v>0</v>
      </c>
      <c r="I16" s="438">
        <v>10</v>
      </c>
      <c r="J16" s="438">
        <v>323.8</v>
      </c>
      <c r="K16" s="451">
        <v>1</v>
      </c>
      <c r="L16" s="438">
        <v>10</v>
      </c>
      <c r="M16" s="486">
        <v>323.8</v>
      </c>
    </row>
    <row r="17" spans="1:13" ht="14.4" customHeight="1" x14ac:dyDescent="0.3">
      <c r="A17" s="447" t="s">
        <v>316</v>
      </c>
      <c r="B17" s="437" t="s">
        <v>520</v>
      </c>
      <c r="C17" s="437" t="s">
        <v>350</v>
      </c>
      <c r="D17" s="437" t="s">
        <v>351</v>
      </c>
      <c r="E17" s="437" t="s">
        <v>352</v>
      </c>
      <c r="F17" s="438"/>
      <c r="G17" s="438"/>
      <c r="H17" s="451">
        <v>0</v>
      </c>
      <c r="I17" s="438">
        <v>413</v>
      </c>
      <c r="J17" s="438">
        <v>79693.580000000016</v>
      </c>
      <c r="K17" s="451">
        <v>1</v>
      </c>
      <c r="L17" s="438">
        <v>413</v>
      </c>
      <c r="M17" s="486">
        <v>79693.580000000016</v>
      </c>
    </row>
    <row r="18" spans="1:13" ht="14.4" customHeight="1" x14ac:dyDescent="0.3">
      <c r="A18" s="447" t="s">
        <v>316</v>
      </c>
      <c r="B18" s="437" t="s">
        <v>520</v>
      </c>
      <c r="C18" s="437" t="s">
        <v>355</v>
      </c>
      <c r="D18" s="437" t="s">
        <v>356</v>
      </c>
      <c r="E18" s="437" t="s">
        <v>326</v>
      </c>
      <c r="F18" s="438"/>
      <c r="G18" s="438"/>
      <c r="H18" s="451">
        <v>0</v>
      </c>
      <c r="I18" s="438">
        <v>30</v>
      </c>
      <c r="J18" s="438">
        <v>631.79999999999995</v>
      </c>
      <c r="K18" s="451">
        <v>1</v>
      </c>
      <c r="L18" s="438">
        <v>30</v>
      </c>
      <c r="M18" s="486">
        <v>631.79999999999995</v>
      </c>
    </row>
    <row r="19" spans="1:13" ht="14.4" customHeight="1" x14ac:dyDescent="0.3">
      <c r="A19" s="447" t="s">
        <v>316</v>
      </c>
      <c r="B19" s="437" t="s">
        <v>520</v>
      </c>
      <c r="C19" s="437" t="s">
        <v>324</v>
      </c>
      <c r="D19" s="437" t="s">
        <v>325</v>
      </c>
      <c r="E19" s="437" t="s">
        <v>326</v>
      </c>
      <c r="F19" s="438"/>
      <c r="G19" s="438"/>
      <c r="H19" s="451">
        <v>0</v>
      </c>
      <c r="I19" s="438">
        <v>75</v>
      </c>
      <c r="J19" s="438">
        <v>1579.4999999999998</v>
      </c>
      <c r="K19" s="451">
        <v>1</v>
      </c>
      <c r="L19" s="438">
        <v>75</v>
      </c>
      <c r="M19" s="486">
        <v>1579.4999999999998</v>
      </c>
    </row>
    <row r="20" spans="1:13" ht="14.4" customHeight="1" x14ac:dyDescent="0.3">
      <c r="A20" s="447" t="s">
        <v>316</v>
      </c>
      <c r="B20" s="437" t="s">
        <v>520</v>
      </c>
      <c r="C20" s="437" t="s">
        <v>357</v>
      </c>
      <c r="D20" s="437" t="s">
        <v>358</v>
      </c>
      <c r="E20" s="437" t="s">
        <v>326</v>
      </c>
      <c r="F20" s="438"/>
      <c r="G20" s="438"/>
      <c r="H20" s="451">
        <v>0</v>
      </c>
      <c r="I20" s="438">
        <v>85</v>
      </c>
      <c r="J20" s="438">
        <v>2238.0499999999997</v>
      </c>
      <c r="K20" s="451">
        <v>1</v>
      </c>
      <c r="L20" s="438">
        <v>85</v>
      </c>
      <c r="M20" s="486">
        <v>2238.0499999999997</v>
      </c>
    </row>
    <row r="21" spans="1:13" ht="14.4" customHeight="1" x14ac:dyDescent="0.3">
      <c r="A21" s="447" t="s">
        <v>316</v>
      </c>
      <c r="B21" s="437" t="s">
        <v>520</v>
      </c>
      <c r="C21" s="437" t="s">
        <v>359</v>
      </c>
      <c r="D21" s="437" t="s">
        <v>360</v>
      </c>
      <c r="E21" s="437" t="s">
        <v>326</v>
      </c>
      <c r="F21" s="438"/>
      <c r="G21" s="438"/>
      <c r="H21" s="451">
        <v>0</v>
      </c>
      <c r="I21" s="438">
        <v>75</v>
      </c>
      <c r="J21" s="438">
        <v>1974.75</v>
      </c>
      <c r="K21" s="451">
        <v>1</v>
      </c>
      <c r="L21" s="438">
        <v>75</v>
      </c>
      <c r="M21" s="486">
        <v>1974.75</v>
      </c>
    </row>
    <row r="22" spans="1:13" ht="14.4" customHeight="1" x14ac:dyDescent="0.3">
      <c r="A22" s="447" t="s">
        <v>316</v>
      </c>
      <c r="B22" s="437" t="s">
        <v>520</v>
      </c>
      <c r="C22" s="437" t="s">
        <v>361</v>
      </c>
      <c r="D22" s="437" t="s">
        <v>362</v>
      </c>
      <c r="E22" s="437" t="s">
        <v>326</v>
      </c>
      <c r="F22" s="438"/>
      <c r="G22" s="438"/>
      <c r="H22" s="451">
        <v>0</v>
      </c>
      <c r="I22" s="438">
        <v>55</v>
      </c>
      <c r="J22" s="438">
        <v>1448.1499999999999</v>
      </c>
      <c r="K22" s="451">
        <v>1</v>
      </c>
      <c r="L22" s="438">
        <v>55</v>
      </c>
      <c r="M22" s="486">
        <v>1448.1499999999999</v>
      </c>
    </row>
    <row r="23" spans="1:13" ht="14.4" customHeight="1" x14ac:dyDescent="0.3">
      <c r="A23" s="447" t="s">
        <v>316</v>
      </c>
      <c r="B23" s="437" t="s">
        <v>520</v>
      </c>
      <c r="C23" s="437" t="s">
        <v>363</v>
      </c>
      <c r="D23" s="437" t="s">
        <v>364</v>
      </c>
      <c r="E23" s="437" t="s">
        <v>326</v>
      </c>
      <c r="F23" s="438"/>
      <c r="G23" s="438"/>
      <c r="H23" s="451">
        <v>0</v>
      </c>
      <c r="I23" s="438">
        <v>29</v>
      </c>
      <c r="J23" s="438">
        <v>916.1099999999999</v>
      </c>
      <c r="K23" s="451">
        <v>1</v>
      </c>
      <c r="L23" s="438">
        <v>29</v>
      </c>
      <c r="M23" s="486">
        <v>916.1099999999999</v>
      </c>
    </row>
    <row r="24" spans="1:13" ht="14.4" customHeight="1" x14ac:dyDescent="0.3">
      <c r="A24" s="447" t="s">
        <v>316</v>
      </c>
      <c r="B24" s="437" t="s">
        <v>520</v>
      </c>
      <c r="C24" s="437" t="s">
        <v>365</v>
      </c>
      <c r="D24" s="437" t="s">
        <v>366</v>
      </c>
      <c r="E24" s="437" t="s">
        <v>326</v>
      </c>
      <c r="F24" s="438"/>
      <c r="G24" s="438"/>
      <c r="H24" s="451">
        <v>0</v>
      </c>
      <c r="I24" s="438">
        <v>29</v>
      </c>
      <c r="J24" s="438">
        <v>916.1099999999999</v>
      </c>
      <c r="K24" s="451">
        <v>1</v>
      </c>
      <c r="L24" s="438">
        <v>29</v>
      </c>
      <c r="M24" s="486">
        <v>916.1099999999999</v>
      </c>
    </row>
    <row r="25" spans="1:13" ht="14.4" customHeight="1" x14ac:dyDescent="0.3">
      <c r="A25" s="447" t="s">
        <v>316</v>
      </c>
      <c r="B25" s="437" t="s">
        <v>520</v>
      </c>
      <c r="C25" s="437" t="s">
        <v>367</v>
      </c>
      <c r="D25" s="437" t="s">
        <v>368</v>
      </c>
      <c r="E25" s="437" t="s">
        <v>326</v>
      </c>
      <c r="F25" s="438"/>
      <c r="G25" s="438"/>
      <c r="H25" s="451">
        <v>0</v>
      </c>
      <c r="I25" s="438">
        <v>15</v>
      </c>
      <c r="J25" s="438">
        <v>473.85</v>
      </c>
      <c r="K25" s="451">
        <v>1</v>
      </c>
      <c r="L25" s="438">
        <v>15</v>
      </c>
      <c r="M25" s="486">
        <v>473.85</v>
      </c>
    </row>
    <row r="26" spans="1:13" ht="14.4" customHeight="1" x14ac:dyDescent="0.3">
      <c r="A26" s="447" t="s">
        <v>316</v>
      </c>
      <c r="B26" s="437" t="s">
        <v>520</v>
      </c>
      <c r="C26" s="437" t="s">
        <v>327</v>
      </c>
      <c r="D26" s="437" t="s">
        <v>328</v>
      </c>
      <c r="E26" s="437" t="s">
        <v>329</v>
      </c>
      <c r="F26" s="438"/>
      <c r="G26" s="438"/>
      <c r="H26" s="451">
        <v>0</v>
      </c>
      <c r="I26" s="438">
        <v>1323</v>
      </c>
      <c r="J26" s="438">
        <v>139325.13</v>
      </c>
      <c r="K26" s="451">
        <v>1</v>
      </c>
      <c r="L26" s="438">
        <v>1323</v>
      </c>
      <c r="M26" s="486">
        <v>139325.13</v>
      </c>
    </row>
    <row r="27" spans="1:13" ht="14.4" customHeight="1" x14ac:dyDescent="0.3">
      <c r="A27" s="447" t="s">
        <v>316</v>
      </c>
      <c r="B27" s="437" t="s">
        <v>520</v>
      </c>
      <c r="C27" s="437" t="s">
        <v>369</v>
      </c>
      <c r="D27" s="437" t="s">
        <v>328</v>
      </c>
      <c r="E27" s="437" t="s">
        <v>370</v>
      </c>
      <c r="F27" s="438"/>
      <c r="G27" s="438"/>
      <c r="H27" s="451">
        <v>0</v>
      </c>
      <c r="I27" s="438">
        <v>30</v>
      </c>
      <c r="J27" s="438">
        <v>1579.8</v>
      </c>
      <c r="K27" s="451">
        <v>1</v>
      </c>
      <c r="L27" s="438">
        <v>30</v>
      </c>
      <c r="M27" s="486">
        <v>1579.8</v>
      </c>
    </row>
    <row r="28" spans="1:13" ht="14.4" customHeight="1" x14ac:dyDescent="0.3">
      <c r="A28" s="447" t="s">
        <v>316</v>
      </c>
      <c r="B28" s="437" t="s">
        <v>520</v>
      </c>
      <c r="C28" s="437" t="s">
        <v>330</v>
      </c>
      <c r="D28" s="437" t="s">
        <v>331</v>
      </c>
      <c r="E28" s="437" t="s">
        <v>329</v>
      </c>
      <c r="F28" s="438"/>
      <c r="G28" s="438"/>
      <c r="H28" s="451">
        <v>0</v>
      </c>
      <c r="I28" s="438">
        <v>677</v>
      </c>
      <c r="J28" s="438">
        <v>73434.189999999988</v>
      </c>
      <c r="K28" s="451">
        <v>1</v>
      </c>
      <c r="L28" s="438">
        <v>677</v>
      </c>
      <c r="M28" s="486">
        <v>73434.189999999988</v>
      </c>
    </row>
    <row r="29" spans="1:13" ht="14.4" customHeight="1" x14ac:dyDescent="0.3">
      <c r="A29" s="447" t="s">
        <v>316</v>
      </c>
      <c r="B29" s="437" t="s">
        <v>520</v>
      </c>
      <c r="C29" s="437" t="s">
        <v>372</v>
      </c>
      <c r="D29" s="437" t="s">
        <v>373</v>
      </c>
      <c r="E29" s="437" t="s">
        <v>326</v>
      </c>
      <c r="F29" s="438"/>
      <c r="G29" s="438"/>
      <c r="H29" s="451">
        <v>0</v>
      </c>
      <c r="I29" s="438">
        <v>65</v>
      </c>
      <c r="J29" s="438">
        <v>1424.15</v>
      </c>
      <c r="K29" s="451">
        <v>1</v>
      </c>
      <c r="L29" s="438">
        <v>65</v>
      </c>
      <c r="M29" s="486">
        <v>1424.15</v>
      </c>
    </row>
    <row r="30" spans="1:13" ht="14.4" customHeight="1" x14ac:dyDescent="0.3">
      <c r="A30" s="447" t="s">
        <v>316</v>
      </c>
      <c r="B30" s="437" t="s">
        <v>520</v>
      </c>
      <c r="C30" s="437" t="s">
        <v>374</v>
      </c>
      <c r="D30" s="437" t="s">
        <v>375</v>
      </c>
      <c r="E30" s="437" t="s">
        <v>326</v>
      </c>
      <c r="F30" s="438"/>
      <c r="G30" s="438"/>
      <c r="H30" s="451">
        <v>0</v>
      </c>
      <c r="I30" s="438">
        <v>8</v>
      </c>
      <c r="J30" s="438">
        <v>259.04000000000002</v>
      </c>
      <c r="K30" s="451">
        <v>1</v>
      </c>
      <c r="L30" s="438">
        <v>8</v>
      </c>
      <c r="M30" s="486">
        <v>259.04000000000002</v>
      </c>
    </row>
    <row r="31" spans="1:13" ht="14.4" customHeight="1" x14ac:dyDescent="0.3">
      <c r="A31" s="447" t="s">
        <v>316</v>
      </c>
      <c r="B31" s="437" t="s">
        <v>520</v>
      </c>
      <c r="C31" s="437" t="s">
        <v>332</v>
      </c>
      <c r="D31" s="437" t="s">
        <v>333</v>
      </c>
      <c r="E31" s="437" t="s">
        <v>334</v>
      </c>
      <c r="F31" s="438"/>
      <c r="G31" s="438"/>
      <c r="H31" s="451">
        <v>0</v>
      </c>
      <c r="I31" s="438">
        <v>7</v>
      </c>
      <c r="J31" s="438">
        <v>891.38</v>
      </c>
      <c r="K31" s="451">
        <v>1</v>
      </c>
      <c r="L31" s="438">
        <v>7</v>
      </c>
      <c r="M31" s="486">
        <v>891.38</v>
      </c>
    </row>
    <row r="32" spans="1:13" ht="14.4" customHeight="1" x14ac:dyDescent="0.3">
      <c r="A32" s="447" t="s">
        <v>316</v>
      </c>
      <c r="B32" s="437" t="s">
        <v>520</v>
      </c>
      <c r="C32" s="437" t="s">
        <v>376</v>
      </c>
      <c r="D32" s="437" t="s">
        <v>377</v>
      </c>
      <c r="E32" s="437" t="s">
        <v>334</v>
      </c>
      <c r="F32" s="438"/>
      <c r="G32" s="438"/>
      <c r="H32" s="451">
        <v>0</v>
      </c>
      <c r="I32" s="438">
        <v>27</v>
      </c>
      <c r="J32" s="438">
        <v>3427.58</v>
      </c>
      <c r="K32" s="451">
        <v>1</v>
      </c>
      <c r="L32" s="438">
        <v>27</v>
      </c>
      <c r="M32" s="486">
        <v>3427.58</v>
      </c>
    </row>
    <row r="33" spans="1:13" ht="14.4" customHeight="1" x14ac:dyDescent="0.3">
      <c r="A33" s="447" t="s">
        <v>316</v>
      </c>
      <c r="B33" s="437" t="s">
        <v>520</v>
      </c>
      <c r="C33" s="437" t="s">
        <v>383</v>
      </c>
      <c r="D33" s="437" t="s">
        <v>384</v>
      </c>
      <c r="E33" s="437" t="s">
        <v>334</v>
      </c>
      <c r="F33" s="438"/>
      <c r="G33" s="438"/>
      <c r="H33" s="451">
        <v>0</v>
      </c>
      <c r="I33" s="438">
        <v>7</v>
      </c>
      <c r="J33" s="438">
        <v>891.38</v>
      </c>
      <c r="K33" s="451">
        <v>1</v>
      </c>
      <c r="L33" s="438">
        <v>7</v>
      </c>
      <c r="M33" s="486">
        <v>891.38</v>
      </c>
    </row>
    <row r="34" spans="1:13" ht="14.4" customHeight="1" x14ac:dyDescent="0.3">
      <c r="A34" s="447" t="s">
        <v>316</v>
      </c>
      <c r="B34" s="437" t="s">
        <v>520</v>
      </c>
      <c r="C34" s="437" t="s">
        <v>353</v>
      </c>
      <c r="D34" s="437" t="s">
        <v>354</v>
      </c>
      <c r="E34" s="437" t="s">
        <v>326</v>
      </c>
      <c r="F34" s="438"/>
      <c r="G34" s="438"/>
      <c r="H34" s="451">
        <v>0</v>
      </c>
      <c r="I34" s="438">
        <v>15</v>
      </c>
      <c r="J34" s="438">
        <v>496.35</v>
      </c>
      <c r="K34" s="451">
        <v>1</v>
      </c>
      <c r="L34" s="438">
        <v>15</v>
      </c>
      <c r="M34" s="486">
        <v>496.35</v>
      </c>
    </row>
    <row r="35" spans="1:13" ht="14.4" customHeight="1" x14ac:dyDescent="0.3">
      <c r="A35" s="447" t="s">
        <v>316</v>
      </c>
      <c r="B35" s="437" t="s">
        <v>520</v>
      </c>
      <c r="C35" s="437" t="s">
        <v>371</v>
      </c>
      <c r="D35" s="437" t="s">
        <v>336</v>
      </c>
      <c r="E35" s="437" t="s">
        <v>329</v>
      </c>
      <c r="F35" s="438"/>
      <c r="G35" s="438"/>
      <c r="H35" s="451">
        <v>0</v>
      </c>
      <c r="I35" s="438">
        <v>14</v>
      </c>
      <c r="J35" s="438">
        <v>2271.92</v>
      </c>
      <c r="K35" s="451">
        <v>1</v>
      </c>
      <c r="L35" s="438">
        <v>14</v>
      </c>
      <c r="M35" s="486">
        <v>2271.92</v>
      </c>
    </row>
    <row r="36" spans="1:13" ht="14.4" customHeight="1" x14ac:dyDescent="0.3">
      <c r="A36" s="447" t="s">
        <v>316</v>
      </c>
      <c r="B36" s="437" t="s">
        <v>520</v>
      </c>
      <c r="C36" s="437" t="s">
        <v>389</v>
      </c>
      <c r="D36" s="437" t="s">
        <v>386</v>
      </c>
      <c r="E36" s="437" t="s">
        <v>390</v>
      </c>
      <c r="F36" s="438">
        <v>23</v>
      </c>
      <c r="G36" s="438">
        <v>460</v>
      </c>
      <c r="H36" s="451">
        <v>1</v>
      </c>
      <c r="I36" s="438"/>
      <c r="J36" s="438"/>
      <c r="K36" s="451">
        <v>0</v>
      </c>
      <c r="L36" s="438">
        <v>23</v>
      </c>
      <c r="M36" s="486">
        <v>460</v>
      </c>
    </row>
    <row r="37" spans="1:13" ht="14.4" customHeight="1" x14ac:dyDescent="0.3">
      <c r="A37" s="447" t="s">
        <v>316</v>
      </c>
      <c r="B37" s="437" t="s">
        <v>520</v>
      </c>
      <c r="C37" s="437" t="s">
        <v>378</v>
      </c>
      <c r="D37" s="437" t="s">
        <v>379</v>
      </c>
      <c r="E37" s="437" t="s">
        <v>380</v>
      </c>
      <c r="F37" s="438"/>
      <c r="G37" s="438"/>
      <c r="H37" s="451">
        <v>0</v>
      </c>
      <c r="I37" s="438">
        <v>18</v>
      </c>
      <c r="J37" s="438">
        <v>1526.62</v>
      </c>
      <c r="K37" s="451">
        <v>1</v>
      </c>
      <c r="L37" s="438">
        <v>18</v>
      </c>
      <c r="M37" s="486">
        <v>1526.62</v>
      </c>
    </row>
    <row r="38" spans="1:13" ht="14.4" customHeight="1" x14ac:dyDescent="0.3">
      <c r="A38" s="447" t="s">
        <v>316</v>
      </c>
      <c r="B38" s="437" t="s">
        <v>520</v>
      </c>
      <c r="C38" s="437" t="s">
        <v>385</v>
      </c>
      <c r="D38" s="437" t="s">
        <v>386</v>
      </c>
      <c r="E38" s="437" t="s">
        <v>334</v>
      </c>
      <c r="F38" s="438"/>
      <c r="G38" s="438"/>
      <c r="H38" s="451">
        <v>0</v>
      </c>
      <c r="I38" s="438">
        <v>3</v>
      </c>
      <c r="J38" s="438">
        <v>246.12</v>
      </c>
      <c r="K38" s="451">
        <v>1</v>
      </c>
      <c r="L38" s="438">
        <v>3</v>
      </c>
      <c r="M38" s="486">
        <v>246.12</v>
      </c>
    </row>
    <row r="39" spans="1:13" ht="14.4" customHeight="1" x14ac:dyDescent="0.3">
      <c r="A39" s="447" t="s">
        <v>316</v>
      </c>
      <c r="B39" s="437" t="s">
        <v>520</v>
      </c>
      <c r="C39" s="437" t="s">
        <v>381</v>
      </c>
      <c r="D39" s="437" t="s">
        <v>382</v>
      </c>
      <c r="E39" s="437" t="s">
        <v>380</v>
      </c>
      <c r="F39" s="438"/>
      <c r="G39" s="438"/>
      <c r="H39" s="451">
        <v>0</v>
      </c>
      <c r="I39" s="438">
        <v>25</v>
      </c>
      <c r="J39" s="438">
        <v>2120.85</v>
      </c>
      <c r="K39" s="451">
        <v>1</v>
      </c>
      <c r="L39" s="438">
        <v>25</v>
      </c>
      <c r="M39" s="486">
        <v>2120.85</v>
      </c>
    </row>
    <row r="40" spans="1:13" ht="14.4" customHeight="1" x14ac:dyDescent="0.3">
      <c r="A40" s="447" t="s">
        <v>316</v>
      </c>
      <c r="B40" s="437" t="s">
        <v>520</v>
      </c>
      <c r="C40" s="437" t="s">
        <v>335</v>
      </c>
      <c r="D40" s="437" t="s">
        <v>336</v>
      </c>
      <c r="E40" s="437" t="s">
        <v>337</v>
      </c>
      <c r="F40" s="438"/>
      <c r="G40" s="438"/>
      <c r="H40" s="451">
        <v>0</v>
      </c>
      <c r="I40" s="438">
        <v>1855</v>
      </c>
      <c r="J40" s="438">
        <v>449984.64999999997</v>
      </c>
      <c r="K40" s="451">
        <v>1</v>
      </c>
      <c r="L40" s="438">
        <v>1855</v>
      </c>
      <c r="M40" s="486">
        <v>449984.64999999997</v>
      </c>
    </row>
    <row r="41" spans="1:13" ht="14.4" customHeight="1" x14ac:dyDescent="0.3">
      <c r="A41" s="447" t="s">
        <v>316</v>
      </c>
      <c r="B41" s="437" t="s">
        <v>520</v>
      </c>
      <c r="C41" s="437" t="s">
        <v>387</v>
      </c>
      <c r="D41" s="437" t="s">
        <v>388</v>
      </c>
      <c r="E41" s="437" t="s">
        <v>334</v>
      </c>
      <c r="F41" s="438"/>
      <c r="G41" s="438"/>
      <c r="H41" s="451">
        <v>0</v>
      </c>
      <c r="I41" s="438">
        <v>4</v>
      </c>
      <c r="J41" s="438">
        <v>328.16</v>
      </c>
      <c r="K41" s="451">
        <v>1</v>
      </c>
      <c r="L41" s="438">
        <v>4</v>
      </c>
      <c r="M41" s="486">
        <v>328.16</v>
      </c>
    </row>
    <row r="42" spans="1:13" ht="14.4" customHeight="1" x14ac:dyDescent="0.3">
      <c r="A42" s="447" t="s">
        <v>316</v>
      </c>
      <c r="B42" s="437" t="s">
        <v>520</v>
      </c>
      <c r="C42" s="437" t="s">
        <v>391</v>
      </c>
      <c r="D42" s="437" t="s">
        <v>392</v>
      </c>
      <c r="E42" s="437" t="s">
        <v>352</v>
      </c>
      <c r="F42" s="438">
        <v>319</v>
      </c>
      <c r="G42" s="438">
        <v>61968.939999999995</v>
      </c>
      <c r="H42" s="451">
        <v>1</v>
      </c>
      <c r="I42" s="438"/>
      <c r="J42" s="438"/>
      <c r="K42" s="451">
        <v>0</v>
      </c>
      <c r="L42" s="438">
        <v>319</v>
      </c>
      <c r="M42" s="486">
        <v>61968.939999999995</v>
      </c>
    </row>
    <row r="43" spans="1:13" ht="14.4" customHeight="1" x14ac:dyDescent="0.3">
      <c r="A43" s="447" t="s">
        <v>316</v>
      </c>
      <c r="B43" s="437" t="s">
        <v>520</v>
      </c>
      <c r="C43" s="437" t="s">
        <v>402</v>
      </c>
      <c r="D43" s="437" t="s">
        <v>403</v>
      </c>
      <c r="E43" s="437" t="s">
        <v>397</v>
      </c>
      <c r="F43" s="438">
        <v>15</v>
      </c>
      <c r="G43" s="438">
        <v>520.79999999999995</v>
      </c>
      <c r="H43" s="451">
        <v>1</v>
      </c>
      <c r="I43" s="438"/>
      <c r="J43" s="438"/>
      <c r="K43" s="451">
        <v>0</v>
      </c>
      <c r="L43" s="438">
        <v>15</v>
      </c>
      <c r="M43" s="486">
        <v>520.79999999999995</v>
      </c>
    </row>
    <row r="44" spans="1:13" ht="14.4" customHeight="1" x14ac:dyDescent="0.3">
      <c r="A44" s="447" t="s">
        <v>316</v>
      </c>
      <c r="B44" s="437" t="s">
        <v>520</v>
      </c>
      <c r="C44" s="437" t="s">
        <v>400</v>
      </c>
      <c r="D44" s="437" t="s">
        <v>401</v>
      </c>
      <c r="E44" s="437" t="s">
        <v>397</v>
      </c>
      <c r="F44" s="438">
        <v>15</v>
      </c>
      <c r="G44" s="438">
        <v>520.79999999999995</v>
      </c>
      <c r="H44" s="451">
        <v>1</v>
      </c>
      <c r="I44" s="438"/>
      <c r="J44" s="438"/>
      <c r="K44" s="451">
        <v>0</v>
      </c>
      <c r="L44" s="438">
        <v>15</v>
      </c>
      <c r="M44" s="486">
        <v>520.79999999999995</v>
      </c>
    </row>
    <row r="45" spans="1:13" ht="14.4" customHeight="1" x14ac:dyDescent="0.3">
      <c r="A45" s="447" t="s">
        <v>316</v>
      </c>
      <c r="B45" s="437" t="s">
        <v>520</v>
      </c>
      <c r="C45" s="437" t="s">
        <v>393</v>
      </c>
      <c r="D45" s="437" t="s">
        <v>394</v>
      </c>
      <c r="E45" s="437" t="s">
        <v>390</v>
      </c>
      <c r="F45" s="438">
        <v>8</v>
      </c>
      <c r="G45" s="438">
        <v>160</v>
      </c>
      <c r="H45" s="451">
        <v>1</v>
      </c>
      <c r="I45" s="438"/>
      <c r="J45" s="438"/>
      <c r="K45" s="451">
        <v>0</v>
      </c>
      <c r="L45" s="438">
        <v>8</v>
      </c>
      <c r="M45" s="486">
        <v>160</v>
      </c>
    </row>
    <row r="46" spans="1:13" ht="14.4" customHeight="1" x14ac:dyDescent="0.3">
      <c r="A46" s="447" t="s">
        <v>316</v>
      </c>
      <c r="B46" s="437" t="s">
        <v>520</v>
      </c>
      <c r="C46" s="437" t="s">
        <v>398</v>
      </c>
      <c r="D46" s="437" t="s">
        <v>399</v>
      </c>
      <c r="E46" s="437" t="s">
        <v>397</v>
      </c>
      <c r="F46" s="438">
        <v>105</v>
      </c>
      <c r="G46" s="438">
        <v>3740.1</v>
      </c>
      <c r="H46" s="451">
        <v>1</v>
      </c>
      <c r="I46" s="438"/>
      <c r="J46" s="438"/>
      <c r="K46" s="451">
        <v>0</v>
      </c>
      <c r="L46" s="438">
        <v>105</v>
      </c>
      <c r="M46" s="486">
        <v>3740.1</v>
      </c>
    </row>
    <row r="47" spans="1:13" ht="14.4" customHeight="1" x14ac:dyDescent="0.3">
      <c r="A47" s="447" t="s">
        <v>316</v>
      </c>
      <c r="B47" s="437" t="s">
        <v>520</v>
      </c>
      <c r="C47" s="437" t="s">
        <v>395</v>
      </c>
      <c r="D47" s="437" t="s">
        <v>396</v>
      </c>
      <c r="E47" s="437" t="s">
        <v>397</v>
      </c>
      <c r="F47" s="438">
        <v>105</v>
      </c>
      <c r="G47" s="438">
        <v>3740.0999999999995</v>
      </c>
      <c r="H47" s="451">
        <v>1</v>
      </c>
      <c r="I47" s="438"/>
      <c r="J47" s="438"/>
      <c r="K47" s="451">
        <v>0</v>
      </c>
      <c r="L47" s="438">
        <v>105</v>
      </c>
      <c r="M47" s="486">
        <v>3740.0999999999995</v>
      </c>
    </row>
    <row r="48" spans="1:13" ht="14.4" customHeight="1" x14ac:dyDescent="0.3">
      <c r="A48" s="447" t="s">
        <v>316</v>
      </c>
      <c r="B48" s="437" t="s">
        <v>520</v>
      </c>
      <c r="C48" s="437" t="s">
        <v>404</v>
      </c>
      <c r="D48" s="437" t="s">
        <v>339</v>
      </c>
      <c r="E48" s="437" t="s">
        <v>405</v>
      </c>
      <c r="F48" s="438">
        <v>25</v>
      </c>
      <c r="G48" s="438">
        <v>3259.75</v>
      </c>
      <c r="H48" s="451">
        <v>1</v>
      </c>
      <c r="I48" s="438"/>
      <c r="J48" s="438"/>
      <c r="K48" s="451">
        <v>0</v>
      </c>
      <c r="L48" s="438">
        <v>25</v>
      </c>
      <c r="M48" s="486">
        <v>3259.75</v>
      </c>
    </row>
    <row r="49" spans="1:13" ht="14.4" customHeight="1" x14ac:dyDescent="0.3">
      <c r="A49" s="447" t="s">
        <v>317</v>
      </c>
      <c r="B49" s="437" t="s">
        <v>520</v>
      </c>
      <c r="C49" s="437" t="s">
        <v>406</v>
      </c>
      <c r="D49" s="437" t="s">
        <v>407</v>
      </c>
      <c r="E49" s="437" t="s">
        <v>326</v>
      </c>
      <c r="F49" s="438"/>
      <c r="G49" s="438"/>
      <c r="H49" s="451">
        <v>0</v>
      </c>
      <c r="I49" s="438">
        <v>30</v>
      </c>
      <c r="J49" s="438">
        <v>947.7</v>
      </c>
      <c r="K49" s="451">
        <v>1</v>
      </c>
      <c r="L49" s="438">
        <v>30</v>
      </c>
      <c r="M49" s="486">
        <v>947.7</v>
      </c>
    </row>
    <row r="50" spans="1:13" ht="14.4" customHeight="1" x14ac:dyDescent="0.3">
      <c r="A50" s="447" t="s">
        <v>317</v>
      </c>
      <c r="B50" s="437" t="s">
        <v>520</v>
      </c>
      <c r="C50" s="437" t="s">
        <v>408</v>
      </c>
      <c r="D50" s="437" t="s">
        <v>409</v>
      </c>
      <c r="E50" s="437" t="s">
        <v>326</v>
      </c>
      <c r="F50" s="438"/>
      <c r="G50" s="438"/>
      <c r="H50" s="451">
        <v>0</v>
      </c>
      <c r="I50" s="438">
        <v>30</v>
      </c>
      <c r="J50" s="438">
        <v>947.7</v>
      </c>
      <c r="K50" s="451">
        <v>1</v>
      </c>
      <c r="L50" s="438">
        <v>30</v>
      </c>
      <c r="M50" s="486">
        <v>947.7</v>
      </c>
    </row>
    <row r="51" spans="1:13" ht="14.4" customHeight="1" x14ac:dyDescent="0.3">
      <c r="A51" s="447" t="s">
        <v>317</v>
      </c>
      <c r="B51" s="437" t="s">
        <v>520</v>
      </c>
      <c r="C51" s="437" t="s">
        <v>367</v>
      </c>
      <c r="D51" s="437" t="s">
        <v>368</v>
      </c>
      <c r="E51" s="437" t="s">
        <v>326</v>
      </c>
      <c r="F51" s="438"/>
      <c r="G51" s="438"/>
      <c r="H51" s="451">
        <v>0</v>
      </c>
      <c r="I51" s="438">
        <v>30</v>
      </c>
      <c r="J51" s="438">
        <v>947.7</v>
      </c>
      <c r="K51" s="451">
        <v>1</v>
      </c>
      <c r="L51" s="438">
        <v>30</v>
      </c>
      <c r="M51" s="486">
        <v>947.7</v>
      </c>
    </row>
    <row r="52" spans="1:13" ht="14.4" customHeight="1" x14ac:dyDescent="0.3">
      <c r="A52" s="447" t="s">
        <v>318</v>
      </c>
      <c r="B52" s="437" t="s">
        <v>520</v>
      </c>
      <c r="C52" s="437" t="s">
        <v>327</v>
      </c>
      <c r="D52" s="437" t="s">
        <v>328</v>
      </c>
      <c r="E52" s="437" t="s">
        <v>329</v>
      </c>
      <c r="F52" s="438"/>
      <c r="G52" s="438"/>
      <c r="H52" s="451">
        <v>0</v>
      </c>
      <c r="I52" s="438">
        <v>16</v>
      </c>
      <c r="J52" s="438">
        <v>1684.96</v>
      </c>
      <c r="K52" s="451">
        <v>1</v>
      </c>
      <c r="L52" s="438">
        <v>16</v>
      </c>
      <c r="M52" s="486">
        <v>1684.96</v>
      </c>
    </row>
    <row r="53" spans="1:13" ht="14.4" customHeight="1" x14ac:dyDescent="0.3">
      <c r="A53" s="447" t="s">
        <v>318</v>
      </c>
      <c r="B53" s="437" t="s">
        <v>520</v>
      </c>
      <c r="C53" s="437" t="s">
        <v>330</v>
      </c>
      <c r="D53" s="437" t="s">
        <v>331</v>
      </c>
      <c r="E53" s="437" t="s">
        <v>329</v>
      </c>
      <c r="F53" s="438"/>
      <c r="G53" s="438"/>
      <c r="H53" s="451">
        <v>0</v>
      </c>
      <c r="I53" s="438">
        <v>30</v>
      </c>
      <c r="J53" s="438">
        <v>3254.1</v>
      </c>
      <c r="K53" s="451">
        <v>1</v>
      </c>
      <c r="L53" s="438">
        <v>30</v>
      </c>
      <c r="M53" s="486">
        <v>3254.1</v>
      </c>
    </row>
    <row r="54" spans="1:13" ht="14.4" customHeight="1" x14ac:dyDescent="0.3">
      <c r="A54" s="447" t="s">
        <v>318</v>
      </c>
      <c r="B54" s="437" t="s">
        <v>520</v>
      </c>
      <c r="C54" s="437" t="s">
        <v>335</v>
      </c>
      <c r="D54" s="437" t="s">
        <v>336</v>
      </c>
      <c r="E54" s="437" t="s">
        <v>337</v>
      </c>
      <c r="F54" s="438"/>
      <c r="G54" s="438"/>
      <c r="H54" s="451">
        <v>0</v>
      </c>
      <c r="I54" s="438">
        <v>30</v>
      </c>
      <c r="J54" s="438">
        <v>7278.9</v>
      </c>
      <c r="K54" s="451">
        <v>1</v>
      </c>
      <c r="L54" s="438">
        <v>30</v>
      </c>
      <c r="M54" s="486">
        <v>7278.9</v>
      </c>
    </row>
    <row r="55" spans="1:13" ht="14.4" customHeight="1" x14ac:dyDescent="0.3">
      <c r="A55" s="447" t="s">
        <v>318</v>
      </c>
      <c r="B55" s="437" t="s">
        <v>520</v>
      </c>
      <c r="C55" s="437" t="s">
        <v>391</v>
      </c>
      <c r="D55" s="437" t="s">
        <v>392</v>
      </c>
      <c r="E55" s="437" t="s">
        <v>352</v>
      </c>
      <c r="F55" s="438">
        <v>10</v>
      </c>
      <c r="G55" s="438">
        <v>1942.6</v>
      </c>
      <c r="H55" s="451">
        <v>1</v>
      </c>
      <c r="I55" s="438"/>
      <c r="J55" s="438"/>
      <c r="K55" s="451">
        <v>0</v>
      </c>
      <c r="L55" s="438">
        <v>10</v>
      </c>
      <c r="M55" s="486">
        <v>1942.6</v>
      </c>
    </row>
    <row r="56" spans="1:13" ht="14.4" customHeight="1" x14ac:dyDescent="0.3">
      <c r="A56" s="447" t="s">
        <v>319</v>
      </c>
      <c r="B56" s="437" t="s">
        <v>521</v>
      </c>
      <c r="C56" s="437" t="s">
        <v>465</v>
      </c>
      <c r="D56" s="437" t="s">
        <v>466</v>
      </c>
      <c r="E56" s="437" t="s">
        <v>467</v>
      </c>
      <c r="F56" s="438"/>
      <c r="G56" s="438"/>
      <c r="H56" s="451">
        <v>0</v>
      </c>
      <c r="I56" s="438">
        <v>1</v>
      </c>
      <c r="J56" s="438">
        <v>174.94</v>
      </c>
      <c r="K56" s="451">
        <v>1</v>
      </c>
      <c r="L56" s="438">
        <v>1</v>
      </c>
      <c r="M56" s="486">
        <v>174.94</v>
      </c>
    </row>
    <row r="57" spans="1:13" ht="14.4" customHeight="1" x14ac:dyDescent="0.3">
      <c r="A57" s="447" t="s">
        <v>319</v>
      </c>
      <c r="B57" s="437" t="s">
        <v>522</v>
      </c>
      <c r="C57" s="437" t="s">
        <v>499</v>
      </c>
      <c r="D57" s="437" t="s">
        <v>500</v>
      </c>
      <c r="E57" s="437" t="s">
        <v>501</v>
      </c>
      <c r="F57" s="438"/>
      <c r="G57" s="438"/>
      <c r="H57" s="451">
        <v>0</v>
      </c>
      <c r="I57" s="438">
        <v>3</v>
      </c>
      <c r="J57" s="438">
        <v>420.09000000000003</v>
      </c>
      <c r="K57" s="451">
        <v>1</v>
      </c>
      <c r="L57" s="438">
        <v>3</v>
      </c>
      <c r="M57" s="486">
        <v>420.09000000000003</v>
      </c>
    </row>
    <row r="58" spans="1:13" ht="14.4" customHeight="1" x14ac:dyDescent="0.3">
      <c r="A58" s="447" t="s">
        <v>319</v>
      </c>
      <c r="B58" s="437" t="s">
        <v>523</v>
      </c>
      <c r="C58" s="437" t="s">
        <v>422</v>
      </c>
      <c r="D58" s="437" t="s">
        <v>423</v>
      </c>
      <c r="E58" s="437" t="s">
        <v>424</v>
      </c>
      <c r="F58" s="438"/>
      <c r="G58" s="438"/>
      <c r="H58" s="451">
        <v>0</v>
      </c>
      <c r="I58" s="438">
        <v>4</v>
      </c>
      <c r="J58" s="438">
        <v>627.44000000000005</v>
      </c>
      <c r="K58" s="451">
        <v>1</v>
      </c>
      <c r="L58" s="438">
        <v>4</v>
      </c>
      <c r="M58" s="486">
        <v>627.44000000000005</v>
      </c>
    </row>
    <row r="59" spans="1:13" ht="14.4" customHeight="1" x14ac:dyDescent="0.3">
      <c r="A59" s="447" t="s">
        <v>319</v>
      </c>
      <c r="B59" s="437" t="s">
        <v>524</v>
      </c>
      <c r="C59" s="437" t="s">
        <v>430</v>
      </c>
      <c r="D59" s="437" t="s">
        <v>431</v>
      </c>
      <c r="E59" s="437" t="s">
        <v>432</v>
      </c>
      <c r="F59" s="438">
        <v>1</v>
      </c>
      <c r="G59" s="438">
        <v>0</v>
      </c>
      <c r="H59" s="451"/>
      <c r="I59" s="438"/>
      <c r="J59" s="438"/>
      <c r="K59" s="451"/>
      <c r="L59" s="438">
        <v>1</v>
      </c>
      <c r="M59" s="486">
        <v>0</v>
      </c>
    </row>
    <row r="60" spans="1:13" ht="14.4" customHeight="1" x14ac:dyDescent="0.3">
      <c r="A60" s="447" t="s">
        <v>319</v>
      </c>
      <c r="B60" s="437" t="s">
        <v>525</v>
      </c>
      <c r="C60" s="437" t="s">
        <v>507</v>
      </c>
      <c r="D60" s="437" t="s">
        <v>508</v>
      </c>
      <c r="E60" s="437" t="s">
        <v>509</v>
      </c>
      <c r="F60" s="438">
        <v>1</v>
      </c>
      <c r="G60" s="438">
        <v>314.33999999999997</v>
      </c>
      <c r="H60" s="451">
        <v>1</v>
      </c>
      <c r="I60" s="438"/>
      <c r="J60" s="438"/>
      <c r="K60" s="451">
        <v>0</v>
      </c>
      <c r="L60" s="438">
        <v>1</v>
      </c>
      <c r="M60" s="486">
        <v>314.33999999999997</v>
      </c>
    </row>
    <row r="61" spans="1:13" ht="14.4" customHeight="1" x14ac:dyDescent="0.3">
      <c r="A61" s="447" t="s">
        <v>319</v>
      </c>
      <c r="B61" s="437" t="s">
        <v>520</v>
      </c>
      <c r="C61" s="437" t="s">
        <v>338</v>
      </c>
      <c r="D61" s="437" t="s">
        <v>339</v>
      </c>
      <c r="E61" s="437" t="s">
        <v>326</v>
      </c>
      <c r="F61" s="438"/>
      <c r="G61" s="438"/>
      <c r="H61" s="451">
        <v>0</v>
      </c>
      <c r="I61" s="438">
        <v>740</v>
      </c>
      <c r="J61" s="438">
        <v>24075.52</v>
      </c>
      <c r="K61" s="451">
        <v>1</v>
      </c>
      <c r="L61" s="438">
        <v>740</v>
      </c>
      <c r="M61" s="486">
        <v>24075.52</v>
      </c>
    </row>
    <row r="62" spans="1:13" ht="14.4" customHeight="1" x14ac:dyDescent="0.3">
      <c r="A62" s="447" t="s">
        <v>319</v>
      </c>
      <c r="B62" s="437" t="s">
        <v>520</v>
      </c>
      <c r="C62" s="437" t="s">
        <v>472</v>
      </c>
      <c r="D62" s="437" t="s">
        <v>473</v>
      </c>
      <c r="E62" s="437" t="s">
        <v>326</v>
      </c>
      <c r="F62" s="438"/>
      <c r="G62" s="438"/>
      <c r="H62" s="451">
        <v>0</v>
      </c>
      <c r="I62" s="438">
        <v>120</v>
      </c>
      <c r="J62" s="438">
        <v>3885.6000000000004</v>
      </c>
      <c r="K62" s="451">
        <v>1</v>
      </c>
      <c r="L62" s="438">
        <v>120</v>
      </c>
      <c r="M62" s="486">
        <v>3885.6000000000004</v>
      </c>
    </row>
    <row r="63" spans="1:13" ht="14.4" customHeight="1" x14ac:dyDescent="0.3">
      <c r="A63" s="447" t="s">
        <v>319</v>
      </c>
      <c r="B63" s="437" t="s">
        <v>520</v>
      </c>
      <c r="C63" s="437" t="s">
        <v>346</v>
      </c>
      <c r="D63" s="437" t="s">
        <v>347</v>
      </c>
      <c r="E63" s="437" t="s">
        <v>326</v>
      </c>
      <c r="F63" s="438"/>
      <c r="G63" s="438"/>
      <c r="H63" s="451">
        <v>0</v>
      </c>
      <c r="I63" s="438">
        <v>750</v>
      </c>
      <c r="J63" s="438">
        <v>24206</v>
      </c>
      <c r="K63" s="451">
        <v>1</v>
      </c>
      <c r="L63" s="438">
        <v>750</v>
      </c>
      <c r="M63" s="486">
        <v>24206</v>
      </c>
    </row>
    <row r="64" spans="1:13" ht="14.4" customHeight="1" x14ac:dyDescent="0.3">
      <c r="A64" s="447" t="s">
        <v>319</v>
      </c>
      <c r="B64" s="437" t="s">
        <v>520</v>
      </c>
      <c r="C64" s="437" t="s">
        <v>348</v>
      </c>
      <c r="D64" s="437" t="s">
        <v>349</v>
      </c>
      <c r="E64" s="437" t="s">
        <v>326</v>
      </c>
      <c r="F64" s="438"/>
      <c r="G64" s="438"/>
      <c r="H64" s="451">
        <v>0</v>
      </c>
      <c r="I64" s="438">
        <v>102</v>
      </c>
      <c r="J64" s="438">
        <v>3302.76</v>
      </c>
      <c r="K64" s="451">
        <v>1</v>
      </c>
      <c r="L64" s="438">
        <v>102</v>
      </c>
      <c r="M64" s="486">
        <v>3302.76</v>
      </c>
    </row>
    <row r="65" spans="1:13" ht="14.4" customHeight="1" x14ac:dyDescent="0.3">
      <c r="A65" s="447" t="s">
        <v>319</v>
      </c>
      <c r="B65" s="437" t="s">
        <v>520</v>
      </c>
      <c r="C65" s="437" t="s">
        <v>474</v>
      </c>
      <c r="D65" s="437" t="s">
        <v>475</v>
      </c>
      <c r="E65" s="437" t="s">
        <v>326</v>
      </c>
      <c r="F65" s="438"/>
      <c r="G65" s="438"/>
      <c r="H65" s="451">
        <v>0</v>
      </c>
      <c r="I65" s="438">
        <v>540</v>
      </c>
      <c r="J65" s="438">
        <v>17058.599999999999</v>
      </c>
      <c r="K65" s="451">
        <v>1</v>
      </c>
      <c r="L65" s="438">
        <v>540</v>
      </c>
      <c r="M65" s="486">
        <v>17058.599999999999</v>
      </c>
    </row>
    <row r="66" spans="1:13" ht="14.4" customHeight="1" x14ac:dyDescent="0.3">
      <c r="A66" s="447" t="s">
        <v>319</v>
      </c>
      <c r="B66" s="437" t="s">
        <v>520</v>
      </c>
      <c r="C66" s="437" t="s">
        <v>350</v>
      </c>
      <c r="D66" s="437" t="s">
        <v>351</v>
      </c>
      <c r="E66" s="437" t="s">
        <v>352</v>
      </c>
      <c r="F66" s="438"/>
      <c r="G66" s="438"/>
      <c r="H66" s="451">
        <v>0</v>
      </c>
      <c r="I66" s="438">
        <v>1787</v>
      </c>
      <c r="J66" s="438">
        <v>346094.51999999996</v>
      </c>
      <c r="K66" s="451">
        <v>1</v>
      </c>
      <c r="L66" s="438">
        <v>1787</v>
      </c>
      <c r="M66" s="486">
        <v>346094.51999999996</v>
      </c>
    </row>
    <row r="67" spans="1:13" ht="14.4" customHeight="1" x14ac:dyDescent="0.3">
      <c r="A67" s="447" t="s">
        <v>319</v>
      </c>
      <c r="B67" s="437" t="s">
        <v>520</v>
      </c>
      <c r="C67" s="437" t="s">
        <v>355</v>
      </c>
      <c r="D67" s="437" t="s">
        <v>356</v>
      </c>
      <c r="E67" s="437" t="s">
        <v>326</v>
      </c>
      <c r="F67" s="438"/>
      <c r="G67" s="438"/>
      <c r="H67" s="451">
        <v>0</v>
      </c>
      <c r="I67" s="438">
        <v>80</v>
      </c>
      <c r="J67" s="438">
        <v>1684.8</v>
      </c>
      <c r="K67" s="451">
        <v>1</v>
      </c>
      <c r="L67" s="438">
        <v>80</v>
      </c>
      <c r="M67" s="486">
        <v>1684.8</v>
      </c>
    </row>
    <row r="68" spans="1:13" ht="14.4" customHeight="1" x14ac:dyDescent="0.3">
      <c r="A68" s="447" t="s">
        <v>319</v>
      </c>
      <c r="B68" s="437" t="s">
        <v>520</v>
      </c>
      <c r="C68" s="437" t="s">
        <v>324</v>
      </c>
      <c r="D68" s="437" t="s">
        <v>325</v>
      </c>
      <c r="E68" s="437" t="s">
        <v>326</v>
      </c>
      <c r="F68" s="438"/>
      <c r="G68" s="438"/>
      <c r="H68" s="451">
        <v>0</v>
      </c>
      <c r="I68" s="438">
        <v>160</v>
      </c>
      <c r="J68" s="438">
        <v>3369.6</v>
      </c>
      <c r="K68" s="451">
        <v>1</v>
      </c>
      <c r="L68" s="438">
        <v>160</v>
      </c>
      <c r="M68" s="486">
        <v>3369.6</v>
      </c>
    </row>
    <row r="69" spans="1:13" ht="14.4" customHeight="1" x14ac:dyDescent="0.3">
      <c r="A69" s="447" t="s">
        <v>319</v>
      </c>
      <c r="B69" s="437" t="s">
        <v>520</v>
      </c>
      <c r="C69" s="437" t="s">
        <v>357</v>
      </c>
      <c r="D69" s="437" t="s">
        <v>358</v>
      </c>
      <c r="E69" s="437" t="s">
        <v>326</v>
      </c>
      <c r="F69" s="438"/>
      <c r="G69" s="438"/>
      <c r="H69" s="451">
        <v>0</v>
      </c>
      <c r="I69" s="438">
        <v>895</v>
      </c>
      <c r="J69" s="438">
        <v>23565.350000000002</v>
      </c>
      <c r="K69" s="451">
        <v>1</v>
      </c>
      <c r="L69" s="438">
        <v>895</v>
      </c>
      <c r="M69" s="486">
        <v>23565.350000000002</v>
      </c>
    </row>
    <row r="70" spans="1:13" ht="14.4" customHeight="1" x14ac:dyDescent="0.3">
      <c r="A70" s="447" t="s">
        <v>319</v>
      </c>
      <c r="B70" s="437" t="s">
        <v>520</v>
      </c>
      <c r="C70" s="437" t="s">
        <v>359</v>
      </c>
      <c r="D70" s="437" t="s">
        <v>360</v>
      </c>
      <c r="E70" s="437" t="s">
        <v>326</v>
      </c>
      <c r="F70" s="438"/>
      <c r="G70" s="438"/>
      <c r="H70" s="451">
        <v>0</v>
      </c>
      <c r="I70" s="438">
        <v>440</v>
      </c>
      <c r="J70" s="438">
        <v>11585.199999999999</v>
      </c>
      <c r="K70" s="451">
        <v>1</v>
      </c>
      <c r="L70" s="438">
        <v>440</v>
      </c>
      <c r="M70" s="486">
        <v>11585.199999999999</v>
      </c>
    </row>
    <row r="71" spans="1:13" ht="14.4" customHeight="1" x14ac:dyDescent="0.3">
      <c r="A71" s="447" t="s">
        <v>319</v>
      </c>
      <c r="B71" s="437" t="s">
        <v>520</v>
      </c>
      <c r="C71" s="437" t="s">
        <v>361</v>
      </c>
      <c r="D71" s="437" t="s">
        <v>362</v>
      </c>
      <c r="E71" s="437" t="s">
        <v>326</v>
      </c>
      <c r="F71" s="438"/>
      <c r="G71" s="438"/>
      <c r="H71" s="451">
        <v>0</v>
      </c>
      <c r="I71" s="438">
        <v>665</v>
      </c>
      <c r="J71" s="438">
        <v>17509.449999999997</v>
      </c>
      <c r="K71" s="451">
        <v>1</v>
      </c>
      <c r="L71" s="438">
        <v>665</v>
      </c>
      <c r="M71" s="486">
        <v>17509.449999999997</v>
      </c>
    </row>
    <row r="72" spans="1:13" ht="14.4" customHeight="1" x14ac:dyDescent="0.3">
      <c r="A72" s="447" t="s">
        <v>319</v>
      </c>
      <c r="B72" s="437" t="s">
        <v>520</v>
      </c>
      <c r="C72" s="437" t="s">
        <v>476</v>
      </c>
      <c r="D72" s="437" t="s">
        <v>477</v>
      </c>
      <c r="E72" s="437" t="s">
        <v>334</v>
      </c>
      <c r="F72" s="438"/>
      <c r="G72" s="438"/>
      <c r="H72" s="451">
        <v>0</v>
      </c>
      <c r="I72" s="438">
        <v>10</v>
      </c>
      <c r="J72" s="438">
        <v>1295.0999999999999</v>
      </c>
      <c r="K72" s="451">
        <v>1</v>
      </c>
      <c r="L72" s="438">
        <v>10</v>
      </c>
      <c r="M72" s="486">
        <v>1295.0999999999999</v>
      </c>
    </row>
    <row r="73" spans="1:13" ht="14.4" customHeight="1" x14ac:dyDescent="0.3">
      <c r="A73" s="447" t="s">
        <v>319</v>
      </c>
      <c r="B73" s="437" t="s">
        <v>520</v>
      </c>
      <c r="C73" s="437" t="s">
        <v>363</v>
      </c>
      <c r="D73" s="437" t="s">
        <v>364</v>
      </c>
      <c r="E73" s="437" t="s">
        <v>326</v>
      </c>
      <c r="F73" s="438"/>
      <c r="G73" s="438"/>
      <c r="H73" s="451">
        <v>0</v>
      </c>
      <c r="I73" s="438">
        <v>141</v>
      </c>
      <c r="J73" s="438">
        <v>4454.1899999999996</v>
      </c>
      <c r="K73" s="451">
        <v>1</v>
      </c>
      <c r="L73" s="438">
        <v>141</v>
      </c>
      <c r="M73" s="486">
        <v>4454.1899999999996</v>
      </c>
    </row>
    <row r="74" spans="1:13" ht="14.4" customHeight="1" x14ac:dyDescent="0.3">
      <c r="A74" s="447" t="s">
        <v>319</v>
      </c>
      <c r="B74" s="437" t="s">
        <v>520</v>
      </c>
      <c r="C74" s="437" t="s">
        <v>365</v>
      </c>
      <c r="D74" s="437" t="s">
        <v>366</v>
      </c>
      <c r="E74" s="437" t="s">
        <v>326</v>
      </c>
      <c r="F74" s="438"/>
      <c r="G74" s="438"/>
      <c r="H74" s="451">
        <v>0</v>
      </c>
      <c r="I74" s="438">
        <v>101</v>
      </c>
      <c r="J74" s="438">
        <v>3190.5899999999997</v>
      </c>
      <c r="K74" s="451">
        <v>1</v>
      </c>
      <c r="L74" s="438">
        <v>101</v>
      </c>
      <c r="M74" s="486">
        <v>3190.5899999999997</v>
      </c>
    </row>
    <row r="75" spans="1:13" ht="14.4" customHeight="1" x14ac:dyDescent="0.3">
      <c r="A75" s="447" t="s">
        <v>319</v>
      </c>
      <c r="B75" s="437" t="s">
        <v>520</v>
      </c>
      <c r="C75" s="437" t="s">
        <v>408</v>
      </c>
      <c r="D75" s="437" t="s">
        <v>409</v>
      </c>
      <c r="E75" s="437" t="s">
        <v>326</v>
      </c>
      <c r="F75" s="438"/>
      <c r="G75" s="438"/>
      <c r="H75" s="451">
        <v>0</v>
      </c>
      <c r="I75" s="438">
        <v>130</v>
      </c>
      <c r="J75" s="438">
        <v>4120.7</v>
      </c>
      <c r="K75" s="451">
        <v>1</v>
      </c>
      <c r="L75" s="438">
        <v>130</v>
      </c>
      <c r="M75" s="486">
        <v>4120.7</v>
      </c>
    </row>
    <row r="76" spans="1:13" ht="14.4" customHeight="1" x14ac:dyDescent="0.3">
      <c r="A76" s="447" t="s">
        <v>319</v>
      </c>
      <c r="B76" s="437" t="s">
        <v>520</v>
      </c>
      <c r="C76" s="437" t="s">
        <v>327</v>
      </c>
      <c r="D76" s="437" t="s">
        <v>328</v>
      </c>
      <c r="E76" s="437" t="s">
        <v>329</v>
      </c>
      <c r="F76" s="438"/>
      <c r="G76" s="438"/>
      <c r="H76" s="451">
        <v>0</v>
      </c>
      <c r="I76" s="438">
        <v>1032</v>
      </c>
      <c r="J76" s="438">
        <v>108679.92000000001</v>
      </c>
      <c r="K76" s="451">
        <v>1</v>
      </c>
      <c r="L76" s="438">
        <v>1032</v>
      </c>
      <c r="M76" s="486">
        <v>108679.92000000001</v>
      </c>
    </row>
    <row r="77" spans="1:13" ht="14.4" customHeight="1" x14ac:dyDescent="0.3">
      <c r="A77" s="447" t="s">
        <v>319</v>
      </c>
      <c r="B77" s="437" t="s">
        <v>520</v>
      </c>
      <c r="C77" s="437" t="s">
        <v>369</v>
      </c>
      <c r="D77" s="437" t="s">
        <v>328</v>
      </c>
      <c r="E77" s="437" t="s">
        <v>370</v>
      </c>
      <c r="F77" s="438"/>
      <c r="G77" s="438"/>
      <c r="H77" s="451">
        <v>0</v>
      </c>
      <c r="I77" s="438">
        <v>264</v>
      </c>
      <c r="J77" s="438">
        <v>13902.24</v>
      </c>
      <c r="K77" s="451">
        <v>1</v>
      </c>
      <c r="L77" s="438">
        <v>264</v>
      </c>
      <c r="M77" s="486">
        <v>13902.24</v>
      </c>
    </row>
    <row r="78" spans="1:13" ht="14.4" customHeight="1" x14ac:dyDescent="0.3">
      <c r="A78" s="447" t="s">
        <v>319</v>
      </c>
      <c r="B78" s="437" t="s">
        <v>520</v>
      </c>
      <c r="C78" s="437" t="s">
        <v>330</v>
      </c>
      <c r="D78" s="437" t="s">
        <v>331</v>
      </c>
      <c r="E78" s="437" t="s">
        <v>329</v>
      </c>
      <c r="F78" s="438"/>
      <c r="G78" s="438"/>
      <c r="H78" s="451">
        <v>0</v>
      </c>
      <c r="I78" s="438">
        <v>4028</v>
      </c>
      <c r="J78" s="438">
        <v>436917.16000000003</v>
      </c>
      <c r="K78" s="451">
        <v>1</v>
      </c>
      <c r="L78" s="438">
        <v>4028</v>
      </c>
      <c r="M78" s="486">
        <v>436917.16000000003</v>
      </c>
    </row>
    <row r="79" spans="1:13" ht="14.4" customHeight="1" x14ac:dyDescent="0.3">
      <c r="A79" s="447" t="s">
        <v>319</v>
      </c>
      <c r="B79" s="437" t="s">
        <v>520</v>
      </c>
      <c r="C79" s="437" t="s">
        <v>372</v>
      </c>
      <c r="D79" s="437" t="s">
        <v>373</v>
      </c>
      <c r="E79" s="437" t="s">
        <v>326</v>
      </c>
      <c r="F79" s="438"/>
      <c r="G79" s="438"/>
      <c r="H79" s="451">
        <v>0</v>
      </c>
      <c r="I79" s="438">
        <v>20</v>
      </c>
      <c r="J79" s="438">
        <v>438.2</v>
      </c>
      <c r="K79" s="451">
        <v>1</v>
      </c>
      <c r="L79" s="438">
        <v>20</v>
      </c>
      <c r="M79" s="486">
        <v>438.2</v>
      </c>
    </row>
    <row r="80" spans="1:13" ht="14.4" customHeight="1" x14ac:dyDescent="0.3">
      <c r="A80" s="447" t="s">
        <v>319</v>
      </c>
      <c r="B80" s="437" t="s">
        <v>520</v>
      </c>
      <c r="C80" s="437" t="s">
        <v>374</v>
      </c>
      <c r="D80" s="437" t="s">
        <v>375</v>
      </c>
      <c r="E80" s="437" t="s">
        <v>326</v>
      </c>
      <c r="F80" s="438"/>
      <c r="G80" s="438"/>
      <c r="H80" s="451">
        <v>0</v>
      </c>
      <c r="I80" s="438">
        <v>70</v>
      </c>
      <c r="J80" s="438">
        <v>2266.6000000000004</v>
      </c>
      <c r="K80" s="451">
        <v>1</v>
      </c>
      <c r="L80" s="438">
        <v>70</v>
      </c>
      <c r="M80" s="486">
        <v>2266.6000000000004</v>
      </c>
    </row>
    <row r="81" spans="1:13" ht="14.4" customHeight="1" x14ac:dyDescent="0.3">
      <c r="A81" s="447" t="s">
        <v>319</v>
      </c>
      <c r="B81" s="437" t="s">
        <v>520</v>
      </c>
      <c r="C81" s="437" t="s">
        <v>332</v>
      </c>
      <c r="D81" s="437" t="s">
        <v>333</v>
      </c>
      <c r="E81" s="437" t="s">
        <v>334</v>
      </c>
      <c r="F81" s="438"/>
      <c r="G81" s="438"/>
      <c r="H81" s="451">
        <v>0</v>
      </c>
      <c r="I81" s="438">
        <v>7</v>
      </c>
      <c r="J81" s="438">
        <v>891.38000000000011</v>
      </c>
      <c r="K81" s="451">
        <v>1</v>
      </c>
      <c r="L81" s="438">
        <v>7</v>
      </c>
      <c r="M81" s="486">
        <v>891.38000000000011</v>
      </c>
    </row>
    <row r="82" spans="1:13" ht="14.4" customHeight="1" x14ac:dyDescent="0.3">
      <c r="A82" s="447" t="s">
        <v>319</v>
      </c>
      <c r="B82" s="437" t="s">
        <v>520</v>
      </c>
      <c r="C82" s="437" t="s">
        <v>383</v>
      </c>
      <c r="D82" s="437" t="s">
        <v>384</v>
      </c>
      <c r="E82" s="437" t="s">
        <v>334</v>
      </c>
      <c r="F82" s="438"/>
      <c r="G82" s="438"/>
      <c r="H82" s="451">
        <v>0</v>
      </c>
      <c r="I82" s="438">
        <v>20</v>
      </c>
      <c r="J82" s="438">
        <v>2546.8000000000002</v>
      </c>
      <c r="K82" s="451">
        <v>1</v>
      </c>
      <c r="L82" s="438">
        <v>20</v>
      </c>
      <c r="M82" s="486">
        <v>2546.8000000000002</v>
      </c>
    </row>
    <row r="83" spans="1:13" ht="14.4" customHeight="1" x14ac:dyDescent="0.3">
      <c r="A83" s="447" t="s">
        <v>319</v>
      </c>
      <c r="B83" s="437" t="s">
        <v>520</v>
      </c>
      <c r="C83" s="437" t="s">
        <v>371</v>
      </c>
      <c r="D83" s="437" t="s">
        <v>336</v>
      </c>
      <c r="E83" s="437" t="s">
        <v>329</v>
      </c>
      <c r="F83" s="438"/>
      <c r="G83" s="438"/>
      <c r="H83" s="451">
        <v>0</v>
      </c>
      <c r="I83" s="438">
        <v>565</v>
      </c>
      <c r="J83" s="438">
        <v>91688.200000000012</v>
      </c>
      <c r="K83" s="451">
        <v>1</v>
      </c>
      <c r="L83" s="438">
        <v>565</v>
      </c>
      <c r="M83" s="486">
        <v>91688.200000000012</v>
      </c>
    </row>
    <row r="84" spans="1:13" ht="14.4" customHeight="1" x14ac:dyDescent="0.3">
      <c r="A84" s="447" t="s">
        <v>319</v>
      </c>
      <c r="B84" s="437" t="s">
        <v>520</v>
      </c>
      <c r="C84" s="437" t="s">
        <v>478</v>
      </c>
      <c r="D84" s="437" t="s">
        <v>479</v>
      </c>
      <c r="E84" s="437" t="s">
        <v>334</v>
      </c>
      <c r="F84" s="438"/>
      <c r="G84" s="438"/>
      <c r="H84" s="451">
        <v>0</v>
      </c>
      <c r="I84" s="438">
        <v>2</v>
      </c>
      <c r="J84" s="438">
        <v>259.02</v>
      </c>
      <c r="K84" s="451">
        <v>1</v>
      </c>
      <c r="L84" s="438">
        <v>2</v>
      </c>
      <c r="M84" s="486">
        <v>259.02</v>
      </c>
    </row>
    <row r="85" spans="1:13" ht="14.4" customHeight="1" x14ac:dyDescent="0.3">
      <c r="A85" s="447" t="s">
        <v>319</v>
      </c>
      <c r="B85" s="437" t="s">
        <v>520</v>
      </c>
      <c r="C85" s="437" t="s">
        <v>480</v>
      </c>
      <c r="D85" s="437" t="s">
        <v>481</v>
      </c>
      <c r="E85" s="437" t="s">
        <v>380</v>
      </c>
      <c r="F85" s="438"/>
      <c r="G85" s="438"/>
      <c r="H85" s="451">
        <v>0</v>
      </c>
      <c r="I85" s="438">
        <v>1</v>
      </c>
      <c r="J85" s="438">
        <v>84.89</v>
      </c>
      <c r="K85" s="451">
        <v>1</v>
      </c>
      <c r="L85" s="438">
        <v>1</v>
      </c>
      <c r="M85" s="486">
        <v>84.89</v>
      </c>
    </row>
    <row r="86" spans="1:13" ht="14.4" customHeight="1" x14ac:dyDescent="0.3">
      <c r="A86" s="447" t="s">
        <v>319</v>
      </c>
      <c r="B86" s="437" t="s">
        <v>520</v>
      </c>
      <c r="C86" s="437" t="s">
        <v>482</v>
      </c>
      <c r="D86" s="437" t="s">
        <v>483</v>
      </c>
      <c r="E86" s="437" t="s">
        <v>334</v>
      </c>
      <c r="F86" s="438"/>
      <c r="G86" s="438"/>
      <c r="H86" s="451">
        <v>0</v>
      </c>
      <c r="I86" s="438">
        <v>150</v>
      </c>
      <c r="J86" s="438">
        <v>19037.400000000001</v>
      </c>
      <c r="K86" s="451">
        <v>1</v>
      </c>
      <c r="L86" s="438">
        <v>150</v>
      </c>
      <c r="M86" s="486">
        <v>19037.400000000001</v>
      </c>
    </row>
    <row r="87" spans="1:13" ht="14.4" customHeight="1" x14ac:dyDescent="0.3">
      <c r="A87" s="447" t="s">
        <v>319</v>
      </c>
      <c r="B87" s="437" t="s">
        <v>520</v>
      </c>
      <c r="C87" s="437" t="s">
        <v>484</v>
      </c>
      <c r="D87" s="437" t="s">
        <v>485</v>
      </c>
      <c r="E87" s="437" t="s">
        <v>380</v>
      </c>
      <c r="F87" s="438"/>
      <c r="G87" s="438"/>
      <c r="H87" s="451">
        <v>0</v>
      </c>
      <c r="I87" s="438">
        <v>2</v>
      </c>
      <c r="J87" s="438">
        <v>169.78</v>
      </c>
      <c r="K87" s="451">
        <v>1</v>
      </c>
      <c r="L87" s="438">
        <v>2</v>
      </c>
      <c r="M87" s="486">
        <v>169.78</v>
      </c>
    </row>
    <row r="88" spans="1:13" ht="14.4" customHeight="1" x14ac:dyDescent="0.3">
      <c r="A88" s="447" t="s">
        <v>319</v>
      </c>
      <c r="B88" s="437" t="s">
        <v>520</v>
      </c>
      <c r="C88" s="437" t="s">
        <v>381</v>
      </c>
      <c r="D88" s="437" t="s">
        <v>382</v>
      </c>
      <c r="E88" s="437" t="s">
        <v>380</v>
      </c>
      <c r="F88" s="438"/>
      <c r="G88" s="438"/>
      <c r="H88" s="451">
        <v>0</v>
      </c>
      <c r="I88" s="438">
        <v>2</v>
      </c>
      <c r="J88" s="438">
        <v>169.78</v>
      </c>
      <c r="K88" s="451">
        <v>1</v>
      </c>
      <c r="L88" s="438">
        <v>2</v>
      </c>
      <c r="M88" s="486">
        <v>169.78</v>
      </c>
    </row>
    <row r="89" spans="1:13" ht="14.4" customHeight="1" x14ac:dyDescent="0.3">
      <c r="A89" s="447" t="s">
        <v>319</v>
      </c>
      <c r="B89" s="437" t="s">
        <v>520</v>
      </c>
      <c r="C89" s="437" t="s">
        <v>488</v>
      </c>
      <c r="D89" s="437" t="s">
        <v>489</v>
      </c>
      <c r="E89" s="437" t="s">
        <v>397</v>
      </c>
      <c r="F89" s="438">
        <v>120</v>
      </c>
      <c r="G89" s="438">
        <v>4166.3999999999996</v>
      </c>
      <c r="H89" s="451">
        <v>1</v>
      </c>
      <c r="I89" s="438"/>
      <c r="J89" s="438"/>
      <c r="K89" s="451">
        <v>0</v>
      </c>
      <c r="L89" s="438">
        <v>120</v>
      </c>
      <c r="M89" s="486">
        <v>4166.3999999999996</v>
      </c>
    </row>
    <row r="90" spans="1:13" ht="14.4" customHeight="1" x14ac:dyDescent="0.3">
      <c r="A90" s="447" t="s">
        <v>319</v>
      </c>
      <c r="B90" s="437" t="s">
        <v>520</v>
      </c>
      <c r="C90" s="437" t="s">
        <v>486</v>
      </c>
      <c r="D90" s="437" t="s">
        <v>487</v>
      </c>
      <c r="E90" s="437" t="s">
        <v>405</v>
      </c>
      <c r="F90" s="438">
        <v>20</v>
      </c>
      <c r="G90" s="438">
        <v>3432.5499999999997</v>
      </c>
      <c r="H90" s="451">
        <v>1</v>
      </c>
      <c r="I90" s="438"/>
      <c r="J90" s="438"/>
      <c r="K90" s="451">
        <v>0</v>
      </c>
      <c r="L90" s="438">
        <v>20</v>
      </c>
      <c r="M90" s="486">
        <v>3432.5499999999997</v>
      </c>
    </row>
    <row r="91" spans="1:13" ht="14.4" customHeight="1" x14ac:dyDescent="0.3">
      <c r="A91" s="447" t="s">
        <v>319</v>
      </c>
      <c r="B91" s="437" t="s">
        <v>520</v>
      </c>
      <c r="C91" s="437" t="s">
        <v>335</v>
      </c>
      <c r="D91" s="437" t="s">
        <v>336</v>
      </c>
      <c r="E91" s="437" t="s">
        <v>337</v>
      </c>
      <c r="F91" s="438"/>
      <c r="G91" s="438"/>
      <c r="H91" s="451">
        <v>0</v>
      </c>
      <c r="I91" s="438">
        <v>1985</v>
      </c>
      <c r="J91" s="438">
        <v>481620.55000000005</v>
      </c>
      <c r="K91" s="451">
        <v>1</v>
      </c>
      <c r="L91" s="438">
        <v>1985</v>
      </c>
      <c r="M91" s="486">
        <v>481620.55000000005</v>
      </c>
    </row>
    <row r="92" spans="1:13" ht="14.4" customHeight="1" x14ac:dyDescent="0.3">
      <c r="A92" s="447" t="s">
        <v>319</v>
      </c>
      <c r="B92" s="437" t="s">
        <v>520</v>
      </c>
      <c r="C92" s="437" t="s">
        <v>490</v>
      </c>
      <c r="D92" s="437" t="s">
        <v>336</v>
      </c>
      <c r="E92" s="437" t="s">
        <v>491</v>
      </c>
      <c r="F92" s="438"/>
      <c r="G92" s="438"/>
      <c r="H92" s="451">
        <v>0</v>
      </c>
      <c r="I92" s="438">
        <v>36</v>
      </c>
      <c r="J92" s="438">
        <v>52237.439999999995</v>
      </c>
      <c r="K92" s="451">
        <v>1</v>
      </c>
      <c r="L92" s="438">
        <v>36</v>
      </c>
      <c r="M92" s="486">
        <v>52237.439999999995</v>
      </c>
    </row>
    <row r="93" spans="1:13" ht="14.4" customHeight="1" x14ac:dyDescent="0.3">
      <c r="A93" s="447" t="s">
        <v>319</v>
      </c>
      <c r="B93" s="437" t="s">
        <v>520</v>
      </c>
      <c r="C93" s="437" t="s">
        <v>391</v>
      </c>
      <c r="D93" s="437" t="s">
        <v>392</v>
      </c>
      <c r="E93" s="437" t="s">
        <v>352</v>
      </c>
      <c r="F93" s="438">
        <v>139</v>
      </c>
      <c r="G93" s="438">
        <v>27002.14</v>
      </c>
      <c r="H93" s="451">
        <v>1</v>
      </c>
      <c r="I93" s="438"/>
      <c r="J93" s="438"/>
      <c r="K93" s="451">
        <v>0</v>
      </c>
      <c r="L93" s="438">
        <v>139</v>
      </c>
      <c r="M93" s="486">
        <v>27002.14</v>
      </c>
    </row>
    <row r="94" spans="1:13" ht="14.4" customHeight="1" x14ac:dyDescent="0.3">
      <c r="A94" s="447" t="s">
        <v>319</v>
      </c>
      <c r="B94" s="437" t="s">
        <v>520</v>
      </c>
      <c r="C94" s="437" t="s">
        <v>492</v>
      </c>
      <c r="D94" s="437" t="s">
        <v>493</v>
      </c>
      <c r="E94" s="437" t="s">
        <v>405</v>
      </c>
      <c r="F94" s="438">
        <v>60</v>
      </c>
      <c r="G94" s="438">
        <v>7770.5999999999995</v>
      </c>
      <c r="H94" s="451">
        <v>1</v>
      </c>
      <c r="I94" s="438"/>
      <c r="J94" s="438"/>
      <c r="K94" s="451">
        <v>0</v>
      </c>
      <c r="L94" s="438">
        <v>60</v>
      </c>
      <c r="M94" s="486">
        <v>7770.5999999999995</v>
      </c>
    </row>
    <row r="95" spans="1:13" ht="14.4" customHeight="1" x14ac:dyDescent="0.3">
      <c r="A95" s="447" t="s">
        <v>319</v>
      </c>
      <c r="B95" s="437" t="s">
        <v>520</v>
      </c>
      <c r="C95" s="437" t="s">
        <v>494</v>
      </c>
      <c r="D95" s="437" t="s">
        <v>495</v>
      </c>
      <c r="E95" s="437" t="s">
        <v>329</v>
      </c>
      <c r="F95" s="438"/>
      <c r="G95" s="438"/>
      <c r="H95" s="451">
        <v>0</v>
      </c>
      <c r="I95" s="438">
        <v>90</v>
      </c>
      <c r="J95" s="438">
        <v>9000</v>
      </c>
      <c r="K95" s="451">
        <v>1</v>
      </c>
      <c r="L95" s="438">
        <v>90</v>
      </c>
      <c r="M95" s="486">
        <v>9000</v>
      </c>
    </row>
    <row r="96" spans="1:13" ht="14.4" customHeight="1" thickBot="1" x14ac:dyDescent="0.35">
      <c r="A96" s="448" t="s">
        <v>319</v>
      </c>
      <c r="B96" s="440" t="s">
        <v>520</v>
      </c>
      <c r="C96" s="440" t="s">
        <v>496</v>
      </c>
      <c r="D96" s="440" t="s">
        <v>497</v>
      </c>
      <c r="E96" s="440" t="s">
        <v>397</v>
      </c>
      <c r="F96" s="441">
        <v>30</v>
      </c>
      <c r="G96" s="441">
        <v>1042.8</v>
      </c>
      <c r="H96" s="453">
        <v>1</v>
      </c>
      <c r="I96" s="441"/>
      <c r="J96" s="441"/>
      <c r="K96" s="453">
        <v>0</v>
      </c>
      <c r="L96" s="441">
        <v>30</v>
      </c>
      <c r="M96" s="487">
        <v>1042.8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3" t="s">
        <v>136</v>
      </c>
      <c r="B1" s="344"/>
      <c r="C1" s="344"/>
      <c r="D1" s="344"/>
      <c r="E1" s="344"/>
      <c r="F1" s="344"/>
      <c r="G1" s="315"/>
      <c r="H1" s="345"/>
      <c r="I1" s="345"/>
    </row>
    <row r="2" spans="1:10" ht="14.4" customHeight="1" thickBot="1" x14ac:dyDescent="0.35">
      <c r="A2" s="235" t="s">
        <v>260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38">
        <v>2014</v>
      </c>
      <c r="G3" s="339"/>
      <c r="H3" s="339"/>
      <c r="I3" s="340"/>
    </row>
    <row r="4" spans="1:10" ht="14.4" customHeight="1" thickBot="1" x14ac:dyDescent="0.35">
      <c r="A4" s="298" t="s">
        <v>0</v>
      </c>
      <c r="B4" s="299" t="s">
        <v>256</v>
      </c>
      <c r="C4" s="341" t="s">
        <v>72</v>
      </c>
      <c r="D4" s="342"/>
      <c r="E4" s="300"/>
      <c r="F4" s="295" t="s">
        <v>72</v>
      </c>
      <c r="G4" s="296" t="s">
        <v>73</v>
      </c>
      <c r="H4" s="296" t="s">
        <v>67</v>
      </c>
      <c r="I4" s="297" t="s">
        <v>74</v>
      </c>
    </row>
    <row r="5" spans="1:10" ht="14.4" customHeight="1" x14ac:dyDescent="0.3">
      <c r="A5" s="423" t="s">
        <v>309</v>
      </c>
      <c r="B5" s="424" t="s">
        <v>305</v>
      </c>
      <c r="C5" s="502" t="s">
        <v>308</v>
      </c>
      <c r="D5" s="502" t="s">
        <v>308</v>
      </c>
      <c r="E5" s="502"/>
      <c r="F5" s="502" t="s">
        <v>308</v>
      </c>
      <c r="G5" s="502" t="s">
        <v>308</v>
      </c>
      <c r="H5" s="502" t="s">
        <v>308</v>
      </c>
      <c r="I5" s="503" t="s">
        <v>308</v>
      </c>
      <c r="J5" s="425" t="s">
        <v>68</v>
      </c>
    </row>
    <row r="6" spans="1:10" ht="14.4" customHeight="1" x14ac:dyDescent="0.3">
      <c r="A6" s="423" t="s">
        <v>309</v>
      </c>
      <c r="B6" s="424" t="s">
        <v>270</v>
      </c>
      <c r="C6" s="502">
        <v>11.84253</v>
      </c>
      <c r="D6" s="502">
        <v>13.41173</v>
      </c>
      <c r="E6" s="502"/>
      <c r="F6" s="502">
        <v>21.391209999999997</v>
      </c>
      <c r="G6" s="502">
        <v>23.442229502671999</v>
      </c>
      <c r="H6" s="502">
        <v>-2.0510195026720019</v>
      </c>
      <c r="I6" s="503">
        <v>0.91250748985124375</v>
      </c>
      <c r="J6" s="425" t="s">
        <v>1</v>
      </c>
    </row>
    <row r="7" spans="1:10" ht="14.4" customHeight="1" x14ac:dyDescent="0.3">
      <c r="A7" s="423" t="s">
        <v>309</v>
      </c>
      <c r="B7" s="424" t="s">
        <v>271</v>
      </c>
      <c r="C7" s="502">
        <v>38.42302999999999</v>
      </c>
      <c r="D7" s="502">
        <v>211.76718</v>
      </c>
      <c r="E7" s="502"/>
      <c r="F7" s="502">
        <v>330.96188000000001</v>
      </c>
      <c r="G7" s="502">
        <v>316.76570576605297</v>
      </c>
      <c r="H7" s="502">
        <v>14.196174233947033</v>
      </c>
      <c r="I7" s="503">
        <v>1.0448160074639885</v>
      </c>
      <c r="J7" s="425" t="s">
        <v>1</v>
      </c>
    </row>
    <row r="8" spans="1:10" ht="14.4" customHeight="1" x14ac:dyDescent="0.3">
      <c r="A8" s="423" t="s">
        <v>309</v>
      </c>
      <c r="B8" s="424" t="s">
        <v>272</v>
      </c>
      <c r="C8" s="502">
        <v>5.6940999999999997</v>
      </c>
      <c r="D8" s="502">
        <v>34.310699999999997</v>
      </c>
      <c r="E8" s="502"/>
      <c r="F8" s="502">
        <v>51.295470000000009</v>
      </c>
      <c r="G8" s="502">
        <v>53.61159961728201</v>
      </c>
      <c r="H8" s="502">
        <v>-2.3161296172820016</v>
      </c>
      <c r="I8" s="503">
        <v>0.95679797592654958</v>
      </c>
      <c r="J8" s="425" t="s">
        <v>1</v>
      </c>
    </row>
    <row r="9" spans="1:10" ht="14.4" customHeight="1" x14ac:dyDescent="0.3">
      <c r="A9" s="423" t="s">
        <v>309</v>
      </c>
      <c r="B9" s="424" t="s">
        <v>273</v>
      </c>
      <c r="C9" s="502">
        <v>5.0343999999999998</v>
      </c>
      <c r="D9" s="502">
        <v>6.9478000000000009</v>
      </c>
      <c r="E9" s="502"/>
      <c r="F9" s="502">
        <v>15.418510000000001</v>
      </c>
      <c r="G9" s="502">
        <v>17.127162774807001</v>
      </c>
      <c r="H9" s="502">
        <v>-1.7086527748069997</v>
      </c>
      <c r="I9" s="503">
        <v>0.90023725486393336</v>
      </c>
      <c r="J9" s="425" t="s">
        <v>1</v>
      </c>
    </row>
    <row r="10" spans="1:10" ht="14.4" customHeight="1" x14ac:dyDescent="0.3">
      <c r="A10" s="423" t="s">
        <v>309</v>
      </c>
      <c r="B10" s="424" t="s">
        <v>274</v>
      </c>
      <c r="C10" s="502">
        <v>8.5906400000000005</v>
      </c>
      <c r="D10" s="502">
        <v>15.00497</v>
      </c>
      <c r="E10" s="502"/>
      <c r="F10" s="502">
        <v>14.1496</v>
      </c>
      <c r="G10" s="502">
        <v>15.217297548743002</v>
      </c>
      <c r="H10" s="502">
        <v>-1.067697548743002</v>
      </c>
      <c r="I10" s="503">
        <v>0.92983658594287022</v>
      </c>
      <c r="J10" s="425" t="s">
        <v>1</v>
      </c>
    </row>
    <row r="11" spans="1:10" ht="14.4" customHeight="1" x14ac:dyDescent="0.3">
      <c r="A11" s="423" t="s">
        <v>309</v>
      </c>
      <c r="B11" s="424" t="s">
        <v>275</v>
      </c>
      <c r="C11" s="502" t="s">
        <v>308</v>
      </c>
      <c r="D11" s="502">
        <v>13.64917</v>
      </c>
      <c r="E11" s="502"/>
      <c r="F11" s="502">
        <v>18.517040000000001</v>
      </c>
      <c r="G11" s="502">
        <v>18.649106401874</v>
      </c>
      <c r="H11" s="502">
        <v>-0.13206640187399898</v>
      </c>
      <c r="I11" s="503">
        <v>0.99291835227768721</v>
      </c>
      <c r="J11" s="425" t="s">
        <v>1</v>
      </c>
    </row>
    <row r="12" spans="1:10" ht="14.4" customHeight="1" x14ac:dyDescent="0.3">
      <c r="A12" s="423" t="s">
        <v>309</v>
      </c>
      <c r="B12" s="424" t="s">
        <v>312</v>
      </c>
      <c r="C12" s="502">
        <v>69.584699999999998</v>
      </c>
      <c r="D12" s="502">
        <v>295.09155000000004</v>
      </c>
      <c r="E12" s="502"/>
      <c r="F12" s="502">
        <v>451.73371000000009</v>
      </c>
      <c r="G12" s="502">
        <v>444.81310161143097</v>
      </c>
      <c r="H12" s="502">
        <v>6.9206083885691214</v>
      </c>
      <c r="I12" s="503">
        <v>1.0155584634613903</v>
      </c>
      <c r="J12" s="425" t="s">
        <v>310</v>
      </c>
    </row>
    <row r="14" spans="1:10" ht="14.4" customHeight="1" x14ac:dyDescent="0.3">
      <c r="A14" s="423" t="s">
        <v>309</v>
      </c>
      <c r="B14" s="424" t="s">
        <v>305</v>
      </c>
      <c r="C14" s="502" t="s">
        <v>308</v>
      </c>
      <c r="D14" s="502" t="s">
        <v>308</v>
      </c>
      <c r="E14" s="502"/>
      <c r="F14" s="502" t="s">
        <v>308</v>
      </c>
      <c r="G14" s="502" t="s">
        <v>308</v>
      </c>
      <c r="H14" s="502" t="s">
        <v>308</v>
      </c>
      <c r="I14" s="503" t="s">
        <v>308</v>
      </c>
      <c r="J14" s="425" t="s">
        <v>68</v>
      </c>
    </row>
    <row r="15" spans="1:10" ht="14.4" customHeight="1" x14ac:dyDescent="0.3">
      <c r="A15" s="423" t="s">
        <v>527</v>
      </c>
      <c r="B15" s="424" t="s">
        <v>528</v>
      </c>
      <c r="C15" s="502" t="s">
        <v>308</v>
      </c>
      <c r="D15" s="502" t="s">
        <v>308</v>
      </c>
      <c r="E15" s="502"/>
      <c r="F15" s="502" t="s">
        <v>308</v>
      </c>
      <c r="G15" s="502" t="s">
        <v>308</v>
      </c>
      <c r="H15" s="502" t="s">
        <v>308</v>
      </c>
      <c r="I15" s="503" t="s">
        <v>308</v>
      </c>
      <c r="J15" s="425" t="s">
        <v>0</v>
      </c>
    </row>
    <row r="16" spans="1:10" ht="14.4" customHeight="1" x14ac:dyDescent="0.3">
      <c r="A16" s="423" t="s">
        <v>527</v>
      </c>
      <c r="B16" s="424" t="s">
        <v>270</v>
      </c>
      <c r="C16" s="502">
        <v>11.84253</v>
      </c>
      <c r="D16" s="502">
        <v>13.41173</v>
      </c>
      <c r="E16" s="502"/>
      <c r="F16" s="502">
        <v>21.391209999999997</v>
      </c>
      <c r="G16" s="502">
        <v>23.442229502671999</v>
      </c>
      <c r="H16" s="502">
        <v>-2.0510195026720019</v>
      </c>
      <c r="I16" s="503">
        <v>0.91250748985124375</v>
      </c>
      <c r="J16" s="425" t="s">
        <v>1</v>
      </c>
    </row>
    <row r="17" spans="1:10" ht="14.4" customHeight="1" x14ac:dyDescent="0.3">
      <c r="A17" s="423" t="s">
        <v>527</v>
      </c>
      <c r="B17" s="424" t="s">
        <v>271</v>
      </c>
      <c r="C17" s="502">
        <v>38.42302999999999</v>
      </c>
      <c r="D17" s="502">
        <v>211.76718</v>
      </c>
      <c r="E17" s="502"/>
      <c r="F17" s="502">
        <v>330.96188000000001</v>
      </c>
      <c r="G17" s="502">
        <v>316.76570576605297</v>
      </c>
      <c r="H17" s="502">
        <v>14.196174233947033</v>
      </c>
      <c r="I17" s="503">
        <v>1.0448160074639885</v>
      </c>
      <c r="J17" s="425" t="s">
        <v>1</v>
      </c>
    </row>
    <row r="18" spans="1:10" ht="14.4" customHeight="1" x14ac:dyDescent="0.3">
      <c r="A18" s="423" t="s">
        <v>527</v>
      </c>
      <c r="B18" s="424" t="s">
        <v>272</v>
      </c>
      <c r="C18" s="502">
        <v>5.6940999999999997</v>
      </c>
      <c r="D18" s="502">
        <v>34.310699999999997</v>
      </c>
      <c r="E18" s="502"/>
      <c r="F18" s="502">
        <v>51.295470000000009</v>
      </c>
      <c r="G18" s="502">
        <v>53.61159961728201</v>
      </c>
      <c r="H18" s="502">
        <v>-2.3161296172820016</v>
      </c>
      <c r="I18" s="503">
        <v>0.95679797592654958</v>
      </c>
      <c r="J18" s="425" t="s">
        <v>1</v>
      </c>
    </row>
    <row r="19" spans="1:10" ht="14.4" customHeight="1" x14ac:dyDescent="0.3">
      <c r="A19" s="423" t="s">
        <v>527</v>
      </c>
      <c r="B19" s="424" t="s">
        <v>273</v>
      </c>
      <c r="C19" s="502">
        <v>5.0343999999999998</v>
      </c>
      <c r="D19" s="502">
        <v>6.9478000000000009</v>
      </c>
      <c r="E19" s="502"/>
      <c r="F19" s="502">
        <v>15.418510000000001</v>
      </c>
      <c r="G19" s="502">
        <v>17.127162774807001</v>
      </c>
      <c r="H19" s="502">
        <v>-1.7086527748069997</v>
      </c>
      <c r="I19" s="503">
        <v>0.90023725486393336</v>
      </c>
      <c r="J19" s="425" t="s">
        <v>1</v>
      </c>
    </row>
    <row r="20" spans="1:10" ht="14.4" customHeight="1" x14ac:dyDescent="0.3">
      <c r="A20" s="423" t="s">
        <v>527</v>
      </c>
      <c r="B20" s="424" t="s">
        <v>274</v>
      </c>
      <c r="C20" s="502">
        <v>8.5906400000000005</v>
      </c>
      <c r="D20" s="502">
        <v>15.00497</v>
      </c>
      <c r="E20" s="502"/>
      <c r="F20" s="502">
        <v>14.1496</v>
      </c>
      <c r="G20" s="502">
        <v>15.217297548743002</v>
      </c>
      <c r="H20" s="502">
        <v>-1.067697548743002</v>
      </c>
      <c r="I20" s="503">
        <v>0.92983658594287022</v>
      </c>
      <c r="J20" s="425" t="s">
        <v>1</v>
      </c>
    </row>
    <row r="21" spans="1:10" ht="14.4" customHeight="1" x14ac:dyDescent="0.3">
      <c r="A21" s="423" t="s">
        <v>527</v>
      </c>
      <c r="B21" s="424" t="s">
        <v>275</v>
      </c>
      <c r="C21" s="502" t="s">
        <v>308</v>
      </c>
      <c r="D21" s="502">
        <v>13.64917</v>
      </c>
      <c r="E21" s="502"/>
      <c r="F21" s="502">
        <v>18.517040000000001</v>
      </c>
      <c r="G21" s="502">
        <v>18.649106401874</v>
      </c>
      <c r="H21" s="502">
        <v>-0.13206640187399898</v>
      </c>
      <c r="I21" s="503">
        <v>0.99291835227768721</v>
      </c>
      <c r="J21" s="425" t="s">
        <v>1</v>
      </c>
    </row>
    <row r="22" spans="1:10" ht="14.4" customHeight="1" x14ac:dyDescent="0.3">
      <c r="A22" s="423" t="s">
        <v>527</v>
      </c>
      <c r="B22" s="424" t="s">
        <v>529</v>
      </c>
      <c r="C22" s="502">
        <v>69.584699999999998</v>
      </c>
      <c r="D22" s="502">
        <v>295.09155000000004</v>
      </c>
      <c r="E22" s="502"/>
      <c r="F22" s="502">
        <v>451.73371000000009</v>
      </c>
      <c r="G22" s="502">
        <v>444.81310161143097</v>
      </c>
      <c r="H22" s="502">
        <v>6.9206083885691214</v>
      </c>
      <c r="I22" s="503">
        <v>1.0155584634613903</v>
      </c>
      <c r="J22" s="425" t="s">
        <v>313</v>
      </c>
    </row>
    <row r="23" spans="1:10" ht="14.4" customHeight="1" x14ac:dyDescent="0.3">
      <c r="A23" s="423" t="s">
        <v>308</v>
      </c>
      <c r="B23" s="424" t="s">
        <v>308</v>
      </c>
      <c r="C23" s="502" t="s">
        <v>308</v>
      </c>
      <c r="D23" s="502" t="s">
        <v>308</v>
      </c>
      <c r="E23" s="502"/>
      <c r="F23" s="502" t="s">
        <v>308</v>
      </c>
      <c r="G23" s="502" t="s">
        <v>308</v>
      </c>
      <c r="H23" s="502" t="s">
        <v>308</v>
      </c>
      <c r="I23" s="503" t="s">
        <v>308</v>
      </c>
      <c r="J23" s="425" t="s">
        <v>314</v>
      </c>
    </row>
    <row r="24" spans="1:10" ht="14.4" customHeight="1" x14ac:dyDescent="0.3">
      <c r="A24" s="423" t="s">
        <v>309</v>
      </c>
      <c r="B24" s="424" t="s">
        <v>312</v>
      </c>
      <c r="C24" s="502">
        <v>69.584699999999998</v>
      </c>
      <c r="D24" s="502">
        <v>295.09155000000004</v>
      </c>
      <c r="E24" s="502"/>
      <c r="F24" s="502">
        <v>451.73371000000009</v>
      </c>
      <c r="G24" s="502">
        <v>444.81310161143097</v>
      </c>
      <c r="H24" s="502">
        <v>6.9206083885691214</v>
      </c>
      <c r="I24" s="503">
        <v>1.0155584634613903</v>
      </c>
      <c r="J24" s="425" t="s">
        <v>310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48" t="s">
        <v>642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4.4" customHeight="1" thickBot="1" x14ac:dyDescent="0.35">
      <c r="A2" s="235" t="s">
        <v>260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46"/>
      <c r="D3" s="347"/>
      <c r="E3" s="347"/>
      <c r="F3" s="347"/>
      <c r="G3" s="347"/>
      <c r="H3" s="142" t="s">
        <v>126</v>
      </c>
      <c r="I3" s="98">
        <f>IF(J3&lt;&gt;0,K3/J3,0)</f>
        <v>14.622287050359711</v>
      </c>
      <c r="J3" s="98">
        <f>SUBTOTAL(9,J5:J1048576)</f>
        <v>27800</v>
      </c>
      <c r="K3" s="99">
        <f>SUBTOTAL(9,K5:K1048576)</f>
        <v>406499.57999999996</v>
      </c>
    </row>
    <row r="4" spans="1:11" s="209" customFormat="1" ht="14.4" customHeight="1" thickBot="1" x14ac:dyDescent="0.35">
      <c r="A4" s="504" t="s">
        <v>4</v>
      </c>
      <c r="B4" s="505" t="s">
        <v>5</v>
      </c>
      <c r="C4" s="505" t="s">
        <v>0</v>
      </c>
      <c r="D4" s="505" t="s">
        <v>6</v>
      </c>
      <c r="E4" s="505" t="s">
        <v>7</v>
      </c>
      <c r="F4" s="505" t="s">
        <v>1</v>
      </c>
      <c r="G4" s="505" t="s">
        <v>70</v>
      </c>
      <c r="H4" s="506" t="s">
        <v>10</v>
      </c>
      <c r="I4" s="507" t="s">
        <v>139</v>
      </c>
      <c r="J4" s="507" t="s">
        <v>12</v>
      </c>
      <c r="K4" s="508" t="s">
        <v>153</v>
      </c>
    </row>
    <row r="5" spans="1:11" ht="14.4" customHeight="1" x14ac:dyDescent="0.3">
      <c r="A5" s="466" t="s">
        <v>309</v>
      </c>
      <c r="B5" s="467" t="s">
        <v>305</v>
      </c>
      <c r="C5" s="470" t="s">
        <v>527</v>
      </c>
      <c r="D5" s="509" t="s">
        <v>305</v>
      </c>
      <c r="E5" s="470" t="s">
        <v>630</v>
      </c>
      <c r="F5" s="509" t="s">
        <v>631</v>
      </c>
      <c r="G5" s="470" t="s">
        <v>530</v>
      </c>
      <c r="H5" s="470" t="s">
        <v>531</v>
      </c>
      <c r="I5" s="116">
        <v>42.444000000000003</v>
      </c>
      <c r="J5" s="116">
        <v>25</v>
      </c>
      <c r="K5" s="485">
        <v>1061.06</v>
      </c>
    </row>
    <row r="6" spans="1:11" ht="14.4" customHeight="1" x14ac:dyDescent="0.3">
      <c r="A6" s="447" t="s">
        <v>309</v>
      </c>
      <c r="B6" s="437" t="s">
        <v>305</v>
      </c>
      <c r="C6" s="475" t="s">
        <v>527</v>
      </c>
      <c r="D6" s="510" t="s">
        <v>305</v>
      </c>
      <c r="E6" s="475" t="s">
        <v>630</v>
      </c>
      <c r="F6" s="510" t="s">
        <v>631</v>
      </c>
      <c r="G6" s="475" t="s">
        <v>532</v>
      </c>
      <c r="H6" s="475" t="s">
        <v>533</v>
      </c>
      <c r="I6" s="438">
        <v>0.39666666666666667</v>
      </c>
      <c r="J6" s="438">
        <v>100</v>
      </c>
      <c r="K6" s="486">
        <v>39</v>
      </c>
    </row>
    <row r="7" spans="1:11" ht="14.4" customHeight="1" x14ac:dyDescent="0.3">
      <c r="A7" s="447" t="s">
        <v>309</v>
      </c>
      <c r="B7" s="437" t="s">
        <v>305</v>
      </c>
      <c r="C7" s="475" t="s">
        <v>527</v>
      </c>
      <c r="D7" s="510" t="s">
        <v>305</v>
      </c>
      <c r="E7" s="475" t="s">
        <v>630</v>
      </c>
      <c r="F7" s="510" t="s">
        <v>631</v>
      </c>
      <c r="G7" s="475" t="s">
        <v>534</v>
      </c>
      <c r="H7" s="475" t="s">
        <v>535</v>
      </c>
      <c r="I7" s="438">
        <v>4.6100000000000003</v>
      </c>
      <c r="J7" s="438">
        <v>100</v>
      </c>
      <c r="K7" s="486">
        <v>461</v>
      </c>
    </row>
    <row r="8" spans="1:11" ht="14.4" customHeight="1" x14ac:dyDescent="0.3">
      <c r="A8" s="447" t="s">
        <v>309</v>
      </c>
      <c r="B8" s="437" t="s">
        <v>305</v>
      </c>
      <c r="C8" s="475" t="s">
        <v>527</v>
      </c>
      <c r="D8" s="510" t="s">
        <v>305</v>
      </c>
      <c r="E8" s="475" t="s">
        <v>630</v>
      </c>
      <c r="F8" s="510" t="s">
        <v>631</v>
      </c>
      <c r="G8" s="475" t="s">
        <v>536</v>
      </c>
      <c r="H8" s="475" t="s">
        <v>537</v>
      </c>
      <c r="I8" s="438">
        <v>0.87800000000000011</v>
      </c>
      <c r="J8" s="438">
        <v>1340</v>
      </c>
      <c r="K8" s="486">
        <v>1175.2</v>
      </c>
    </row>
    <row r="9" spans="1:11" ht="14.4" customHeight="1" x14ac:dyDescent="0.3">
      <c r="A9" s="447" t="s">
        <v>309</v>
      </c>
      <c r="B9" s="437" t="s">
        <v>305</v>
      </c>
      <c r="C9" s="475" t="s">
        <v>527</v>
      </c>
      <c r="D9" s="510" t="s">
        <v>305</v>
      </c>
      <c r="E9" s="475" t="s">
        <v>630</v>
      </c>
      <c r="F9" s="510" t="s">
        <v>631</v>
      </c>
      <c r="G9" s="475" t="s">
        <v>538</v>
      </c>
      <c r="H9" s="475" t="s">
        <v>539</v>
      </c>
      <c r="I9" s="438">
        <v>0.59799999999999998</v>
      </c>
      <c r="J9" s="438">
        <v>2200</v>
      </c>
      <c r="K9" s="486">
        <v>1313</v>
      </c>
    </row>
    <row r="10" spans="1:11" ht="14.4" customHeight="1" x14ac:dyDescent="0.3">
      <c r="A10" s="447" t="s">
        <v>309</v>
      </c>
      <c r="B10" s="437" t="s">
        <v>305</v>
      </c>
      <c r="C10" s="475" t="s">
        <v>527</v>
      </c>
      <c r="D10" s="510" t="s">
        <v>305</v>
      </c>
      <c r="E10" s="475" t="s">
        <v>630</v>
      </c>
      <c r="F10" s="510" t="s">
        <v>631</v>
      </c>
      <c r="G10" s="475" t="s">
        <v>540</v>
      </c>
      <c r="H10" s="475" t="s">
        <v>541</v>
      </c>
      <c r="I10" s="438">
        <v>8.58</v>
      </c>
      <c r="J10" s="438">
        <v>6</v>
      </c>
      <c r="K10" s="486">
        <v>51.48</v>
      </c>
    </row>
    <row r="11" spans="1:11" ht="14.4" customHeight="1" x14ac:dyDescent="0.3">
      <c r="A11" s="447" t="s">
        <v>309</v>
      </c>
      <c r="B11" s="437" t="s">
        <v>305</v>
      </c>
      <c r="C11" s="475" t="s">
        <v>527</v>
      </c>
      <c r="D11" s="510" t="s">
        <v>305</v>
      </c>
      <c r="E11" s="475" t="s">
        <v>630</v>
      </c>
      <c r="F11" s="510" t="s">
        <v>631</v>
      </c>
      <c r="G11" s="475" t="s">
        <v>542</v>
      </c>
      <c r="H11" s="475" t="s">
        <v>543</v>
      </c>
      <c r="I11" s="438">
        <v>159.55000000000001</v>
      </c>
      <c r="J11" s="438">
        <v>5</v>
      </c>
      <c r="K11" s="486">
        <v>797.76</v>
      </c>
    </row>
    <row r="12" spans="1:11" ht="14.4" customHeight="1" x14ac:dyDescent="0.3">
      <c r="A12" s="447" t="s">
        <v>309</v>
      </c>
      <c r="B12" s="437" t="s">
        <v>305</v>
      </c>
      <c r="C12" s="475" t="s">
        <v>527</v>
      </c>
      <c r="D12" s="510" t="s">
        <v>305</v>
      </c>
      <c r="E12" s="475" t="s">
        <v>630</v>
      </c>
      <c r="F12" s="510" t="s">
        <v>631</v>
      </c>
      <c r="G12" s="475" t="s">
        <v>544</v>
      </c>
      <c r="H12" s="475" t="s">
        <v>545</v>
      </c>
      <c r="I12" s="438">
        <v>3.01</v>
      </c>
      <c r="J12" s="438">
        <v>120</v>
      </c>
      <c r="K12" s="486">
        <v>361.5</v>
      </c>
    </row>
    <row r="13" spans="1:11" ht="14.4" customHeight="1" x14ac:dyDescent="0.3">
      <c r="A13" s="447" t="s">
        <v>309</v>
      </c>
      <c r="B13" s="437" t="s">
        <v>305</v>
      </c>
      <c r="C13" s="475" t="s">
        <v>527</v>
      </c>
      <c r="D13" s="510" t="s">
        <v>305</v>
      </c>
      <c r="E13" s="475" t="s">
        <v>630</v>
      </c>
      <c r="F13" s="510" t="s">
        <v>631</v>
      </c>
      <c r="G13" s="475" t="s">
        <v>546</v>
      </c>
      <c r="H13" s="475" t="s">
        <v>547</v>
      </c>
      <c r="I13" s="438">
        <v>1.1758333333333331</v>
      </c>
      <c r="J13" s="438">
        <v>2930</v>
      </c>
      <c r="K13" s="486">
        <v>3447.98</v>
      </c>
    </row>
    <row r="14" spans="1:11" ht="14.4" customHeight="1" x14ac:dyDescent="0.3">
      <c r="A14" s="447" t="s">
        <v>309</v>
      </c>
      <c r="B14" s="437" t="s">
        <v>305</v>
      </c>
      <c r="C14" s="475" t="s">
        <v>527</v>
      </c>
      <c r="D14" s="510" t="s">
        <v>305</v>
      </c>
      <c r="E14" s="475" t="s">
        <v>630</v>
      </c>
      <c r="F14" s="510" t="s">
        <v>631</v>
      </c>
      <c r="G14" s="475" t="s">
        <v>546</v>
      </c>
      <c r="H14" s="475" t="s">
        <v>548</v>
      </c>
      <c r="I14" s="438">
        <v>1.1749999999999998</v>
      </c>
      <c r="J14" s="438">
        <v>1800</v>
      </c>
      <c r="K14" s="486">
        <v>2113</v>
      </c>
    </row>
    <row r="15" spans="1:11" ht="14.4" customHeight="1" x14ac:dyDescent="0.3">
      <c r="A15" s="447" t="s">
        <v>309</v>
      </c>
      <c r="B15" s="437" t="s">
        <v>305</v>
      </c>
      <c r="C15" s="475" t="s">
        <v>527</v>
      </c>
      <c r="D15" s="510" t="s">
        <v>305</v>
      </c>
      <c r="E15" s="475" t="s">
        <v>630</v>
      </c>
      <c r="F15" s="510" t="s">
        <v>631</v>
      </c>
      <c r="G15" s="475" t="s">
        <v>549</v>
      </c>
      <c r="H15" s="475" t="s">
        <v>550</v>
      </c>
      <c r="I15" s="438">
        <v>7.5</v>
      </c>
      <c r="J15" s="438">
        <v>2</v>
      </c>
      <c r="K15" s="486">
        <v>15</v>
      </c>
    </row>
    <row r="16" spans="1:11" ht="14.4" customHeight="1" x14ac:dyDescent="0.3">
      <c r="A16" s="447" t="s">
        <v>309</v>
      </c>
      <c r="B16" s="437" t="s">
        <v>305</v>
      </c>
      <c r="C16" s="475" t="s">
        <v>527</v>
      </c>
      <c r="D16" s="510" t="s">
        <v>305</v>
      </c>
      <c r="E16" s="475" t="s">
        <v>630</v>
      </c>
      <c r="F16" s="510" t="s">
        <v>631</v>
      </c>
      <c r="G16" s="475" t="s">
        <v>551</v>
      </c>
      <c r="H16" s="475" t="s">
        <v>552</v>
      </c>
      <c r="I16" s="438">
        <v>0.85600000000000009</v>
      </c>
      <c r="J16" s="438">
        <v>381</v>
      </c>
      <c r="K16" s="486">
        <v>326.36</v>
      </c>
    </row>
    <row r="17" spans="1:11" ht="14.4" customHeight="1" x14ac:dyDescent="0.3">
      <c r="A17" s="447" t="s">
        <v>309</v>
      </c>
      <c r="B17" s="437" t="s">
        <v>305</v>
      </c>
      <c r="C17" s="475" t="s">
        <v>527</v>
      </c>
      <c r="D17" s="510" t="s">
        <v>305</v>
      </c>
      <c r="E17" s="475" t="s">
        <v>630</v>
      </c>
      <c r="F17" s="510" t="s">
        <v>631</v>
      </c>
      <c r="G17" s="475" t="s">
        <v>551</v>
      </c>
      <c r="H17" s="475" t="s">
        <v>553</v>
      </c>
      <c r="I17" s="438">
        <v>0.85499999999999998</v>
      </c>
      <c r="J17" s="438">
        <v>200</v>
      </c>
      <c r="K17" s="486">
        <v>171</v>
      </c>
    </row>
    <row r="18" spans="1:11" ht="14.4" customHeight="1" x14ac:dyDescent="0.3">
      <c r="A18" s="447" t="s">
        <v>309</v>
      </c>
      <c r="B18" s="437" t="s">
        <v>305</v>
      </c>
      <c r="C18" s="475" t="s">
        <v>527</v>
      </c>
      <c r="D18" s="510" t="s">
        <v>305</v>
      </c>
      <c r="E18" s="475" t="s">
        <v>630</v>
      </c>
      <c r="F18" s="510" t="s">
        <v>631</v>
      </c>
      <c r="G18" s="475" t="s">
        <v>554</v>
      </c>
      <c r="H18" s="475" t="s">
        <v>555</v>
      </c>
      <c r="I18" s="438">
        <v>1.5175000000000001</v>
      </c>
      <c r="J18" s="438">
        <v>320</v>
      </c>
      <c r="K18" s="486">
        <v>485.4</v>
      </c>
    </row>
    <row r="19" spans="1:11" ht="14.4" customHeight="1" x14ac:dyDescent="0.3">
      <c r="A19" s="447" t="s">
        <v>309</v>
      </c>
      <c r="B19" s="437" t="s">
        <v>305</v>
      </c>
      <c r="C19" s="475" t="s">
        <v>527</v>
      </c>
      <c r="D19" s="510" t="s">
        <v>305</v>
      </c>
      <c r="E19" s="475" t="s">
        <v>630</v>
      </c>
      <c r="F19" s="510" t="s">
        <v>631</v>
      </c>
      <c r="G19" s="475" t="s">
        <v>556</v>
      </c>
      <c r="H19" s="475" t="s">
        <v>557</v>
      </c>
      <c r="I19" s="438">
        <v>42.58</v>
      </c>
      <c r="J19" s="438">
        <v>50</v>
      </c>
      <c r="K19" s="486">
        <v>2129.21</v>
      </c>
    </row>
    <row r="20" spans="1:11" ht="14.4" customHeight="1" x14ac:dyDescent="0.3">
      <c r="A20" s="447" t="s">
        <v>309</v>
      </c>
      <c r="B20" s="437" t="s">
        <v>305</v>
      </c>
      <c r="C20" s="475" t="s">
        <v>527</v>
      </c>
      <c r="D20" s="510" t="s">
        <v>305</v>
      </c>
      <c r="E20" s="475" t="s">
        <v>630</v>
      </c>
      <c r="F20" s="510" t="s">
        <v>631</v>
      </c>
      <c r="G20" s="475" t="s">
        <v>556</v>
      </c>
      <c r="H20" s="475" t="s">
        <v>558</v>
      </c>
      <c r="I20" s="438">
        <v>42.58</v>
      </c>
      <c r="J20" s="438">
        <v>50</v>
      </c>
      <c r="K20" s="486">
        <v>2129.23</v>
      </c>
    </row>
    <row r="21" spans="1:11" ht="14.4" customHeight="1" x14ac:dyDescent="0.3">
      <c r="A21" s="447" t="s">
        <v>309</v>
      </c>
      <c r="B21" s="437" t="s">
        <v>305</v>
      </c>
      <c r="C21" s="475" t="s">
        <v>527</v>
      </c>
      <c r="D21" s="510" t="s">
        <v>305</v>
      </c>
      <c r="E21" s="475" t="s">
        <v>630</v>
      </c>
      <c r="F21" s="510" t="s">
        <v>631</v>
      </c>
      <c r="G21" s="475" t="s">
        <v>559</v>
      </c>
      <c r="H21" s="475" t="s">
        <v>560</v>
      </c>
      <c r="I21" s="438">
        <v>8.6300000000000008</v>
      </c>
      <c r="J21" s="438">
        <v>100</v>
      </c>
      <c r="K21" s="486">
        <v>862.5</v>
      </c>
    </row>
    <row r="22" spans="1:11" ht="14.4" customHeight="1" x14ac:dyDescent="0.3">
      <c r="A22" s="447" t="s">
        <v>309</v>
      </c>
      <c r="B22" s="437" t="s">
        <v>305</v>
      </c>
      <c r="C22" s="475" t="s">
        <v>527</v>
      </c>
      <c r="D22" s="510" t="s">
        <v>305</v>
      </c>
      <c r="E22" s="475" t="s">
        <v>630</v>
      </c>
      <c r="F22" s="510" t="s">
        <v>631</v>
      </c>
      <c r="G22" s="475" t="s">
        <v>561</v>
      </c>
      <c r="H22" s="475" t="s">
        <v>562</v>
      </c>
      <c r="I22" s="438">
        <v>510.12</v>
      </c>
      <c r="J22" s="438">
        <v>3</v>
      </c>
      <c r="K22" s="486">
        <v>1530.35</v>
      </c>
    </row>
    <row r="23" spans="1:11" ht="14.4" customHeight="1" x14ac:dyDescent="0.3">
      <c r="A23" s="447" t="s">
        <v>309</v>
      </c>
      <c r="B23" s="437" t="s">
        <v>305</v>
      </c>
      <c r="C23" s="475" t="s">
        <v>527</v>
      </c>
      <c r="D23" s="510" t="s">
        <v>305</v>
      </c>
      <c r="E23" s="475" t="s">
        <v>630</v>
      </c>
      <c r="F23" s="510" t="s">
        <v>631</v>
      </c>
      <c r="G23" s="475" t="s">
        <v>563</v>
      </c>
      <c r="H23" s="475" t="s">
        <v>564</v>
      </c>
      <c r="I23" s="438">
        <v>0.39</v>
      </c>
      <c r="J23" s="438">
        <v>600</v>
      </c>
      <c r="K23" s="486">
        <v>234</v>
      </c>
    </row>
    <row r="24" spans="1:11" ht="14.4" customHeight="1" x14ac:dyDescent="0.3">
      <c r="A24" s="447" t="s">
        <v>309</v>
      </c>
      <c r="B24" s="437" t="s">
        <v>305</v>
      </c>
      <c r="C24" s="475" t="s">
        <v>527</v>
      </c>
      <c r="D24" s="510" t="s">
        <v>305</v>
      </c>
      <c r="E24" s="475" t="s">
        <v>632</v>
      </c>
      <c r="F24" s="510" t="s">
        <v>633</v>
      </c>
      <c r="G24" s="475" t="s">
        <v>565</v>
      </c>
      <c r="H24" s="475" t="s">
        <v>566</v>
      </c>
      <c r="I24" s="438">
        <v>5.21</v>
      </c>
      <c r="J24" s="438">
        <v>30</v>
      </c>
      <c r="K24" s="486">
        <v>156.30000000000001</v>
      </c>
    </row>
    <row r="25" spans="1:11" ht="14.4" customHeight="1" x14ac:dyDescent="0.3">
      <c r="A25" s="447" t="s">
        <v>309</v>
      </c>
      <c r="B25" s="437" t="s">
        <v>305</v>
      </c>
      <c r="C25" s="475" t="s">
        <v>527</v>
      </c>
      <c r="D25" s="510" t="s">
        <v>305</v>
      </c>
      <c r="E25" s="475" t="s">
        <v>632</v>
      </c>
      <c r="F25" s="510" t="s">
        <v>633</v>
      </c>
      <c r="G25" s="475" t="s">
        <v>567</v>
      </c>
      <c r="H25" s="475" t="s">
        <v>568</v>
      </c>
      <c r="I25" s="438">
        <v>3.13</v>
      </c>
      <c r="J25" s="438">
        <v>40</v>
      </c>
      <c r="K25" s="486">
        <v>125.2</v>
      </c>
    </row>
    <row r="26" spans="1:11" ht="14.4" customHeight="1" x14ac:dyDescent="0.3">
      <c r="A26" s="447" t="s">
        <v>309</v>
      </c>
      <c r="B26" s="437" t="s">
        <v>305</v>
      </c>
      <c r="C26" s="475" t="s">
        <v>527</v>
      </c>
      <c r="D26" s="510" t="s">
        <v>305</v>
      </c>
      <c r="E26" s="475" t="s">
        <v>632</v>
      </c>
      <c r="F26" s="510" t="s">
        <v>633</v>
      </c>
      <c r="G26" s="475" t="s">
        <v>569</v>
      </c>
      <c r="H26" s="475" t="s">
        <v>570</v>
      </c>
      <c r="I26" s="438">
        <v>11.146666666666667</v>
      </c>
      <c r="J26" s="438">
        <v>250</v>
      </c>
      <c r="K26" s="486">
        <v>2787</v>
      </c>
    </row>
    <row r="27" spans="1:11" ht="14.4" customHeight="1" x14ac:dyDescent="0.3">
      <c r="A27" s="447" t="s">
        <v>309</v>
      </c>
      <c r="B27" s="437" t="s">
        <v>305</v>
      </c>
      <c r="C27" s="475" t="s">
        <v>527</v>
      </c>
      <c r="D27" s="510" t="s">
        <v>305</v>
      </c>
      <c r="E27" s="475" t="s">
        <v>632</v>
      </c>
      <c r="F27" s="510" t="s">
        <v>633</v>
      </c>
      <c r="G27" s="475" t="s">
        <v>571</v>
      </c>
      <c r="H27" s="475" t="s">
        <v>572</v>
      </c>
      <c r="I27" s="438">
        <v>1.0338888888888889</v>
      </c>
      <c r="J27" s="438">
        <v>3980</v>
      </c>
      <c r="K27" s="486">
        <v>4122.5</v>
      </c>
    </row>
    <row r="28" spans="1:11" ht="14.4" customHeight="1" x14ac:dyDescent="0.3">
      <c r="A28" s="447" t="s">
        <v>309</v>
      </c>
      <c r="B28" s="437" t="s">
        <v>305</v>
      </c>
      <c r="C28" s="475" t="s">
        <v>527</v>
      </c>
      <c r="D28" s="510" t="s">
        <v>305</v>
      </c>
      <c r="E28" s="475" t="s">
        <v>632</v>
      </c>
      <c r="F28" s="510" t="s">
        <v>633</v>
      </c>
      <c r="G28" s="475" t="s">
        <v>573</v>
      </c>
      <c r="H28" s="475" t="s">
        <v>574</v>
      </c>
      <c r="I28" s="438">
        <v>1.5591304347826089</v>
      </c>
      <c r="J28" s="438">
        <v>2270</v>
      </c>
      <c r="K28" s="486">
        <v>3600.1000000000004</v>
      </c>
    </row>
    <row r="29" spans="1:11" ht="14.4" customHeight="1" x14ac:dyDescent="0.3">
      <c r="A29" s="447" t="s">
        <v>309</v>
      </c>
      <c r="B29" s="437" t="s">
        <v>305</v>
      </c>
      <c r="C29" s="475" t="s">
        <v>527</v>
      </c>
      <c r="D29" s="510" t="s">
        <v>305</v>
      </c>
      <c r="E29" s="475" t="s">
        <v>632</v>
      </c>
      <c r="F29" s="510" t="s">
        <v>633</v>
      </c>
      <c r="G29" s="475" t="s">
        <v>575</v>
      </c>
      <c r="H29" s="475" t="s">
        <v>576</v>
      </c>
      <c r="I29" s="438">
        <v>0.64749999999999996</v>
      </c>
      <c r="J29" s="438">
        <v>550</v>
      </c>
      <c r="K29" s="486">
        <v>359.5</v>
      </c>
    </row>
    <row r="30" spans="1:11" ht="14.4" customHeight="1" x14ac:dyDescent="0.3">
      <c r="A30" s="447" t="s">
        <v>309</v>
      </c>
      <c r="B30" s="437" t="s">
        <v>305</v>
      </c>
      <c r="C30" s="475" t="s">
        <v>527</v>
      </c>
      <c r="D30" s="510" t="s">
        <v>305</v>
      </c>
      <c r="E30" s="475" t="s">
        <v>632</v>
      </c>
      <c r="F30" s="510" t="s">
        <v>633</v>
      </c>
      <c r="G30" s="475" t="s">
        <v>577</v>
      </c>
      <c r="H30" s="475" t="s">
        <v>578</v>
      </c>
      <c r="I30" s="438">
        <v>2.6324999999999998</v>
      </c>
      <c r="J30" s="438">
        <v>60</v>
      </c>
      <c r="K30" s="486">
        <v>157.9</v>
      </c>
    </row>
    <row r="31" spans="1:11" ht="14.4" customHeight="1" x14ac:dyDescent="0.3">
      <c r="A31" s="447" t="s">
        <v>309</v>
      </c>
      <c r="B31" s="437" t="s">
        <v>305</v>
      </c>
      <c r="C31" s="475" t="s">
        <v>527</v>
      </c>
      <c r="D31" s="510" t="s">
        <v>305</v>
      </c>
      <c r="E31" s="475" t="s">
        <v>632</v>
      </c>
      <c r="F31" s="510" t="s">
        <v>633</v>
      </c>
      <c r="G31" s="475" t="s">
        <v>579</v>
      </c>
      <c r="H31" s="475" t="s">
        <v>580</v>
      </c>
      <c r="I31" s="438">
        <v>5.1313043478260854</v>
      </c>
      <c r="J31" s="438">
        <v>1150</v>
      </c>
      <c r="K31" s="486">
        <v>5900.3999999999987</v>
      </c>
    </row>
    <row r="32" spans="1:11" ht="14.4" customHeight="1" x14ac:dyDescent="0.3">
      <c r="A32" s="447" t="s">
        <v>309</v>
      </c>
      <c r="B32" s="437" t="s">
        <v>305</v>
      </c>
      <c r="C32" s="475" t="s">
        <v>527</v>
      </c>
      <c r="D32" s="510" t="s">
        <v>305</v>
      </c>
      <c r="E32" s="475" t="s">
        <v>632</v>
      </c>
      <c r="F32" s="510" t="s">
        <v>633</v>
      </c>
      <c r="G32" s="475" t="s">
        <v>581</v>
      </c>
      <c r="H32" s="475" t="s">
        <v>582</v>
      </c>
      <c r="I32" s="438">
        <v>7.9489999999999998</v>
      </c>
      <c r="J32" s="438">
        <v>1075</v>
      </c>
      <c r="K32" s="486">
        <v>8545.3499999999985</v>
      </c>
    </row>
    <row r="33" spans="1:11" ht="14.4" customHeight="1" x14ac:dyDescent="0.3">
      <c r="A33" s="447" t="s">
        <v>309</v>
      </c>
      <c r="B33" s="437" t="s">
        <v>305</v>
      </c>
      <c r="C33" s="475" t="s">
        <v>527</v>
      </c>
      <c r="D33" s="510" t="s">
        <v>305</v>
      </c>
      <c r="E33" s="475" t="s">
        <v>632</v>
      </c>
      <c r="F33" s="510" t="s">
        <v>633</v>
      </c>
      <c r="G33" s="475" t="s">
        <v>583</v>
      </c>
      <c r="H33" s="475" t="s">
        <v>584</v>
      </c>
      <c r="I33" s="438">
        <v>12.101428571428571</v>
      </c>
      <c r="J33" s="438">
        <v>16</v>
      </c>
      <c r="K33" s="486">
        <v>193.61999999999998</v>
      </c>
    </row>
    <row r="34" spans="1:11" ht="14.4" customHeight="1" x14ac:dyDescent="0.3">
      <c r="A34" s="447" t="s">
        <v>309</v>
      </c>
      <c r="B34" s="437" t="s">
        <v>305</v>
      </c>
      <c r="C34" s="475" t="s">
        <v>527</v>
      </c>
      <c r="D34" s="510" t="s">
        <v>305</v>
      </c>
      <c r="E34" s="475" t="s">
        <v>632</v>
      </c>
      <c r="F34" s="510" t="s">
        <v>633</v>
      </c>
      <c r="G34" s="475" t="s">
        <v>585</v>
      </c>
      <c r="H34" s="475" t="s">
        <v>586</v>
      </c>
      <c r="I34" s="438">
        <v>1.9333333333333333</v>
      </c>
      <c r="J34" s="438">
        <v>200</v>
      </c>
      <c r="K34" s="486">
        <v>386.5</v>
      </c>
    </row>
    <row r="35" spans="1:11" ht="14.4" customHeight="1" x14ac:dyDescent="0.3">
      <c r="A35" s="447" t="s">
        <v>309</v>
      </c>
      <c r="B35" s="437" t="s">
        <v>305</v>
      </c>
      <c r="C35" s="475" t="s">
        <v>527</v>
      </c>
      <c r="D35" s="510" t="s">
        <v>305</v>
      </c>
      <c r="E35" s="475" t="s">
        <v>632</v>
      </c>
      <c r="F35" s="510" t="s">
        <v>633</v>
      </c>
      <c r="G35" s="475" t="s">
        <v>585</v>
      </c>
      <c r="H35" s="475" t="s">
        <v>587</v>
      </c>
      <c r="I35" s="438">
        <v>1.9374999999999998</v>
      </c>
      <c r="J35" s="438">
        <v>570</v>
      </c>
      <c r="K35" s="486">
        <v>1104.9000000000001</v>
      </c>
    </row>
    <row r="36" spans="1:11" ht="14.4" customHeight="1" x14ac:dyDescent="0.3">
      <c r="A36" s="447" t="s">
        <v>309</v>
      </c>
      <c r="B36" s="437" t="s">
        <v>305</v>
      </c>
      <c r="C36" s="475" t="s">
        <v>527</v>
      </c>
      <c r="D36" s="510" t="s">
        <v>305</v>
      </c>
      <c r="E36" s="475" t="s">
        <v>632</v>
      </c>
      <c r="F36" s="510" t="s">
        <v>633</v>
      </c>
      <c r="G36" s="475" t="s">
        <v>588</v>
      </c>
      <c r="H36" s="475" t="s">
        <v>589</v>
      </c>
      <c r="I36" s="438">
        <v>194.304</v>
      </c>
      <c r="J36" s="438">
        <v>180</v>
      </c>
      <c r="K36" s="486">
        <v>34974.9</v>
      </c>
    </row>
    <row r="37" spans="1:11" ht="14.4" customHeight="1" x14ac:dyDescent="0.3">
      <c r="A37" s="447" t="s">
        <v>309</v>
      </c>
      <c r="B37" s="437" t="s">
        <v>305</v>
      </c>
      <c r="C37" s="475" t="s">
        <v>527</v>
      </c>
      <c r="D37" s="510" t="s">
        <v>305</v>
      </c>
      <c r="E37" s="475" t="s">
        <v>632</v>
      </c>
      <c r="F37" s="510" t="s">
        <v>633</v>
      </c>
      <c r="G37" s="475" t="s">
        <v>588</v>
      </c>
      <c r="H37" s="475" t="s">
        <v>590</v>
      </c>
      <c r="I37" s="438">
        <v>198.54918918918932</v>
      </c>
      <c r="J37" s="438">
        <v>1145</v>
      </c>
      <c r="K37" s="486">
        <v>227256.56</v>
      </c>
    </row>
    <row r="38" spans="1:11" ht="14.4" customHeight="1" x14ac:dyDescent="0.3">
      <c r="A38" s="447" t="s">
        <v>309</v>
      </c>
      <c r="B38" s="437" t="s">
        <v>305</v>
      </c>
      <c r="C38" s="475" t="s">
        <v>527</v>
      </c>
      <c r="D38" s="510" t="s">
        <v>305</v>
      </c>
      <c r="E38" s="475" t="s">
        <v>632</v>
      </c>
      <c r="F38" s="510" t="s">
        <v>633</v>
      </c>
      <c r="G38" s="475" t="s">
        <v>591</v>
      </c>
      <c r="H38" s="475" t="s">
        <v>592</v>
      </c>
      <c r="I38" s="438">
        <v>0.47249999999999998</v>
      </c>
      <c r="J38" s="438">
        <v>430</v>
      </c>
      <c r="K38" s="486">
        <v>204.1</v>
      </c>
    </row>
    <row r="39" spans="1:11" ht="14.4" customHeight="1" x14ac:dyDescent="0.3">
      <c r="A39" s="447" t="s">
        <v>309</v>
      </c>
      <c r="B39" s="437" t="s">
        <v>305</v>
      </c>
      <c r="C39" s="475" t="s">
        <v>527</v>
      </c>
      <c r="D39" s="510" t="s">
        <v>305</v>
      </c>
      <c r="E39" s="475" t="s">
        <v>632</v>
      </c>
      <c r="F39" s="510" t="s">
        <v>633</v>
      </c>
      <c r="G39" s="475" t="s">
        <v>591</v>
      </c>
      <c r="H39" s="475" t="s">
        <v>593</v>
      </c>
      <c r="I39" s="438">
        <v>0.46499999999999997</v>
      </c>
      <c r="J39" s="438">
        <v>300</v>
      </c>
      <c r="K39" s="486">
        <v>140</v>
      </c>
    </row>
    <row r="40" spans="1:11" ht="14.4" customHeight="1" x14ac:dyDescent="0.3">
      <c r="A40" s="447" t="s">
        <v>309</v>
      </c>
      <c r="B40" s="437" t="s">
        <v>305</v>
      </c>
      <c r="C40" s="475" t="s">
        <v>527</v>
      </c>
      <c r="D40" s="510" t="s">
        <v>305</v>
      </c>
      <c r="E40" s="475" t="s">
        <v>632</v>
      </c>
      <c r="F40" s="510" t="s">
        <v>633</v>
      </c>
      <c r="G40" s="475" t="s">
        <v>594</v>
      </c>
      <c r="H40" s="475" t="s">
        <v>595</v>
      </c>
      <c r="I40" s="438">
        <v>9.59</v>
      </c>
      <c r="J40" s="438">
        <v>20</v>
      </c>
      <c r="K40" s="486">
        <v>191.8</v>
      </c>
    </row>
    <row r="41" spans="1:11" ht="14.4" customHeight="1" x14ac:dyDescent="0.3">
      <c r="A41" s="447" t="s">
        <v>309</v>
      </c>
      <c r="B41" s="437" t="s">
        <v>305</v>
      </c>
      <c r="C41" s="475" t="s">
        <v>527</v>
      </c>
      <c r="D41" s="510" t="s">
        <v>305</v>
      </c>
      <c r="E41" s="475" t="s">
        <v>632</v>
      </c>
      <c r="F41" s="510" t="s">
        <v>633</v>
      </c>
      <c r="G41" s="475" t="s">
        <v>594</v>
      </c>
      <c r="H41" s="475" t="s">
        <v>596</v>
      </c>
      <c r="I41" s="438">
        <v>9.6</v>
      </c>
      <c r="J41" s="438">
        <v>140</v>
      </c>
      <c r="K41" s="486">
        <v>1344</v>
      </c>
    </row>
    <row r="42" spans="1:11" ht="14.4" customHeight="1" x14ac:dyDescent="0.3">
      <c r="A42" s="447" t="s">
        <v>309</v>
      </c>
      <c r="B42" s="437" t="s">
        <v>305</v>
      </c>
      <c r="C42" s="475" t="s">
        <v>527</v>
      </c>
      <c r="D42" s="510" t="s">
        <v>305</v>
      </c>
      <c r="E42" s="475" t="s">
        <v>632</v>
      </c>
      <c r="F42" s="510" t="s">
        <v>633</v>
      </c>
      <c r="G42" s="475" t="s">
        <v>597</v>
      </c>
      <c r="H42" s="475" t="s">
        <v>598</v>
      </c>
      <c r="I42" s="438">
        <v>9.68</v>
      </c>
      <c r="J42" s="438">
        <v>60</v>
      </c>
      <c r="K42" s="486">
        <v>580.79999999999995</v>
      </c>
    </row>
    <row r="43" spans="1:11" ht="14.4" customHeight="1" x14ac:dyDescent="0.3">
      <c r="A43" s="447" t="s">
        <v>309</v>
      </c>
      <c r="B43" s="437" t="s">
        <v>305</v>
      </c>
      <c r="C43" s="475" t="s">
        <v>527</v>
      </c>
      <c r="D43" s="510" t="s">
        <v>305</v>
      </c>
      <c r="E43" s="475" t="s">
        <v>632</v>
      </c>
      <c r="F43" s="510" t="s">
        <v>633</v>
      </c>
      <c r="G43" s="475" t="s">
        <v>599</v>
      </c>
      <c r="H43" s="475" t="s">
        <v>600</v>
      </c>
      <c r="I43" s="438">
        <v>37.75</v>
      </c>
      <c r="J43" s="438">
        <v>40</v>
      </c>
      <c r="K43" s="486">
        <v>1510.1</v>
      </c>
    </row>
    <row r="44" spans="1:11" ht="14.4" customHeight="1" x14ac:dyDescent="0.3">
      <c r="A44" s="447" t="s">
        <v>309</v>
      </c>
      <c r="B44" s="437" t="s">
        <v>305</v>
      </c>
      <c r="C44" s="475" t="s">
        <v>527</v>
      </c>
      <c r="D44" s="510" t="s">
        <v>305</v>
      </c>
      <c r="E44" s="475" t="s">
        <v>632</v>
      </c>
      <c r="F44" s="510" t="s">
        <v>633</v>
      </c>
      <c r="G44" s="475" t="s">
        <v>599</v>
      </c>
      <c r="H44" s="475" t="s">
        <v>601</v>
      </c>
      <c r="I44" s="438">
        <v>37.75</v>
      </c>
      <c r="J44" s="438">
        <v>40</v>
      </c>
      <c r="K44" s="486">
        <v>1510.1</v>
      </c>
    </row>
    <row r="45" spans="1:11" ht="14.4" customHeight="1" x14ac:dyDescent="0.3">
      <c r="A45" s="447" t="s">
        <v>309</v>
      </c>
      <c r="B45" s="437" t="s">
        <v>305</v>
      </c>
      <c r="C45" s="475" t="s">
        <v>527</v>
      </c>
      <c r="D45" s="510" t="s">
        <v>305</v>
      </c>
      <c r="E45" s="475" t="s">
        <v>634</v>
      </c>
      <c r="F45" s="510" t="s">
        <v>635</v>
      </c>
      <c r="G45" s="475" t="s">
        <v>602</v>
      </c>
      <c r="H45" s="475" t="s">
        <v>603</v>
      </c>
      <c r="I45" s="438">
        <v>4629.26</v>
      </c>
      <c r="J45" s="438">
        <v>4</v>
      </c>
      <c r="K45" s="486">
        <v>18517.04</v>
      </c>
    </row>
    <row r="46" spans="1:11" ht="14.4" customHeight="1" x14ac:dyDescent="0.3">
      <c r="A46" s="447" t="s">
        <v>309</v>
      </c>
      <c r="B46" s="437" t="s">
        <v>305</v>
      </c>
      <c r="C46" s="475" t="s">
        <v>527</v>
      </c>
      <c r="D46" s="510" t="s">
        <v>305</v>
      </c>
      <c r="E46" s="475" t="s">
        <v>636</v>
      </c>
      <c r="F46" s="510" t="s">
        <v>637</v>
      </c>
      <c r="G46" s="475" t="s">
        <v>604</v>
      </c>
      <c r="H46" s="475" t="s">
        <v>605</v>
      </c>
      <c r="I46" s="438">
        <v>8.1675000000000004</v>
      </c>
      <c r="J46" s="438">
        <v>250</v>
      </c>
      <c r="K46" s="486">
        <v>2041.9</v>
      </c>
    </row>
    <row r="47" spans="1:11" ht="14.4" customHeight="1" x14ac:dyDescent="0.3">
      <c r="A47" s="447" t="s">
        <v>309</v>
      </c>
      <c r="B47" s="437" t="s">
        <v>305</v>
      </c>
      <c r="C47" s="475" t="s">
        <v>527</v>
      </c>
      <c r="D47" s="510" t="s">
        <v>305</v>
      </c>
      <c r="E47" s="475" t="s">
        <v>636</v>
      </c>
      <c r="F47" s="510" t="s">
        <v>637</v>
      </c>
      <c r="G47" s="475" t="s">
        <v>604</v>
      </c>
      <c r="H47" s="475" t="s">
        <v>606</v>
      </c>
      <c r="I47" s="438">
        <v>8.17</v>
      </c>
      <c r="J47" s="438">
        <v>735</v>
      </c>
      <c r="K47" s="486">
        <v>6004.9500000000007</v>
      </c>
    </row>
    <row r="48" spans="1:11" ht="14.4" customHeight="1" x14ac:dyDescent="0.3">
      <c r="A48" s="447" t="s">
        <v>309</v>
      </c>
      <c r="B48" s="437" t="s">
        <v>305</v>
      </c>
      <c r="C48" s="475" t="s">
        <v>527</v>
      </c>
      <c r="D48" s="510" t="s">
        <v>305</v>
      </c>
      <c r="E48" s="475" t="s">
        <v>636</v>
      </c>
      <c r="F48" s="510" t="s">
        <v>637</v>
      </c>
      <c r="G48" s="475" t="s">
        <v>607</v>
      </c>
      <c r="H48" s="475" t="s">
        <v>608</v>
      </c>
      <c r="I48" s="438">
        <v>162.63</v>
      </c>
      <c r="J48" s="438">
        <v>30</v>
      </c>
      <c r="K48" s="486">
        <v>4879</v>
      </c>
    </row>
    <row r="49" spans="1:11" ht="14.4" customHeight="1" x14ac:dyDescent="0.3">
      <c r="A49" s="447" t="s">
        <v>309</v>
      </c>
      <c r="B49" s="437" t="s">
        <v>305</v>
      </c>
      <c r="C49" s="475" t="s">
        <v>527</v>
      </c>
      <c r="D49" s="510" t="s">
        <v>305</v>
      </c>
      <c r="E49" s="475" t="s">
        <v>636</v>
      </c>
      <c r="F49" s="510" t="s">
        <v>637</v>
      </c>
      <c r="G49" s="475" t="s">
        <v>607</v>
      </c>
      <c r="H49" s="475" t="s">
        <v>609</v>
      </c>
      <c r="I49" s="438">
        <v>162.63</v>
      </c>
      <c r="J49" s="438">
        <v>60</v>
      </c>
      <c r="K49" s="486">
        <v>9757.7999999999993</v>
      </c>
    </row>
    <row r="50" spans="1:11" ht="14.4" customHeight="1" x14ac:dyDescent="0.3">
      <c r="A50" s="447" t="s">
        <v>309</v>
      </c>
      <c r="B50" s="437" t="s">
        <v>305</v>
      </c>
      <c r="C50" s="475" t="s">
        <v>527</v>
      </c>
      <c r="D50" s="510" t="s">
        <v>305</v>
      </c>
      <c r="E50" s="475" t="s">
        <v>636</v>
      </c>
      <c r="F50" s="510" t="s">
        <v>637</v>
      </c>
      <c r="G50" s="475" t="s">
        <v>607</v>
      </c>
      <c r="H50" s="475" t="s">
        <v>610</v>
      </c>
      <c r="I50" s="438">
        <v>162.625</v>
      </c>
      <c r="J50" s="438">
        <v>120</v>
      </c>
      <c r="K50" s="486">
        <v>19515.12</v>
      </c>
    </row>
    <row r="51" spans="1:11" ht="14.4" customHeight="1" x14ac:dyDescent="0.3">
      <c r="A51" s="447" t="s">
        <v>309</v>
      </c>
      <c r="B51" s="437" t="s">
        <v>305</v>
      </c>
      <c r="C51" s="475" t="s">
        <v>527</v>
      </c>
      <c r="D51" s="510" t="s">
        <v>305</v>
      </c>
      <c r="E51" s="475" t="s">
        <v>636</v>
      </c>
      <c r="F51" s="510" t="s">
        <v>637</v>
      </c>
      <c r="G51" s="475" t="s">
        <v>611</v>
      </c>
      <c r="H51" s="475" t="s">
        <v>612</v>
      </c>
      <c r="I51" s="438">
        <v>73.81</v>
      </c>
      <c r="J51" s="438">
        <v>100</v>
      </c>
      <c r="K51" s="486">
        <v>7381</v>
      </c>
    </row>
    <row r="52" spans="1:11" ht="14.4" customHeight="1" x14ac:dyDescent="0.3">
      <c r="A52" s="447" t="s">
        <v>309</v>
      </c>
      <c r="B52" s="437" t="s">
        <v>305</v>
      </c>
      <c r="C52" s="475" t="s">
        <v>527</v>
      </c>
      <c r="D52" s="510" t="s">
        <v>305</v>
      </c>
      <c r="E52" s="475" t="s">
        <v>638</v>
      </c>
      <c r="F52" s="510" t="s">
        <v>639</v>
      </c>
      <c r="G52" s="475" t="s">
        <v>613</v>
      </c>
      <c r="H52" s="475" t="s">
        <v>614</v>
      </c>
      <c r="I52" s="438">
        <v>0.48</v>
      </c>
      <c r="J52" s="438">
        <v>60</v>
      </c>
      <c r="K52" s="486">
        <v>28.8</v>
      </c>
    </row>
    <row r="53" spans="1:11" ht="14.4" customHeight="1" x14ac:dyDescent="0.3">
      <c r="A53" s="447" t="s">
        <v>309</v>
      </c>
      <c r="B53" s="437" t="s">
        <v>305</v>
      </c>
      <c r="C53" s="475" t="s">
        <v>527</v>
      </c>
      <c r="D53" s="510" t="s">
        <v>305</v>
      </c>
      <c r="E53" s="475" t="s">
        <v>638</v>
      </c>
      <c r="F53" s="510" t="s">
        <v>639</v>
      </c>
      <c r="G53" s="475" t="s">
        <v>615</v>
      </c>
      <c r="H53" s="475" t="s">
        <v>616</v>
      </c>
      <c r="I53" s="438">
        <v>0.42818181818181816</v>
      </c>
      <c r="J53" s="438">
        <v>1840</v>
      </c>
      <c r="K53" s="486">
        <v>787.2</v>
      </c>
    </row>
    <row r="54" spans="1:11" ht="14.4" customHeight="1" x14ac:dyDescent="0.3">
      <c r="A54" s="447" t="s">
        <v>309</v>
      </c>
      <c r="B54" s="437" t="s">
        <v>305</v>
      </c>
      <c r="C54" s="475" t="s">
        <v>527</v>
      </c>
      <c r="D54" s="510" t="s">
        <v>305</v>
      </c>
      <c r="E54" s="475" t="s">
        <v>638</v>
      </c>
      <c r="F54" s="510" t="s">
        <v>639</v>
      </c>
      <c r="G54" s="475" t="s">
        <v>617</v>
      </c>
      <c r="H54" s="475" t="s">
        <v>618</v>
      </c>
      <c r="I54" s="438">
        <v>132.68</v>
      </c>
      <c r="J54" s="438">
        <v>75</v>
      </c>
      <c r="K54" s="486">
        <v>9950.81</v>
      </c>
    </row>
    <row r="55" spans="1:11" ht="14.4" customHeight="1" x14ac:dyDescent="0.3">
      <c r="A55" s="447" t="s">
        <v>309</v>
      </c>
      <c r="B55" s="437" t="s">
        <v>305</v>
      </c>
      <c r="C55" s="475" t="s">
        <v>527</v>
      </c>
      <c r="D55" s="510" t="s">
        <v>305</v>
      </c>
      <c r="E55" s="475" t="s">
        <v>638</v>
      </c>
      <c r="F55" s="510" t="s">
        <v>639</v>
      </c>
      <c r="G55" s="475" t="s">
        <v>619</v>
      </c>
      <c r="H55" s="475" t="s">
        <v>620</v>
      </c>
      <c r="I55" s="438">
        <v>125.48</v>
      </c>
      <c r="J55" s="438">
        <v>12</v>
      </c>
      <c r="K55" s="486">
        <v>1505.7</v>
      </c>
    </row>
    <row r="56" spans="1:11" ht="14.4" customHeight="1" x14ac:dyDescent="0.3">
      <c r="A56" s="447" t="s">
        <v>309</v>
      </c>
      <c r="B56" s="437" t="s">
        <v>305</v>
      </c>
      <c r="C56" s="475" t="s">
        <v>527</v>
      </c>
      <c r="D56" s="510" t="s">
        <v>305</v>
      </c>
      <c r="E56" s="475" t="s">
        <v>640</v>
      </c>
      <c r="F56" s="510" t="s">
        <v>641</v>
      </c>
      <c r="G56" s="475" t="s">
        <v>621</v>
      </c>
      <c r="H56" s="475" t="s">
        <v>622</v>
      </c>
      <c r="I56" s="438">
        <v>7.5</v>
      </c>
      <c r="J56" s="438">
        <v>90</v>
      </c>
      <c r="K56" s="486">
        <v>675</v>
      </c>
    </row>
    <row r="57" spans="1:11" ht="14.4" customHeight="1" x14ac:dyDescent="0.3">
      <c r="A57" s="447" t="s">
        <v>309</v>
      </c>
      <c r="B57" s="437" t="s">
        <v>305</v>
      </c>
      <c r="C57" s="475" t="s">
        <v>527</v>
      </c>
      <c r="D57" s="510" t="s">
        <v>305</v>
      </c>
      <c r="E57" s="475" t="s">
        <v>640</v>
      </c>
      <c r="F57" s="510" t="s">
        <v>641</v>
      </c>
      <c r="G57" s="475" t="s">
        <v>621</v>
      </c>
      <c r="H57" s="475" t="s">
        <v>623</v>
      </c>
      <c r="I57" s="438">
        <v>7.5</v>
      </c>
      <c r="J57" s="438">
        <v>220</v>
      </c>
      <c r="K57" s="486">
        <v>1650</v>
      </c>
    </row>
    <row r="58" spans="1:11" ht="14.4" customHeight="1" x14ac:dyDescent="0.3">
      <c r="A58" s="447" t="s">
        <v>309</v>
      </c>
      <c r="B58" s="437" t="s">
        <v>305</v>
      </c>
      <c r="C58" s="475" t="s">
        <v>527</v>
      </c>
      <c r="D58" s="510" t="s">
        <v>305</v>
      </c>
      <c r="E58" s="475" t="s">
        <v>640</v>
      </c>
      <c r="F58" s="510" t="s">
        <v>641</v>
      </c>
      <c r="G58" s="475" t="s">
        <v>621</v>
      </c>
      <c r="H58" s="475" t="s">
        <v>624</v>
      </c>
      <c r="I58" s="438">
        <v>7.5033333333333339</v>
      </c>
      <c r="J58" s="438">
        <v>861</v>
      </c>
      <c r="K58" s="486">
        <v>6461.2</v>
      </c>
    </row>
    <row r="59" spans="1:11" ht="14.4" customHeight="1" x14ac:dyDescent="0.3">
      <c r="A59" s="447" t="s">
        <v>309</v>
      </c>
      <c r="B59" s="437" t="s">
        <v>305</v>
      </c>
      <c r="C59" s="475" t="s">
        <v>527</v>
      </c>
      <c r="D59" s="510" t="s">
        <v>305</v>
      </c>
      <c r="E59" s="475" t="s">
        <v>640</v>
      </c>
      <c r="F59" s="510" t="s">
        <v>641</v>
      </c>
      <c r="G59" s="475" t="s">
        <v>625</v>
      </c>
      <c r="H59" s="475" t="s">
        <v>626</v>
      </c>
      <c r="I59" s="438">
        <v>7.5</v>
      </c>
      <c r="J59" s="438">
        <v>100</v>
      </c>
      <c r="K59" s="486">
        <v>750</v>
      </c>
    </row>
    <row r="60" spans="1:11" ht="14.4" customHeight="1" x14ac:dyDescent="0.3">
      <c r="A60" s="447" t="s">
        <v>309</v>
      </c>
      <c r="B60" s="437" t="s">
        <v>305</v>
      </c>
      <c r="C60" s="475" t="s">
        <v>527</v>
      </c>
      <c r="D60" s="510" t="s">
        <v>305</v>
      </c>
      <c r="E60" s="475" t="s">
        <v>640</v>
      </c>
      <c r="F60" s="510" t="s">
        <v>641</v>
      </c>
      <c r="G60" s="475" t="s">
        <v>627</v>
      </c>
      <c r="H60" s="475" t="s">
        <v>628</v>
      </c>
      <c r="I60" s="438">
        <v>7.5</v>
      </c>
      <c r="J60" s="438">
        <v>100</v>
      </c>
      <c r="K60" s="486">
        <v>750</v>
      </c>
    </row>
    <row r="61" spans="1:11" ht="14.4" customHeight="1" thickBot="1" x14ac:dyDescent="0.35">
      <c r="A61" s="448" t="s">
        <v>309</v>
      </c>
      <c r="B61" s="440" t="s">
        <v>305</v>
      </c>
      <c r="C61" s="479" t="s">
        <v>527</v>
      </c>
      <c r="D61" s="511" t="s">
        <v>305</v>
      </c>
      <c r="E61" s="479" t="s">
        <v>640</v>
      </c>
      <c r="F61" s="511" t="s">
        <v>641</v>
      </c>
      <c r="G61" s="479" t="s">
        <v>627</v>
      </c>
      <c r="H61" s="479" t="s">
        <v>629</v>
      </c>
      <c r="I61" s="441">
        <v>7.5024999999999995</v>
      </c>
      <c r="J61" s="441">
        <v>265</v>
      </c>
      <c r="K61" s="487">
        <v>1988.4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33" width="13.109375" hidden="1" customWidth="1"/>
  </cols>
  <sheetData>
    <row r="1" spans="1:34" ht="18.600000000000001" thickBot="1" x14ac:dyDescent="0.4">
      <c r="A1" s="375" t="s">
        <v>106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</row>
    <row r="2" spans="1:34" ht="15" thickBot="1" x14ac:dyDescent="0.35">
      <c r="A2" s="235" t="s">
        <v>260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217</v>
      </c>
      <c r="B3" s="376" t="s">
        <v>198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21">
        <v>930</v>
      </c>
      <c r="AH3" s="537"/>
    </row>
    <row r="4" spans="1:34" ht="36.6" outlineLevel="1" thickBot="1" x14ac:dyDescent="0.35">
      <c r="A4" s="255">
        <v>2014</v>
      </c>
      <c r="B4" s="377"/>
      <c r="C4" s="239" t="s">
        <v>199</v>
      </c>
      <c r="D4" s="240" t="s">
        <v>200</v>
      </c>
      <c r="E4" s="240" t="s">
        <v>201</v>
      </c>
      <c r="F4" s="258" t="s">
        <v>229</v>
      </c>
      <c r="G4" s="258" t="s">
        <v>230</v>
      </c>
      <c r="H4" s="258" t="s">
        <v>231</v>
      </c>
      <c r="I4" s="258" t="s">
        <v>232</v>
      </c>
      <c r="J4" s="258" t="s">
        <v>233</v>
      </c>
      <c r="K4" s="258" t="s">
        <v>234</v>
      </c>
      <c r="L4" s="258" t="s">
        <v>235</v>
      </c>
      <c r="M4" s="258" t="s">
        <v>236</v>
      </c>
      <c r="N4" s="258" t="s">
        <v>237</v>
      </c>
      <c r="O4" s="258" t="s">
        <v>238</v>
      </c>
      <c r="P4" s="258" t="s">
        <v>239</v>
      </c>
      <c r="Q4" s="258" t="s">
        <v>240</v>
      </c>
      <c r="R4" s="258" t="s">
        <v>241</v>
      </c>
      <c r="S4" s="258" t="s">
        <v>242</v>
      </c>
      <c r="T4" s="258" t="s">
        <v>243</v>
      </c>
      <c r="U4" s="258" t="s">
        <v>244</v>
      </c>
      <c r="V4" s="258" t="s">
        <v>245</v>
      </c>
      <c r="W4" s="258" t="s">
        <v>254</v>
      </c>
      <c r="X4" s="258" t="s">
        <v>246</v>
      </c>
      <c r="Y4" s="258" t="s">
        <v>255</v>
      </c>
      <c r="Z4" s="258" t="s">
        <v>247</v>
      </c>
      <c r="AA4" s="258" t="s">
        <v>248</v>
      </c>
      <c r="AB4" s="258" t="s">
        <v>249</v>
      </c>
      <c r="AC4" s="258" t="s">
        <v>250</v>
      </c>
      <c r="AD4" s="258" t="s">
        <v>251</v>
      </c>
      <c r="AE4" s="240" t="s">
        <v>252</v>
      </c>
      <c r="AF4" s="240" t="s">
        <v>253</v>
      </c>
      <c r="AG4" s="522" t="s">
        <v>219</v>
      </c>
      <c r="AH4" s="537"/>
    </row>
    <row r="5" spans="1:34" x14ac:dyDescent="0.3">
      <c r="A5" s="241" t="s">
        <v>202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23"/>
      <c r="AH5" s="537"/>
    </row>
    <row r="6" spans="1:34" ht="15" collapsed="1" thickBot="1" x14ac:dyDescent="0.35">
      <c r="A6" s="242" t="s">
        <v>72</v>
      </c>
      <c r="B6" s="280">
        <f xml:space="preserve">
TRUNC(IF($A$4&lt;=12,SUMIFS('ON Data'!F:F,'ON Data'!$D:$D,$A$4,'ON Data'!$E:$E,1),SUMIFS('ON Data'!F:F,'ON Data'!$E:$E,1)/'ON Data'!$D$3),1)</f>
        <v>0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0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0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24">
        <f xml:space="preserve">
TRUNC(IF($A$4&lt;=12,SUMIFS('ON Data'!AM:AM,'ON Data'!$D:$D,$A$4,'ON Data'!$E:$E,1),SUMIFS('ON Data'!AM:AM,'ON Data'!$E:$E,1)/'ON Data'!$D$3),1)</f>
        <v>0</v>
      </c>
      <c r="AH6" s="537"/>
    </row>
    <row r="7" spans="1:34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24"/>
      <c r="AH7" s="537"/>
    </row>
    <row r="8" spans="1:34" ht="15" hidden="1" outlineLevel="1" thickBot="1" x14ac:dyDescent="0.35">
      <c r="A8" s="242" t="s">
        <v>74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24"/>
      <c r="AH8" s="537"/>
    </row>
    <row r="9" spans="1:34" ht="15" hidden="1" outlineLevel="1" thickBot="1" x14ac:dyDescent="0.35">
      <c r="A9" s="243" t="s">
        <v>67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25"/>
      <c r="AH9" s="537"/>
    </row>
    <row r="10" spans="1:34" x14ac:dyDescent="0.3">
      <c r="A10" s="244" t="s">
        <v>203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26"/>
      <c r="AH10" s="537"/>
    </row>
    <row r="11" spans="1:34" x14ac:dyDescent="0.3">
      <c r="A11" s="245" t="s">
        <v>204</v>
      </c>
      <c r="B11" s="262">
        <f xml:space="preserve">
IF($A$4&lt;=12,SUMIFS('ON Data'!F:F,'ON Data'!$D:$D,$A$4,'ON Data'!$E:$E,2),SUMIFS('ON Data'!F:F,'ON Data'!$E:$E,2))</f>
        <v>0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0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0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27">
        <f xml:space="preserve">
IF($A$4&lt;=12,SUMIFS('ON Data'!AM:AM,'ON Data'!$D:$D,$A$4,'ON Data'!$E:$E,2),SUMIFS('ON Data'!AM:AM,'ON Data'!$E:$E,2))</f>
        <v>0</v>
      </c>
      <c r="AH11" s="537"/>
    </row>
    <row r="12" spans="1:34" x14ac:dyDescent="0.3">
      <c r="A12" s="245" t="s">
        <v>205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27">
        <f xml:space="preserve">
IF($A$4&lt;=12,SUMIFS('ON Data'!AM:AM,'ON Data'!$D:$D,$A$4,'ON Data'!$E:$E,3),SUMIFS('ON Data'!AM:AM,'ON Data'!$E:$E,3))</f>
        <v>0</v>
      </c>
      <c r="AH12" s="537"/>
    </row>
    <row r="13" spans="1:34" x14ac:dyDescent="0.3">
      <c r="A13" s="245" t="s">
        <v>212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27">
        <f xml:space="preserve">
IF($A$4&lt;=12,SUMIFS('ON Data'!AM:AM,'ON Data'!$D:$D,$A$4,'ON Data'!$E:$E,4),SUMIFS('ON Data'!AM:AM,'ON Data'!$E:$E,4))</f>
        <v>0</v>
      </c>
      <c r="AH13" s="537"/>
    </row>
    <row r="14" spans="1:34" ht="15" thickBot="1" x14ac:dyDescent="0.35">
      <c r="A14" s="246" t="s">
        <v>206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28">
        <f xml:space="preserve">
IF($A$4&lt;=12,SUMIFS('ON Data'!AM:AM,'ON Data'!$D:$D,$A$4,'ON Data'!$E:$E,5),SUMIFS('ON Data'!AM:AM,'ON Data'!$E:$E,5))</f>
        <v>0</v>
      </c>
      <c r="AH14" s="537"/>
    </row>
    <row r="15" spans="1:34" x14ac:dyDescent="0.3">
      <c r="A15" s="163" t="s">
        <v>216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29"/>
      <c r="AH15" s="537"/>
    </row>
    <row r="16" spans="1:34" x14ac:dyDescent="0.3">
      <c r="A16" s="247" t="s">
        <v>207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27">
        <f xml:space="preserve">
IF($A$4&lt;=12,SUMIFS('ON Data'!AM:AM,'ON Data'!$D:$D,$A$4,'ON Data'!$E:$E,7),SUMIFS('ON Data'!AM:AM,'ON Data'!$E:$E,7))</f>
        <v>0</v>
      </c>
      <c r="AH16" s="537"/>
    </row>
    <row r="17" spans="1:34" x14ac:dyDescent="0.3">
      <c r="A17" s="247" t="s">
        <v>208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27">
        <f xml:space="preserve">
IF($A$4&lt;=12,SUMIFS('ON Data'!AM:AM,'ON Data'!$D:$D,$A$4,'ON Data'!$E:$E,8),SUMIFS('ON Data'!AM:AM,'ON Data'!$E:$E,8))</f>
        <v>0</v>
      </c>
      <c r="AH17" s="537"/>
    </row>
    <row r="18" spans="1:34" x14ac:dyDescent="0.3">
      <c r="A18" s="247" t="s">
        <v>209</v>
      </c>
      <c r="B18" s="262">
        <f xml:space="preserve">
B19-B16-B17</f>
        <v>0</v>
      </c>
      <c r="C18" s="263">
        <f t="shared" ref="C18" si="0" xml:space="preserve">
C19-C16-C17</f>
        <v>0</v>
      </c>
      <c r="D18" s="264">
        <f t="shared" ref="D18:AG18" si="1" xml:space="preserve">
D19-D16-D17</f>
        <v>0</v>
      </c>
      <c r="E18" s="264">
        <f t="shared" si="1"/>
        <v>0</v>
      </c>
      <c r="F18" s="264">
        <f t="shared" si="1"/>
        <v>0</v>
      </c>
      <c r="G18" s="264">
        <f t="shared" si="1"/>
        <v>0</v>
      </c>
      <c r="H18" s="264">
        <f t="shared" si="1"/>
        <v>0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27">
        <f t="shared" si="1"/>
        <v>0</v>
      </c>
      <c r="AH18" s="537"/>
    </row>
    <row r="19" spans="1:34" ht="15" thickBot="1" x14ac:dyDescent="0.35">
      <c r="A19" s="248" t="s">
        <v>210</v>
      </c>
      <c r="B19" s="271">
        <f xml:space="preserve">
IF($A$4&lt;=12,SUMIFS('ON Data'!F:F,'ON Data'!$D:$D,$A$4,'ON Data'!$E:$E,9),SUMIFS('ON Data'!F:F,'ON Data'!$E:$E,9))</f>
        <v>0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30">
        <f xml:space="preserve">
IF($A$4&lt;=12,SUMIFS('ON Data'!AM:AM,'ON Data'!$D:$D,$A$4,'ON Data'!$E:$E,9),SUMIFS('ON Data'!AM:AM,'ON Data'!$E:$E,9))</f>
        <v>0</v>
      </c>
      <c r="AH19" s="537"/>
    </row>
    <row r="20" spans="1:34" ht="15" collapsed="1" thickBot="1" x14ac:dyDescent="0.35">
      <c r="A20" s="249" t="s">
        <v>72</v>
      </c>
      <c r="B20" s="274">
        <f xml:space="preserve">
IF($A$4&lt;=12,SUMIFS('ON Data'!F:F,'ON Data'!$D:$D,$A$4,'ON Data'!$E:$E,6),SUMIFS('ON Data'!F:F,'ON Data'!$E:$E,6))</f>
        <v>0</v>
      </c>
      <c r="C20" s="275">
        <f xml:space="preserve">
IF($A$4&lt;=12,SUMIFS('ON Data'!G:G,'ON Data'!$D:$D,$A$4,'ON Data'!$E:$E,6),SUMIFS('ON Data'!G:G,'ON Data'!$E:$E,6))</f>
        <v>0</v>
      </c>
      <c r="D20" s="276">
        <f xml:space="preserve">
IF($A$4&lt;=12,SUMIFS('ON Data'!H:H,'ON Data'!$D:$D,$A$4,'ON Data'!$E:$E,6),SUMIFS('ON Data'!H:H,'ON Data'!$E:$E,6))</f>
        <v>0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0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31">
        <f xml:space="preserve">
IF($A$4&lt;=12,SUMIFS('ON Data'!AM:AM,'ON Data'!$D:$D,$A$4,'ON Data'!$E:$E,6),SUMIFS('ON Data'!AM:AM,'ON Data'!$E:$E,6))</f>
        <v>0</v>
      </c>
      <c r="AH20" s="537"/>
    </row>
    <row r="21" spans="1:34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527">
        <f xml:space="preserve">
IF($A$4&lt;=12,SUMIFS('ON Data'!AM:AM,'ON Data'!$D:$D,$A$4,'ON Data'!$E:$E,12),SUMIFS('ON Data'!AM:AM,'ON Data'!$E:$E,12))</f>
        <v>0</v>
      </c>
      <c r="AH21" s="537"/>
    </row>
    <row r="22" spans="1:34" ht="15" hidden="1" outlineLevel="1" thickBot="1" x14ac:dyDescent="0.35">
      <c r="A22" s="242" t="s">
        <v>74</v>
      </c>
      <c r="B22" s="307" t="str">
        <f xml:space="preserve">
IF(OR(B21="",B21=0),"",B20/B21)</f>
        <v/>
      </c>
      <c r="C22" s="308" t="str">
        <f t="shared" ref="C22:AG22" si="2" xml:space="preserve">
IF(OR(C21="",C21=0),"",C20/C21)</f>
        <v/>
      </c>
      <c r="D22" s="309" t="str">
        <f t="shared" si="2"/>
        <v/>
      </c>
      <c r="E22" s="309" t="str">
        <f t="shared" si="2"/>
        <v/>
      </c>
      <c r="F22" s="309" t="str">
        <f t="shared" si="2"/>
        <v/>
      </c>
      <c r="G22" s="309" t="str">
        <f t="shared" si="2"/>
        <v/>
      </c>
      <c r="H22" s="309" t="str">
        <f t="shared" si="2"/>
        <v/>
      </c>
      <c r="I22" s="309" t="str">
        <f t="shared" si="2"/>
        <v/>
      </c>
      <c r="J22" s="309" t="str">
        <f t="shared" si="2"/>
        <v/>
      </c>
      <c r="K22" s="309" t="str">
        <f t="shared" si="2"/>
        <v/>
      </c>
      <c r="L22" s="309" t="str">
        <f t="shared" si="2"/>
        <v/>
      </c>
      <c r="M22" s="309" t="str">
        <f t="shared" si="2"/>
        <v/>
      </c>
      <c r="N22" s="309" t="str">
        <f t="shared" si="2"/>
        <v/>
      </c>
      <c r="O22" s="309" t="str">
        <f t="shared" si="2"/>
        <v/>
      </c>
      <c r="P22" s="309" t="str">
        <f t="shared" si="2"/>
        <v/>
      </c>
      <c r="Q22" s="309" t="str">
        <f t="shared" si="2"/>
        <v/>
      </c>
      <c r="R22" s="309" t="str">
        <f t="shared" si="2"/>
        <v/>
      </c>
      <c r="S22" s="309" t="str">
        <f t="shared" si="2"/>
        <v/>
      </c>
      <c r="T22" s="309" t="str">
        <f t="shared" si="2"/>
        <v/>
      </c>
      <c r="U22" s="309" t="str">
        <f t="shared" si="2"/>
        <v/>
      </c>
      <c r="V22" s="309" t="str">
        <f t="shared" si="2"/>
        <v/>
      </c>
      <c r="W22" s="309" t="str">
        <f t="shared" si="2"/>
        <v/>
      </c>
      <c r="X22" s="309" t="str">
        <f t="shared" si="2"/>
        <v/>
      </c>
      <c r="Y22" s="309" t="str">
        <f t="shared" si="2"/>
        <v/>
      </c>
      <c r="Z22" s="309" t="str">
        <f t="shared" si="2"/>
        <v/>
      </c>
      <c r="AA22" s="309" t="str">
        <f t="shared" si="2"/>
        <v/>
      </c>
      <c r="AB22" s="309" t="str">
        <f t="shared" si="2"/>
        <v/>
      </c>
      <c r="AC22" s="309" t="str">
        <f t="shared" si="2"/>
        <v/>
      </c>
      <c r="AD22" s="309" t="str">
        <f t="shared" si="2"/>
        <v/>
      </c>
      <c r="AE22" s="309" t="str">
        <f t="shared" si="2"/>
        <v/>
      </c>
      <c r="AF22" s="309" t="str">
        <f t="shared" si="2"/>
        <v/>
      </c>
      <c r="AG22" s="532" t="str">
        <f t="shared" si="2"/>
        <v/>
      </c>
      <c r="AH22" s="537"/>
    </row>
    <row r="23" spans="1:34" ht="15" hidden="1" outlineLevel="1" thickBot="1" x14ac:dyDescent="0.35">
      <c r="A23" s="250" t="s">
        <v>67</v>
      </c>
      <c r="B23" s="265">
        <f xml:space="preserve">
IF(B21="","",B20-B21)</f>
        <v>0</v>
      </c>
      <c r="C23" s="266">
        <f t="shared" ref="C23:AG23" si="3" xml:space="preserve">
IF(C21="","",C20-C21)</f>
        <v>0</v>
      </c>
      <c r="D23" s="267">
        <f t="shared" si="3"/>
        <v>0</v>
      </c>
      <c r="E23" s="267">
        <f t="shared" si="3"/>
        <v>0</v>
      </c>
      <c r="F23" s="267">
        <f t="shared" si="3"/>
        <v>0</v>
      </c>
      <c r="G23" s="267">
        <f t="shared" si="3"/>
        <v>0</v>
      </c>
      <c r="H23" s="267">
        <f t="shared" si="3"/>
        <v>0</v>
      </c>
      <c r="I23" s="267">
        <f t="shared" si="3"/>
        <v>0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0</v>
      </c>
      <c r="T23" s="267">
        <f t="shared" si="3"/>
        <v>0</v>
      </c>
      <c r="U23" s="267">
        <f t="shared" si="3"/>
        <v>0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0</v>
      </c>
      <c r="AA23" s="267">
        <f t="shared" si="3"/>
        <v>0</v>
      </c>
      <c r="AB23" s="267">
        <f t="shared" si="3"/>
        <v>0</v>
      </c>
      <c r="AC23" s="267">
        <f t="shared" si="3"/>
        <v>0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528">
        <f t="shared" si="3"/>
        <v>0</v>
      </c>
      <c r="AH23" s="537"/>
    </row>
    <row r="24" spans="1:34" x14ac:dyDescent="0.3">
      <c r="A24" s="244" t="s">
        <v>211</v>
      </c>
      <c r="B24" s="291" t="s">
        <v>3</v>
      </c>
      <c r="C24" s="538" t="s">
        <v>222</v>
      </c>
      <c r="D24" s="512"/>
      <c r="E24" s="513"/>
      <c r="F24" s="513" t="s">
        <v>223</v>
      </c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513"/>
      <c r="AA24" s="513"/>
      <c r="AB24" s="513"/>
      <c r="AC24" s="513"/>
      <c r="AD24" s="513"/>
      <c r="AE24" s="513"/>
      <c r="AF24" s="513"/>
      <c r="AG24" s="533" t="s">
        <v>224</v>
      </c>
      <c r="AH24" s="537"/>
    </row>
    <row r="25" spans="1:34" x14ac:dyDescent="0.3">
      <c r="A25" s="245" t="s">
        <v>72</v>
      </c>
      <c r="B25" s="262">
        <f xml:space="preserve">
SUM(C25:AG25)</f>
        <v>0</v>
      </c>
      <c r="C25" s="539">
        <f xml:space="preserve">
IF($A$4&lt;=12,SUMIFS('ON Data'!H:H,'ON Data'!$D:$D,$A$4,'ON Data'!$E:$E,10),SUMIFS('ON Data'!H:H,'ON Data'!$E:$E,10))</f>
        <v>0</v>
      </c>
      <c r="D25" s="514"/>
      <c r="E25" s="515"/>
      <c r="F25" s="515">
        <f xml:space="preserve">
IF($A$4&lt;=12,SUMIFS('ON Data'!K:K,'ON Data'!$D:$D,$A$4,'ON Data'!$E:$E,10),SUMIFS('ON Data'!K:K,'ON Data'!$E:$E,10))</f>
        <v>0</v>
      </c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34">
        <f xml:space="preserve">
IF($A$4&lt;=12,SUMIFS('ON Data'!AM:AM,'ON Data'!$D:$D,$A$4,'ON Data'!$E:$E,10),SUMIFS('ON Data'!AM:AM,'ON Data'!$E:$E,10))</f>
        <v>0</v>
      </c>
      <c r="AH25" s="537"/>
    </row>
    <row r="26" spans="1:34" x14ac:dyDescent="0.3">
      <c r="A26" s="251" t="s">
        <v>221</v>
      </c>
      <c r="B26" s="271">
        <f xml:space="preserve">
SUM(C26:AG26)</f>
        <v>0</v>
      </c>
      <c r="C26" s="539">
        <f xml:space="preserve">
IF($A$4&lt;=12,SUMIFS('ON Data'!H:H,'ON Data'!$D:$D,$A$4,'ON Data'!$E:$E,11),SUMIFS('ON Data'!H:H,'ON Data'!$E:$E,11))</f>
        <v>0</v>
      </c>
      <c r="D26" s="514"/>
      <c r="E26" s="515"/>
      <c r="F26" s="516">
        <f xml:space="preserve">
IF($A$4&lt;=12,SUMIFS('ON Data'!K:K,'ON Data'!$D:$D,$A$4,'ON Data'!$E:$E,11),SUMIFS('ON Data'!K:K,'ON Data'!$E:$E,11))</f>
        <v>0</v>
      </c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516"/>
      <c r="AA26" s="516"/>
      <c r="AB26" s="516"/>
      <c r="AC26" s="516"/>
      <c r="AD26" s="516"/>
      <c r="AE26" s="516"/>
      <c r="AF26" s="516"/>
      <c r="AG26" s="534">
        <f xml:space="preserve">
IF($A$4&lt;=12,SUMIFS('ON Data'!AM:AM,'ON Data'!$D:$D,$A$4,'ON Data'!$E:$E,11),SUMIFS('ON Data'!AM:AM,'ON Data'!$E:$E,11))</f>
        <v>0</v>
      </c>
      <c r="AH26" s="537"/>
    </row>
    <row r="27" spans="1:34" x14ac:dyDescent="0.3">
      <c r="A27" s="251" t="s">
        <v>74</v>
      </c>
      <c r="B27" s="292">
        <f xml:space="preserve">
IF(B26=0,0,B25/B26)</f>
        <v>0</v>
      </c>
      <c r="C27" s="540">
        <f xml:space="preserve">
IF(C26=0,0,C25/C26)</f>
        <v>0</v>
      </c>
      <c r="D27" s="517"/>
      <c r="E27" s="518"/>
      <c r="F27" s="518">
        <f xml:space="preserve">
IF(F26=0,0,F25/F26)</f>
        <v>0</v>
      </c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35">
        <f xml:space="preserve">
IF(AG26=0,0,AG25/AG26)</f>
        <v>0</v>
      </c>
      <c r="AH27" s="537"/>
    </row>
    <row r="28" spans="1:34" ht="15" thickBot="1" x14ac:dyDescent="0.35">
      <c r="A28" s="251" t="s">
        <v>220</v>
      </c>
      <c r="B28" s="271">
        <f xml:space="preserve">
SUM(C28:AG28)</f>
        <v>0</v>
      </c>
      <c r="C28" s="541">
        <f xml:space="preserve">
C26-C25</f>
        <v>0</v>
      </c>
      <c r="D28" s="519"/>
      <c r="E28" s="520"/>
      <c r="F28" s="520">
        <f xml:space="preserve">
F26-F25</f>
        <v>0</v>
      </c>
      <c r="G28" s="520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0"/>
      <c r="S28" s="520"/>
      <c r="T28" s="520"/>
      <c r="U28" s="520"/>
      <c r="V28" s="520"/>
      <c r="W28" s="520"/>
      <c r="X28" s="520"/>
      <c r="Y28" s="520"/>
      <c r="Z28" s="520"/>
      <c r="AA28" s="520"/>
      <c r="AB28" s="520"/>
      <c r="AC28" s="520"/>
      <c r="AD28" s="520"/>
      <c r="AE28" s="520"/>
      <c r="AF28" s="520"/>
      <c r="AG28" s="536">
        <f xml:space="preserve">
AG26-AG25</f>
        <v>0</v>
      </c>
      <c r="AH28" s="537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154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218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215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225</v>
      </c>
    </row>
    <row r="34" spans="1:1" x14ac:dyDescent="0.3">
      <c r="A34" s="290" t="s">
        <v>226</v>
      </c>
    </row>
    <row r="35" spans="1:1" x14ac:dyDescent="0.3">
      <c r="A35" s="290" t="s">
        <v>227</v>
      </c>
    </row>
    <row r="36" spans="1:1" x14ac:dyDescent="0.3">
      <c r="A36" s="290" t="s">
        <v>228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643</v>
      </c>
    </row>
    <row r="2" spans="1:40" x14ac:dyDescent="0.3">
      <c r="A2" s="235" t="s">
        <v>260</v>
      </c>
    </row>
    <row r="3" spans="1:40" x14ac:dyDescent="0.3">
      <c r="A3" s="231" t="s">
        <v>185</v>
      </c>
      <c r="B3" s="256">
        <v>2014</v>
      </c>
      <c r="D3" s="232">
        <f>MAX(D5:D1048576)</f>
        <v>12</v>
      </c>
      <c r="F3" s="232">
        <f>SUMIF($E5:$E1048576,"&lt;10",F5:F1048576)</f>
        <v>0</v>
      </c>
      <c r="G3" s="232">
        <f t="shared" ref="G3:AN3" si="0">SUMIF($E5:$E1048576,"&lt;10",G5:G1048576)</f>
        <v>0</v>
      </c>
      <c r="H3" s="232">
        <f t="shared" si="0"/>
        <v>0</v>
      </c>
      <c r="I3" s="232">
        <f t="shared" si="0"/>
        <v>0</v>
      </c>
      <c r="J3" s="232">
        <f t="shared" si="0"/>
        <v>0</v>
      </c>
      <c r="K3" s="232">
        <f t="shared" si="0"/>
        <v>0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0</v>
      </c>
    </row>
    <row r="4" spans="1:40" x14ac:dyDescent="0.3">
      <c r="A4" s="231" t="s">
        <v>186</v>
      </c>
      <c r="B4" s="256">
        <v>1</v>
      </c>
      <c r="C4" s="233" t="s">
        <v>5</v>
      </c>
      <c r="D4" s="234" t="s">
        <v>66</v>
      </c>
      <c r="E4" s="234" t="s">
        <v>180</v>
      </c>
      <c r="F4" s="234" t="s">
        <v>3</v>
      </c>
      <c r="G4" s="234" t="s">
        <v>181</v>
      </c>
      <c r="H4" s="234" t="s">
        <v>182</v>
      </c>
      <c r="I4" s="234" t="s">
        <v>183</v>
      </c>
      <c r="J4" s="234" t="s">
        <v>184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187</v>
      </c>
      <c r="B5" s="256">
        <v>2</v>
      </c>
      <c r="C5" s="231">
        <v>57</v>
      </c>
      <c r="D5" s="231">
        <v>1</v>
      </c>
      <c r="E5" s="231">
        <v>1</v>
      </c>
      <c r="F5" s="231">
        <v>0</v>
      </c>
      <c r="G5" s="231">
        <v>0</v>
      </c>
      <c r="H5" s="231">
        <v>0</v>
      </c>
      <c r="I5" s="231">
        <v>0</v>
      </c>
      <c r="J5" s="231">
        <v>0</v>
      </c>
      <c r="K5" s="231">
        <v>0</v>
      </c>
      <c r="L5" s="231">
        <v>0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0</v>
      </c>
      <c r="AM5" s="231">
        <v>0</v>
      </c>
      <c r="AN5" s="231">
        <v>0</v>
      </c>
    </row>
    <row r="6" spans="1:40" x14ac:dyDescent="0.3">
      <c r="A6" s="231" t="s">
        <v>188</v>
      </c>
      <c r="B6" s="256">
        <v>3</v>
      </c>
      <c r="C6" s="231">
        <v>57</v>
      </c>
      <c r="D6" s="231">
        <v>1</v>
      </c>
      <c r="E6" s="231">
        <v>2</v>
      </c>
      <c r="F6" s="231">
        <v>0</v>
      </c>
      <c r="G6" s="231">
        <v>0</v>
      </c>
      <c r="H6" s="231">
        <v>0</v>
      </c>
      <c r="I6" s="231">
        <v>0</v>
      </c>
      <c r="J6" s="231">
        <v>0</v>
      </c>
      <c r="K6" s="231">
        <v>0</v>
      </c>
      <c r="L6" s="231">
        <v>0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0</v>
      </c>
      <c r="AN6" s="231">
        <v>0</v>
      </c>
    </row>
    <row r="7" spans="1:40" x14ac:dyDescent="0.3">
      <c r="A7" s="231" t="s">
        <v>189</v>
      </c>
      <c r="B7" s="256">
        <v>4</v>
      </c>
      <c r="C7" s="231">
        <v>57</v>
      </c>
      <c r="D7" s="231">
        <v>1</v>
      </c>
      <c r="E7" s="231">
        <v>3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190</v>
      </c>
      <c r="B8" s="256">
        <v>5</v>
      </c>
      <c r="C8" s="231">
        <v>57</v>
      </c>
      <c r="D8" s="231">
        <v>1</v>
      </c>
      <c r="E8" s="231">
        <v>4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191</v>
      </c>
      <c r="B9" s="256">
        <v>6</v>
      </c>
      <c r="C9" s="231">
        <v>57</v>
      </c>
      <c r="D9" s="231">
        <v>1</v>
      </c>
      <c r="E9" s="231">
        <v>5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192</v>
      </c>
      <c r="B10" s="256">
        <v>7</v>
      </c>
      <c r="C10" s="231">
        <v>57</v>
      </c>
      <c r="D10" s="231">
        <v>1</v>
      </c>
      <c r="E10" s="231">
        <v>6</v>
      </c>
      <c r="F10" s="231">
        <v>0</v>
      </c>
      <c r="G10" s="231">
        <v>0</v>
      </c>
      <c r="H10" s="231">
        <v>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193</v>
      </c>
      <c r="B11" s="256">
        <v>8</v>
      </c>
      <c r="C11" s="231">
        <v>57</v>
      </c>
      <c r="D11" s="231">
        <v>1</v>
      </c>
      <c r="E11" s="231">
        <v>7</v>
      </c>
      <c r="F11" s="231">
        <v>0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194</v>
      </c>
      <c r="B12" s="256">
        <v>9</v>
      </c>
      <c r="C12" s="231">
        <v>57</v>
      </c>
      <c r="D12" s="231">
        <v>1</v>
      </c>
      <c r="E12" s="231">
        <v>8</v>
      </c>
      <c r="F12" s="231">
        <v>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195</v>
      </c>
      <c r="B13" s="256">
        <v>10</v>
      </c>
      <c r="C13" s="231">
        <v>57</v>
      </c>
      <c r="D13" s="231">
        <v>1</v>
      </c>
      <c r="E13" s="231">
        <v>9</v>
      </c>
      <c r="F13" s="231">
        <v>0</v>
      </c>
      <c r="G13" s="231">
        <v>0</v>
      </c>
      <c r="H13" s="231">
        <v>0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</row>
    <row r="14" spans="1:40" x14ac:dyDescent="0.3">
      <c r="A14" s="231" t="s">
        <v>196</v>
      </c>
      <c r="B14" s="256">
        <v>11</v>
      </c>
      <c r="C14" s="231">
        <v>57</v>
      </c>
      <c r="D14" s="231">
        <v>1</v>
      </c>
      <c r="E14" s="231">
        <v>10</v>
      </c>
      <c r="F14" s="231">
        <v>0</v>
      </c>
      <c r="G14" s="231">
        <v>0</v>
      </c>
      <c r="H14" s="231">
        <v>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197</v>
      </c>
      <c r="B15" s="256">
        <v>12</v>
      </c>
      <c r="C15" s="231">
        <v>57</v>
      </c>
      <c r="D15" s="231">
        <v>1</v>
      </c>
      <c r="E15" s="231">
        <v>11</v>
      </c>
      <c r="F15" s="231">
        <v>0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185</v>
      </c>
      <c r="B16" s="256">
        <v>2014</v>
      </c>
      <c r="C16" s="231">
        <v>57</v>
      </c>
      <c r="D16" s="231">
        <v>2</v>
      </c>
      <c r="E16" s="231">
        <v>1</v>
      </c>
      <c r="F16" s="231">
        <v>0</v>
      </c>
      <c r="G16" s="231">
        <v>0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57</v>
      </c>
      <c r="D17" s="231">
        <v>2</v>
      </c>
      <c r="E17" s="231">
        <v>2</v>
      </c>
      <c r="F17" s="231">
        <v>0</v>
      </c>
      <c r="G17" s="231">
        <v>0</v>
      </c>
      <c r="H17" s="231">
        <v>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</row>
    <row r="18" spans="3:40" x14ac:dyDescent="0.3">
      <c r="C18" s="231">
        <v>57</v>
      </c>
      <c r="D18" s="231">
        <v>2</v>
      </c>
      <c r="E18" s="231">
        <v>3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57</v>
      </c>
      <c r="D19" s="231">
        <v>2</v>
      </c>
      <c r="E19" s="231">
        <v>4</v>
      </c>
      <c r="F19" s="231">
        <v>0</v>
      </c>
      <c r="G19" s="231">
        <v>0</v>
      </c>
      <c r="H19" s="231">
        <v>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57</v>
      </c>
      <c r="D20" s="231">
        <v>2</v>
      </c>
      <c r="E20" s="231">
        <v>5</v>
      </c>
      <c r="F20" s="231">
        <v>0</v>
      </c>
      <c r="G20" s="231">
        <v>0</v>
      </c>
      <c r="H20" s="231">
        <v>0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57</v>
      </c>
      <c r="D21" s="231">
        <v>2</v>
      </c>
      <c r="E21" s="231">
        <v>6</v>
      </c>
      <c r="F21" s="231">
        <v>0</v>
      </c>
      <c r="G21" s="231">
        <v>0</v>
      </c>
      <c r="H21" s="231">
        <v>0</v>
      </c>
      <c r="I21" s="231">
        <v>0</v>
      </c>
      <c r="J21" s="231">
        <v>0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</row>
    <row r="22" spans="3:40" x14ac:dyDescent="0.3">
      <c r="C22" s="231">
        <v>57</v>
      </c>
      <c r="D22" s="231">
        <v>2</v>
      </c>
      <c r="E22" s="231">
        <v>7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57</v>
      </c>
      <c r="D23" s="231">
        <v>2</v>
      </c>
      <c r="E23" s="231">
        <v>8</v>
      </c>
      <c r="F23" s="231">
        <v>0</v>
      </c>
      <c r="G23" s="231">
        <v>0</v>
      </c>
      <c r="H23" s="231">
        <v>0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57</v>
      </c>
      <c r="D24" s="231">
        <v>2</v>
      </c>
      <c r="E24" s="231">
        <v>9</v>
      </c>
      <c r="F24" s="231">
        <v>0</v>
      </c>
      <c r="G24" s="231">
        <v>0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57</v>
      </c>
      <c r="D25" s="231">
        <v>2</v>
      </c>
      <c r="E25" s="231">
        <v>10</v>
      </c>
      <c r="F25" s="231">
        <v>0</v>
      </c>
      <c r="G25" s="231">
        <v>0</v>
      </c>
      <c r="H25" s="231">
        <v>0</v>
      </c>
      <c r="I25" s="231">
        <v>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</row>
    <row r="26" spans="3:40" x14ac:dyDescent="0.3">
      <c r="C26" s="231">
        <v>57</v>
      </c>
      <c r="D26" s="231">
        <v>2</v>
      </c>
      <c r="E26" s="231">
        <v>11</v>
      </c>
      <c r="F26" s="231">
        <v>0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57</v>
      </c>
      <c r="D27" s="231">
        <v>3</v>
      </c>
      <c r="E27" s="231">
        <v>1</v>
      </c>
      <c r="F27" s="231">
        <v>0</v>
      </c>
      <c r="G27" s="231">
        <v>0</v>
      </c>
      <c r="H27" s="231">
        <v>0</v>
      </c>
      <c r="I27" s="231">
        <v>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57</v>
      </c>
      <c r="D28" s="231">
        <v>3</v>
      </c>
      <c r="E28" s="231">
        <v>2</v>
      </c>
      <c r="F28" s="231">
        <v>0</v>
      </c>
      <c r="G28" s="231">
        <v>0</v>
      </c>
      <c r="H28" s="231">
        <v>0</v>
      </c>
      <c r="I28" s="231">
        <v>0</v>
      </c>
      <c r="J28" s="231">
        <v>0</v>
      </c>
      <c r="K28" s="231">
        <v>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</row>
    <row r="29" spans="3:40" x14ac:dyDescent="0.3">
      <c r="C29" s="231">
        <v>57</v>
      </c>
      <c r="D29" s="231">
        <v>3</v>
      </c>
      <c r="E29" s="231">
        <v>3</v>
      </c>
      <c r="F29" s="231">
        <v>0</v>
      </c>
      <c r="G29" s="231">
        <v>0</v>
      </c>
      <c r="H29" s="231">
        <v>0</v>
      </c>
      <c r="I29" s="231">
        <v>0</v>
      </c>
      <c r="J29" s="231">
        <v>0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</row>
    <row r="30" spans="3:40" x14ac:dyDescent="0.3">
      <c r="C30" s="231">
        <v>57</v>
      </c>
      <c r="D30" s="231">
        <v>3</v>
      </c>
      <c r="E30" s="231">
        <v>4</v>
      </c>
      <c r="F30" s="231">
        <v>0</v>
      </c>
      <c r="G30" s="231">
        <v>0</v>
      </c>
      <c r="H30" s="231">
        <v>0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</row>
    <row r="31" spans="3:40" x14ac:dyDescent="0.3">
      <c r="C31" s="231">
        <v>57</v>
      </c>
      <c r="D31" s="231">
        <v>3</v>
      </c>
      <c r="E31" s="231">
        <v>5</v>
      </c>
      <c r="F31" s="231">
        <v>0</v>
      </c>
      <c r="G31" s="231">
        <v>0</v>
      </c>
      <c r="H31" s="231">
        <v>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57</v>
      </c>
      <c r="D32" s="231">
        <v>3</v>
      </c>
      <c r="E32" s="231">
        <v>6</v>
      </c>
      <c r="F32" s="231">
        <v>0</v>
      </c>
      <c r="G32" s="231">
        <v>0</v>
      </c>
      <c r="H32" s="231">
        <v>0</v>
      </c>
      <c r="I32" s="231">
        <v>0</v>
      </c>
      <c r="J32" s="231">
        <v>0</v>
      </c>
      <c r="K32" s="231">
        <v>0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57</v>
      </c>
      <c r="D33" s="231">
        <v>3</v>
      </c>
      <c r="E33" s="231">
        <v>7</v>
      </c>
      <c r="F33" s="231">
        <v>0</v>
      </c>
      <c r="G33" s="231">
        <v>0</v>
      </c>
      <c r="H33" s="231">
        <v>0</v>
      </c>
      <c r="I33" s="231">
        <v>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</row>
    <row r="34" spans="3:40" x14ac:dyDescent="0.3">
      <c r="C34" s="231">
        <v>57</v>
      </c>
      <c r="D34" s="231">
        <v>3</v>
      </c>
      <c r="E34" s="231">
        <v>8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</row>
    <row r="35" spans="3:40" x14ac:dyDescent="0.3">
      <c r="C35" s="231">
        <v>57</v>
      </c>
      <c r="D35" s="231">
        <v>3</v>
      </c>
      <c r="E35" s="231">
        <v>9</v>
      </c>
      <c r="F35" s="231">
        <v>0</v>
      </c>
      <c r="G35" s="231">
        <v>0</v>
      </c>
      <c r="H35" s="231">
        <v>0</v>
      </c>
      <c r="I35" s="231">
        <v>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57</v>
      </c>
      <c r="D36" s="231">
        <v>3</v>
      </c>
      <c r="E36" s="231">
        <v>10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</row>
    <row r="37" spans="3:40" x14ac:dyDescent="0.3">
      <c r="C37" s="231">
        <v>57</v>
      </c>
      <c r="D37" s="231">
        <v>3</v>
      </c>
      <c r="E37" s="231">
        <v>11</v>
      </c>
      <c r="F37" s="231">
        <v>0</v>
      </c>
      <c r="G37" s="231">
        <v>0</v>
      </c>
      <c r="H37" s="231">
        <v>0</v>
      </c>
      <c r="I37" s="231">
        <v>0</v>
      </c>
      <c r="J37" s="231">
        <v>0</v>
      </c>
      <c r="K37" s="231">
        <v>0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</row>
    <row r="38" spans="3:40" x14ac:dyDescent="0.3">
      <c r="C38" s="231">
        <v>57</v>
      </c>
      <c r="D38" s="231">
        <v>4</v>
      </c>
      <c r="E38" s="231">
        <v>1</v>
      </c>
      <c r="F38" s="231">
        <v>0</v>
      </c>
      <c r="G38" s="231">
        <v>0</v>
      </c>
      <c r="H38" s="231">
        <v>0</v>
      </c>
      <c r="I38" s="231">
        <v>0</v>
      </c>
      <c r="J38" s="231">
        <v>0</v>
      </c>
      <c r="K38" s="231">
        <v>0</v>
      </c>
      <c r="L38" s="231">
        <v>0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57</v>
      </c>
      <c r="D39" s="231">
        <v>4</v>
      </c>
      <c r="E39" s="231">
        <v>2</v>
      </c>
      <c r="F39" s="231">
        <v>0</v>
      </c>
      <c r="G39" s="231">
        <v>0</v>
      </c>
      <c r="H39" s="231">
        <v>0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</row>
    <row r="40" spans="3:40" x14ac:dyDescent="0.3">
      <c r="C40" s="231">
        <v>57</v>
      </c>
      <c r="D40" s="231">
        <v>4</v>
      </c>
      <c r="E40" s="231">
        <v>3</v>
      </c>
      <c r="F40" s="231">
        <v>0</v>
      </c>
      <c r="G40" s="231">
        <v>0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</row>
    <row r="41" spans="3:40" x14ac:dyDescent="0.3">
      <c r="C41" s="231">
        <v>57</v>
      </c>
      <c r="D41" s="231">
        <v>4</v>
      </c>
      <c r="E41" s="231">
        <v>4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</row>
    <row r="42" spans="3:40" x14ac:dyDescent="0.3">
      <c r="C42" s="231">
        <v>57</v>
      </c>
      <c r="D42" s="231">
        <v>4</v>
      </c>
      <c r="E42" s="231">
        <v>5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</row>
    <row r="43" spans="3:40" x14ac:dyDescent="0.3">
      <c r="C43" s="231">
        <v>57</v>
      </c>
      <c r="D43" s="231">
        <v>4</v>
      </c>
      <c r="E43" s="231">
        <v>6</v>
      </c>
      <c r="F43" s="231">
        <v>0</v>
      </c>
      <c r="G43" s="231">
        <v>0</v>
      </c>
      <c r="H43" s="231">
        <v>0</v>
      </c>
      <c r="I43" s="231">
        <v>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57</v>
      </c>
      <c r="D44" s="231">
        <v>4</v>
      </c>
      <c r="E44" s="231">
        <v>7</v>
      </c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</row>
    <row r="45" spans="3:40" x14ac:dyDescent="0.3">
      <c r="C45" s="231">
        <v>57</v>
      </c>
      <c r="D45" s="231">
        <v>4</v>
      </c>
      <c r="E45" s="231">
        <v>8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</row>
    <row r="46" spans="3:40" x14ac:dyDescent="0.3">
      <c r="C46" s="231">
        <v>57</v>
      </c>
      <c r="D46" s="231">
        <v>4</v>
      </c>
      <c r="E46" s="231">
        <v>9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0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0</v>
      </c>
      <c r="AN46" s="231">
        <v>0</v>
      </c>
    </row>
    <row r="47" spans="3:40" x14ac:dyDescent="0.3">
      <c r="C47" s="231">
        <v>57</v>
      </c>
      <c r="D47" s="231">
        <v>4</v>
      </c>
      <c r="E47" s="231">
        <v>10</v>
      </c>
      <c r="F47" s="231">
        <v>0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  <row r="48" spans="3:40" x14ac:dyDescent="0.3">
      <c r="C48" s="231">
        <v>57</v>
      </c>
      <c r="D48" s="231">
        <v>4</v>
      </c>
      <c r="E48" s="231">
        <v>11</v>
      </c>
      <c r="F48" s="231">
        <v>0</v>
      </c>
      <c r="G48" s="231">
        <v>0</v>
      </c>
      <c r="H48" s="231">
        <v>0</v>
      </c>
      <c r="I48" s="231">
        <v>0</v>
      </c>
      <c r="J48" s="231">
        <v>0</v>
      </c>
      <c r="K48" s="231">
        <v>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</row>
    <row r="49" spans="3:40" x14ac:dyDescent="0.3">
      <c r="C49" s="231">
        <v>57</v>
      </c>
      <c r="D49" s="231">
        <v>5</v>
      </c>
      <c r="E49" s="231">
        <v>1</v>
      </c>
      <c r="F49" s="231">
        <v>0</v>
      </c>
      <c r="G49" s="231">
        <v>0</v>
      </c>
      <c r="H49" s="231">
        <v>0</v>
      </c>
      <c r="I49" s="231">
        <v>0</v>
      </c>
      <c r="J49" s="231">
        <v>0</v>
      </c>
      <c r="K49" s="231">
        <v>0</v>
      </c>
      <c r="L49" s="231">
        <v>0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0</v>
      </c>
    </row>
    <row r="50" spans="3:40" x14ac:dyDescent="0.3">
      <c r="C50" s="231">
        <v>57</v>
      </c>
      <c r="D50" s="231">
        <v>5</v>
      </c>
      <c r="E50" s="231">
        <v>2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0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0</v>
      </c>
      <c r="AM50" s="231">
        <v>0</v>
      </c>
      <c r="AN50" s="231">
        <v>0</v>
      </c>
    </row>
    <row r="51" spans="3:40" x14ac:dyDescent="0.3">
      <c r="C51" s="231">
        <v>57</v>
      </c>
      <c r="D51" s="231">
        <v>5</v>
      </c>
      <c r="E51" s="231">
        <v>3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</row>
    <row r="52" spans="3:40" x14ac:dyDescent="0.3">
      <c r="C52" s="231">
        <v>57</v>
      </c>
      <c r="D52" s="231">
        <v>5</v>
      </c>
      <c r="E52" s="231">
        <v>4</v>
      </c>
      <c r="F52" s="231">
        <v>0</v>
      </c>
      <c r="G52" s="231">
        <v>0</v>
      </c>
      <c r="H52" s="231">
        <v>0</v>
      </c>
      <c r="I52" s="231">
        <v>0</v>
      </c>
      <c r="J52" s="231">
        <v>0</v>
      </c>
      <c r="K52" s="231">
        <v>0</v>
      </c>
      <c r="L52" s="231">
        <v>0</v>
      </c>
      <c r="M52" s="231">
        <v>0</v>
      </c>
      <c r="N52" s="231">
        <v>0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</row>
    <row r="53" spans="3:40" x14ac:dyDescent="0.3">
      <c r="C53" s="231">
        <v>57</v>
      </c>
      <c r="D53" s="231">
        <v>5</v>
      </c>
      <c r="E53" s="231">
        <v>5</v>
      </c>
      <c r="F53" s="231">
        <v>0</v>
      </c>
      <c r="G53" s="231">
        <v>0</v>
      </c>
      <c r="H53" s="231">
        <v>0</v>
      </c>
      <c r="I53" s="231">
        <v>0</v>
      </c>
      <c r="J53" s="231">
        <v>0</v>
      </c>
      <c r="K53" s="231">
        <v>0</v>
      </c>
      <c r="L53" s="231">
        <v>0</v>
      </c>
      <c r="M53" s="231">
        <v>0</v>
      </c>
      <c r="N53" s="231">
        <v>0</v>
      </c>
      <c r="O53" s="231">
        <v>0</v>
      </c>
      <c r="P53" s="231">
        <v>0</v>
      </c>
      <c r="Q53" s="231">
        <v>0</v>
      </c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1">
        <v>0</v>
      </c>
      <c r="X53" s="231">
        <v>0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0</v>
      </c>
      <c r="AM53" s="231">
        <v>0</v>
      </c>
      <c r="AN53" s="231">
        <v>0</v>
      </c>
    </row>
    <row r="54" spans="3:40" x14ac:dyDescent="0.3">
      <c r="C54" s="231">
        <v>57</v>
      </c>
      <c r="D54" s="231">
        <v>5</v>
      </c>
      <c r="E54" s="231">
        <v>6</v>
      </c>
      <c r="F54" s="231">
        <v>0</v>
      </c>
      <c r="G54" s="231">
        <v>0</v>
      </c>
      <c r="H54" s="231">
        <v>0</v>
      </c>
      <c r="I54" s="231">
        <v>0</v>
      </c>
      <c r="J54" s="231">
        <v>0</v>
      </c>
      <c r="K54" s="231">
        <v>0</v>
      </c>
      <c r="L54" s="231">
        <v>0</v>
      </c>
      <c r="M54" s="231">
        <v>0</v>
      </c>
      <c r="N54" s="231">
        <v>0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0</v>
      </c>
      <c r="AM54" s="231">
        <v>0</v>
      </c>
      <c r="AN54" s="231">
        <v>0</v>
      </c>
    </row>
    <row r="55" spans="3:40" x14ac:dyDescent="0.3">
      <c r="C55" s="231">
        <v>57</v>
      </c>
      <c r="D55" s="231">
        <v>5</v>
      </c>
      <c r="E55" s="231">
        <v>7</v>
      </c>
      <c r="F55" s="231">
        <v>0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</row>
    <row r="56" spans="3:40" x14ac:dyDescent="0.3">
      <c r="C56" s="231">
        <v>57</v>
      </c>
      <c r="D56" s="231">
        <v>5</v>
      </c>
      <c r="E56" s="231">
        <v>8</v>
      </c>
      <c r="F56" s="231">
        <v>0</v>
      </c>
      <c r="G56" s="231">
        <v>0</v>
      </c>
      <c r="H56" s="231">
        <v>0</v>
      </c>
      <c r="I56" s="231">
        <v>0</v>
      </c>
      <c r="J56" s="231">
        <v>0</v>
      </c>
      <c r="K56" s="231">
        <v>0</v>
      </c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0</v>
      </c>
      <c r="AA56" s="231">
        <v>0</v>
      </c>
      <c r="AB56" s="231">
        <v>0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0</v>
      </c>
      <c r="AI56" s="231">
        <v>0</v>
      </c>
      <c r="AJ56" s="231">
        <v>0</v>
      </c>
      <c r="AK56" s="231">
        <v>0</v>
      </c>
      <c r="AL56" s="231">
        <v>0</v>
      </c>
      <c r="AM56" s="231">
        <v>0</v>
      </c>
      <c r="AN56" s="231">
        <v>0</v>
      </c>
    </row>
    <row r="57" spans="3:40" x14ac:dyDescent="0.3">
      <c r="C57" s="231">
        <v>57</v>
      </c>
      <c r="D57" s="231">
        <v>5</v>
      </c>
      <c r="E57" s="231">
        <v>9</v>
      </c>
      <c r="F57" s="231">
        <v>0</v>
      </c>
      <c r="G57" s="231">
        <v>0</v>
      </c>
      <c r="H57" s="231">
        <v>0</v>
      </c>
      <c r="I57" s="231">
        <v>0</v>
      </c>
      <c r="J57" s="231">
        <v>0</v>
      </c>
      <c r="K57" s="231">
        <v>0</v>
      </c>
      <c r="L57" s="231">
        <v>0</v>
      </c>
      <c r="M57" s="231">
        <v>0</v>
      </c>
      <c r="N57" s="231">
        <v>0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0</v>
      </c>
      <c r="AA57" s="231">
        <v>0</v>
      </c>
      <c r="AB57" s="231">
        <v>0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0</v>
      </c>
      <c r="AI57" s="231">
        <v>0</v>
      </c>
      <c r="AJ57" s="231">
        <v>0</v>
      </c>
      <c r="AK57" s="231">
        <v>0</v>
      </c>
      <c r="AL57" s="231">
        <v>0</v>
      </c>
      <c r="AM57" s="231">
        <v>0</v>
      </c>
      <c r="AN57" s="231">
        <v>0</v>
      </c>
    </row>
    <row r="58" spans="3:40" x14ac:dyDescent="0.3">
      <c r="C58" s="231">
        <v>57</v>
      </c>
      <c r="D58" s="231">
        <v>5</v>
      </c>
      <c r="E58" s="231">
        <v>10</v>
      </c>
      <c r="F58" s="231">
        <v>0</v>
      </c>
      <c r="G58" s="231">
        <v>0</v>
      </c>
      <c r="H58" s="231">
        <v>0</v>
      </c>
      <c r="I58" s="231">
        <v>0</v>
      </c>
      <c r="J58" s="231">
        <v>0</v>
      </c>
      <c r="K58" s="231">
        <v>0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0</v>
      </c>
      <c r="AM58" s="231">
        <v>0</v>
      </c>
      <c r="AN58" s="231">
        <v>0</v>
      </c>
    </row>
    <row r="59" spans="3:40" x14ac:dyDescent="0.3">
      <c r="C59" s="231">
        <v>57</v>
      </c>
      <c r="D59" s="231">
        <v>5</v>
      </c>
      <c r="E59" s="231">
        <v>11</v>
      </c>
      <c r="F59" s="231">
        <v>0</v>
      </c>
      <c r="G59" s="231">
        <v>0</v>
      </c>
      <c r="H59" s="231">
        <v>0</v>
      </c>
      <c r="I59" s="231">
        <v>0</v>
      </c>
      <c r="J59" s="231">
        <v>0</v>
      </c>
      <c r="K59" s="231">
        <v>0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0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0</v>
      </c>
      <c r="AI59" s="231">
        <v>0</v>
      </c>
      <c r="AJ59" s="231">
        <v>0</v>
      </c>
      <c r="AK59" s="231">
        <v>0</v>
      </c>
      <c r="AL59" s="231">
        <v>0</v>
      </c>
      <c r="AM59" s="231">
        <v>0</v>
      </c>
      <c r="AN59" s="231">
        <v>0</v>
      </c>
    </row>
    <row r="60" spans="3:40" x14ac:dyDescent="0.3">
      <c r="C60" s="231">
        <v>57</v>
      </c>
      <c r="D60" s="231">
        <v>6</v>
      </c>
      <c r="E60" s="231">
        <v>1</v>
      </c>
      <c r="F60" s="231">
        <v>0</v>
      </c>
      <c r="G60" s="231">
        <v>0</v>
      </c>
      <c r="H60" s="231">
        <v>0</v>
      </c>
      <c r="I60" s="231">
        <v>0</v>
      </c>
      <c r="J60" s="231">
        <v>0</v>
      </c>
      <c r="K60" s="231">
        <v>0</v>
      </c>
      <c r="L60" s="231">
        <v>0</v>
      </c>
      <c r="M60" s="231">
        <v>0</v>
      </c>
      <c r="N60" s="231">
        <v>0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1">
        <v>0</v>
      </c>
      <c r="Z60" s="231">
        <v>0</v>
      </c>
      <c r="AA60" s="231">
        <v>0</v>
      </c>
      <c r="AB60" s="231">
        <v>0</v>
      </c>
      <c r="AC60" s="231">
        <v>0</v>
      </c>
      <c r="AD60" s="231">
        <v>0</v>
      </c>
      <c r="AE60" s="231">
        <v>0</v>
      </c>
      <c r="AF60" s="231">
        <v>0</v>
      </c>
      <c r="AG60" s="231">
        <v>0</v>
      </c>
      <c r="AH60" s="231">
        <v>0</v>
      </c>
      <c r="AI60" s="231">
        <v>0</v>
      </c>
      <c r="AJ60" s="231">
        <v>0</v>
      </c>
      <c r="AK60" s="231">
        <v>0</v>
      </c>
      <c r="AL60" s="231">
        <v>0</v>
      </c>
      <c r="AM60" s="231">
        <v>0</v>
      </c>
      <c r="AN60" s="231">
        <v>0</v>
      </c>
    </row>
    <row r="61" spans="3:40" x14ac:dyDescent="0.3">
      <c r="C61" s="231">
        <v>57</v>
      </c>
      <c r="D61" s="231">
        <v>6</v>
      </c>
      <c r="E61" s="231">
        <v>2</v>
      </c>
      <c r="F61" s="231">
        <v>0</v>
      </c>
      <c r="G61" s="231">
        <v>0</v>
      </c>
      <c r="H61" s="231">
        <v>0</v>
      </c>
      <c r="I61" s="231">
        <v>0</v>
      </c>
      <c r="J61" s="231">
        <v>0</v>
      </c>
      <c r="K61" s="231">
        <v>0</v>
      </c>
      <c r="L61" s="231">
        <v>0</v>
      </c>
      <c r="M61" s="231">
        <v>0</v>
      </c>
      <c r="N61" s="231">
        <v>0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231">
        <v>0</v>
      </c>
      <c r="V61" s="231">
        <v>0</v>
      </c>
      <c r="W61" s="231">
        <v>0</v>
      </c>
      <c r="X61" s="231">
        <v>0</v>
      </c>
      <c r="Y61" s="231">
        <v>0</v>
      </c>
      <c r="Z61" s="231">
        <v>0</v>
      </c>
      <c r="AA61" s="231">
        <v>0</v>
      </c>
      <c r="AB61" s="231">
        <v>0</v>
      </c>
      <c r="AC61" s="231">
        <v>0</v>
      </c>
      <c r="AD61" s="231">
        <v>0</v>
      </c>
      <c r="AE61" s="231">
        <v>0</v>
      </c>
      <c r="AF61" s="231">
        <v>0</v>
      </c>
      <c r="AG61" s="231">
        <v>0</v>
      </c>
      <c r="AH61" s="231">
        <v>0</v>
      </c>
      <c r="AI61" s="231">
        <v>0</v>
      </c>
      <c r="AJ61" s="231">
        <v>0</v>
      </c>
      <c r="AK61" s="231">
        <v>0</v>
      </c>
      <c r="AL61" s="231">
        <v>0</v>
      </c>
      <c r="AM61" s="231">
        <v>0</v>
      </c>
      <c r="AN61" s="231">
        <v>0</v>
      </c>
    </row>
    <row r="62" spans="3:40" x14ac:dyDescent="0.3">
      <c r="C62" s="231">
        <v>57</v>
      </c>
      <c r="D62" s="231">
        <v>6</v>
      </c>
      <c r="E62" s="231">
        <v>3</v>
      </c>
      <c r="F62" s="231">
        <v>0</v>
      </c>
      <c r="G62" s="231">
        <v>0</v>
      </c>
      <c r="H62" s="231">
        <v>0</v>
      </c>
      <c r="I62" s="231">
        <v>0</v>
      </c>
      <c r="J62" s="231">
        <v>0</v>
      </c>
      <c r="K62" s="231">
        <v>0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1">
        <v>0</v>
      </c>
      <c r="Y62" s="231">
        <v>0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v>0</v>
      </c>
      <c r="AF62" s="231">
        <v>0</v>
      </c>
      <c r="AG62" s="231">
        <v>0</v>
      </c>
      <c r="AH62" s="231">
        <v>0</v>
      </c>
      <c r="AI62" s="231">
        <v>0</v>
      </c>
      <c r="AJ62" s="231">
        <v>0</v>
      </c>
      <c r="AK62" s="231">
        <v>0</v>
      </c>
      <c r="AL62" s="231">
        <v>0</v>
      </c>
      <c r="AM62" s="231">
        <v>0</v>
      </c>
      <c r="AN62" s="231">
        <v>0</v>
      </c>
    </row>
    <row r="63" spans="3:40" x14ac:dyDescent="0.3">
      <c r="C63" s="231">
        <v>57</v>
      </c>
      <c r="D63" s="231">
        <v>6</v>
      </c>
      <c r="E63" s="231">
        <v>4</v>
      </c>
      <c r="F63" s="231">
        <v>0</v>
      </c>
      <c r="G63" s="231">
        <v>0</v>
      </c>
      <c r="H63" s="231">
        <v>0</v>
      </c>
      <c r="I63" s="231">
        <v>0</v>
      </c>
      <c r="J63" s="231">
        <v>0</v>
      </c>
      <c r="K63" s="231">
        <v>0</v>
      </c>
      <c r="L63" s="231">
        <v>0</v>
      </c>
      <c r="M63" s="231">
        <v>0</v>
      </c>
      <c r="N63" s="231">
        <v>0</v>
      </c>
      <c r="O63" s="231">
        <v>0</v>
      </c>
      <c r="P63" s="231">
        <v>0</v>
      </c>
      <c r="Q63" s="231">
        <v>0</v>
      </c>
      <c r="R63" s="231">
        <v>0</v>
      </c>
      <c r="S63" s="231">
        <v>0</v>
      </c>
      <c r="T63" s="231">
        <v>0</v>
      </c>
      <c r="U63" s="231">
        <v>0</v>
      </c>
      <c r="V63" s="231">
        <v>0</v>
      </c>
      <c r="W63" s="231">
        <v>0</v>
      </c>
      <c r="X63" s="231">
        <v>0</v>
      </c>
      <c r="Y63" s="231">
        <v>0</v>
      </c>
      <c r="Z63" s="231">
        <v>0</v>
      </c>
      <c r="AA63" s="231">
        <v>0</v>
      </c>
      <c r="AB63" s="231">
        <v>0</v>
      </c>
      <c r="AC63" s="231">
        <v>0</v>
      </c>
      <c r="AD63" s="231">
        <v>0</v>
      </c>
      <c r="AE63" s="231">
        <v>0</v>
      </c>
      <c r="AF63" s="231">
        <v>0</v>
      </c>
      <c r="AG63" s="231">
        <v>0</v>
      </c>
      <c r="AH63" s="231">
        <v>0</v>
      </c>
      <c r="AI63" s="231">
        <v>0</v>
      </c>
      <c r="AJ63" s="231">
        <v>0</v>
      </c>
      <c r="AK63" s="231">
        <v>0</v>
      </c>
      <c r="AL63" s="231">
        <v>0</v>
      </c>
      <c r="AM63" s="231">
        <v>0</v>
      </c>
      <c r="AN63" s="231">
        <v>0</v>
      </c>
    </row>
    <row r="64" spans="3:40" x14ac:dyDescent="0.3">
      <c r="C64" s="231">
        <v>57</v>
      </c>
      <c r="D64" s="231">
        <v>6</v>
      </c>
      <c r="E64" s="231">
        <v>5</v>
      </c>
      <c r="F64" s="231">
        <v>0</v>
      </c>
      <c r="G64" s="231">
        <v>0</v>
      </c>
      <c r="H64" s="231">
        <v>0</v>
      </c>
      <c r="I64" s="231">
        <v>0</v>
      </c>
      <c r="J64" s="231">
        <v>0</v>
      </c>
      <c r="K64" s="231">
        <v>0</v>
      </c>
      <c r="L64" s="231">
        <v>0</v>
      </c>
      <c r="M64" s="231">
        <v>0</v>
      </c>
      <c r="N64" s="231">
        <v>0</v>
      </c>
      <c r="O64" s="231">
        <v>0</v>
      </c>
      <c r="P64" s="231">
        <v>0</v>
      </c>
      <c r="Q64" s="231">
        <v>0</v>
      </c>
      <c r="R64" s="231">
        <v>0</v>
      </c>
      <c r="S64" s="231">
        <v>0</v>
      </c>
      <c r="T64" s="231">
        <v>0</v>
      </c>
      <c r="U64" s="231">
        <v>0</v>
      </c>
      <c r="V64" s="231">
        <v>0</v>
      </c>
      <c r="W64" s="231">
        <v>0</v>
      </c>
      <c r="X64" s="231">
        <v>0</v>
      </c>
      <c r="Y64" s="231">
        <v>0</v>
      </c>
      <c r="Z64" s="231">
        <v>0</v>
      </c>
      <c r="AA64" s="231">
        <v>0</v>
      </c>
      <c r="AB64" s="231">
        <v>0</v>
      </c>
      <c r="AC64" s="231">
        <v>0</v>
      </c>
      <c r="AD64" s="231">
        <v>0</v>
      </c>
      <c r="AE64" s="231">
        <v>0</v>
      </c>
      <c r="AF64" s="231">
        <v>0</v>
      </c>
      <c r="AG64" s="231">
        <v>0</v>
      </c>
      <c r="AH64" s="231">
        <v>0</v>
      </c>
      <c r="AI64" s="231">
        <v>0</v>
      </c>
      <c r="AJ64" s="231">
        <v>0</v>
      </c>
      <c r="AK64" s="231">
        <v>0</v>
      </c>
      <c r="AL64" s="231">
        <v>0</v>
      </c>
      <c r="AM64" s="231">
        <v>0</v>
      </c>
      <c r="AN64" s="231">
        <v>0</v>
      </c>
    </row>
    <row r="65" spans="3:40" x14ac:dyDescent="0.3">
      <c r="C65" s="231">
        <v>57</v>
      </c>
      <c r="D65" s="231">
        <v>6</v>
      </c>
      <c r="E65" s="231">
        <v>6</v>
      </c>
      <c r="F65" s="231">
        <v>0</v>
      </c>
      <c r="G65" s="231">
        <v>0</v>
      </c>
      <c r="H65" s="231">
        <v>0</v>
      </c>
      <c r="I65" s="231">
        <v>0</v>
      </c>
      <c r="J65" s="231">
        <v>0</v>
      </c>
      <c r="K65" s="231">
        <v>0</v>
      </c>
      <c r="L65" s="231">
        <v>0</v>
      </c>
      <c r="M65" s="231">
        <v>0</v>
      </c>
      <c r="N65" s="231">
        <v>0</v>
      </c>
      <c r="O65" s="231">
        <v>0</v>
      </c>
      <c r="P65" s="231">
        <v>0</v>
      </c>
      <c r="Q65" s="231">
        <v>0</v>
      </c>
      <c r="R65" s="231">
        <v>0</v>
      </c>
      <c r="S65" s="231">
        <v>0</v>
      </c>
      <c r="T65" s="231">
        <v>0</v>
      </c>
      <c r="U65" s="231">
        <v>0</v>
      </c>
      <c r="V65" s="231">
        <v>0</v>
      </c>
      <c r="W65" s="231">
        <v>0</v>
      </c>
      <c r="X65" s="231">
        <v>0</v>
      </c>
      <c r="Y65" s="231">
        <v>0</v>
      </c>
      <c r="Z65" s="231">
        <v>0</v>
      </c>
      <c r="AA65" s="231">
        <v>0</v>
      </c>
      <c r="AB65" s="231">
        <v>0</v>
      </c>
      <c r="AC65" s="231">
        <v>0</v>
      </c>
      <c r="AD65" s="231">
        <v>0</v>
      </c>
      <c r="AE65" s="231">
        <v>0</v>
      </c>
      <c r="AF65" s="231">
        <v>0</v>
      </c>
      <c r="AG65" s="231">
        <v>0</v>
      </c>
      <c r="AH65" s="231">
        <v>0</v>
      </c>
      <c r="AI65" s="231">
        <v>0</v>
      </c>
      <c r="AJ65" s="231">
        <v>0</v>
      </c>
      <c r="AK65" s="231">
        <v>0</v>
      </c>
      <c r="AL65" s="231">
        <v>0</v>
      </c>
      <c r="AM65" s="231">
        <v>0</v>
      </c>
      <c r="AN65" s="231">
        <v>0</v>
      </c>
    </row>
    <row r="66" spans="3:40" x14ac:dyDescent="0.3">
      <c r="C66" s="231">
        <v>57</v>
      </c>
      <c r="D66" s="231">
        <v>6</v>
      </c>
      <c r="E66" s="231">
        <v>7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0</v>
      </c>
      <c r="P66" s="231">
        <v>0</v>
      </c>
      <c r="Q66" s="231">
        <v>0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v>0</v>
      </c>
      <c r="AF66" s="231">
        <v>0</v>
      </c>
      <c r="AG66" s="231">
        <v>0</v>
      </c>
      <c r="AH66" s="231">
        <v>0</v>
      </c>
      <c r="AI66" s="231">
        <v>0</v>
      </c>
      <c r="AJ66" s="231">
        <v>0</v>
      </c>
      <c r="AK66" s="231">
        <v>0</v>
      </c>
      <c r="AL66" s="231">
        <v>0</v>
      </c>
      <c r="AM66" s="231">
        <v>0</v>
      </c>
      <c r="AN66" s="231">
        <v>0</v>
      </c>
    </row>
    <row r="67" spans="3:40" x14ac:dyDescent="0.3">
      <c r="C67" s="231">
        <v>57</v>
      </c>
      <c r="D67" s="231">
        <v>6</v>
      </c>
      <c r="E67" s="231">
        <v>8</v>
      </c>
      <c r="F67" s="231">
        <v>0</v>
      </c>
      <c r="G67" s="231">
        <v>0</v>
      </c>
      <c r="H67" s="231">
        <v>0</v>
      </c>
      <c r="I67" s="231">
        <v>0</v>
      </c>
      <c r="J67" s="231">
        <v>0</v>
      </c>
      <c r="K67" s="231">
        <v>0</v>
      </c>
      <c r="L67" s="231">
        <v>0</v>
      </c>
      <c r="M67" s="231">
        <v>0</v>
      </c>
      <c r="N67" s="231">
        <v>0</v>
      </c>
      <c r="O67" s="231">
        <v>0</v>
      </c>
      <c r="P67" s="231">
        <v>0</v>
      </c>
      <c r="Q67" s="231">
        <v>0</v>
      </c>
      <c r="R67" s="231">
        <v>0</v>
      </c>
      <c r="S67" s="231">
        <v>0</v>
      </c>
      <c r="T67" s="231">
        <v>0</v>
      </c>
      <c r="U67" s="231">
        <v>0</v>
      </c>
      <c r="V67" s="231">
        <v>0</v>
      </c>
      <c r="W67" s="231">
        <v>0</v>
      </c>
      <c r="X67" s="231">
        <v>0</v>
      </c>
      <c r="Y67" s="231">
        <v>0</v>
      </c>
      <c r="Z67" s="231">
        <v>0</v>
      </c>
      <c r="AA67" s="231">
        <v>0</v>
      </c>
      <c r="AB67" s="231">
        <v>0</v>
      </c>
      <c r="AC67" s="231">
        <v>0</v>
      </c>
      <c r="AD67" s="231">
        <v>0</v>
      </c>
      <c r="AE67" s="231">
        <v>0</v>
      </c>
      <c r="AF67" s="231">
        <v>0</v>
      </c>
      <c r="AG67" s="231">
        <v>0</v>
      </c>
      <c r="AH67" s="231">
        <v>0</v>
      </c>
      <c r="AI67" s="231">
        <v>0</v>
      </c>
      <c r="AJ67" s="231">
        <v>0</v>
      </c>
      <c r="AK67" s="231">
        <v>0</v>
      </c>
      <c r="AL67" s="231">
        <v>0</v>
      </c>
      <c r="AM67" s="231">
        <v>0</v>
      </c>
      <c r="AN67" s="231">
        <v>0</v>
      </c>
    </row>
    <row r="68" spans="3:40" x14ac:dyDescent="0.3">
      <c r="C68" s="231">
        <v>57</v>
      </c>
      <c r="D68" s="231">
        <v>6</v>
      </c>
      <c r="E68" s="231">
        <v>9</v>
      </c>
      <c r="F68" s="231">
        <v>0</v>
      </c>
      <c r="G68" s="231">
        <v>0</v>
      </c>
      <c r="H68" s="231">
        <v>0</v>
      </c>
      <c r="I68" s="231">
        <v>0</v>
      </c>
      <c r="J68" s="231">
        <v>0</v>
      </c>
      <c r="K68" s="231">
        <v>0</v>
      </c>
      <c r="L68" s="231">
        <v>0</v>
      </c>
      <c r="M68" s="231">
        <v>0</v>
      </c>
      <c r="N68" s="231">
        <v>0</v>
      </c>
      <c r="O68" s="231">
        <v>0</v>
      </c>
      <c r="P68" s="231">
        <v>0</v>
      </c>
      <c r="Q68" s="231">
        <v>0</v>
      </c>
      <c r="R68" s="231">
        <v>0</v>
      </c>
      <c r="S68" s="231">
        <v>0</v>
      </c>
      <c r="T68" s="231">
        <v>0</v>
      </c>
      <c r="U68" s="231">
        <v>0</v>
      </c>
      <c r="V68" s="231">
        <v>0</v>
      </c>
      <c r="W68" s="231">
        <v>0</v>
      </c>
      <c r="X68" s="231">
        <v>0</v>
      </c>
      <c r="Y68" s="231">
        <v>0</v>
      </c>
      <c r="Z68" s="231">
        <v>0</v>
      </c>
      <c r="AA68" s="231">
        <v>0</v>
      </c>
      <c r="AB68" s="231">
        <v>0</v>
      </c>
      <c r="AC68" s="231">
        <v>0</v>
      </c>
      <c r="AD68" s="231">
        <v>0</v>
      </c>
      <c r="AE68" s="231">
        <v>0</v>
      </c>
      <c r="AF68" s="231">
        <v>0</v>
      </c>
      <c r="AG68" s="231">
        <v>0</v>
      </c>
      <c r="AH68" s="231">
        <v>0</v>
      </c>
      <c r="AI68" s="231">
        <v>0</v>
      </c>
      <c r="AJ68" s="231">
        <v>0</v>
      </c>
      <c r="AK68" s="231">
        <v>0</v>
      </c>
      <c r="AL68" s="231">
        <v>0</v>
      </c>
      <c r="AM68" s="231">
        <v>0</v>
      </c>
      <c r="AN68" s="231">
        <v>0</v>
      </c>
    </row>
    <row r="69" spans="3:40" x14ac:dyDescent="0.3">
      <c r="C69" s="231">
        <v>57</v>
      </c>
      <c r="D69" s="231">
        <v>6</v>
      </c>
      <c r="E69" s="231">
        <v>10</v>
      </c>
      <c r="F69" s="231">
        <v>0</v>
      </c>
      <c r="G69" s="231">
        <v>0</v>
      </c>
      <c r="H69" s="231">
        <v>0</v>
      </c>
      <c r="I69" s="231">
        <v>0</v>
      </c>
      <c r="J69" s="231">
        <v>0</v>
      </c>
      <c r="K69" s="231">
        <v>0</v>
      </c>
      <c r="L69" s="231">
        <v>0</v>
      </c>
      <c r="M69" s="231">
        <v>0</v>
      </c>
      <c r="N69" s="231">
        <v>0</v>
      </c>
      <c r="O69" s="231">
        <v>0</v>
      </c>
      <c r="P69" s="231">
        <v>0</v>
      </c>
      <c r="Q69" s="231">
        <v>0</v>
      </c>
      <c r="R69" s="231">
        <v>0</v>
      </c>
      <c r="S69" s="231">
        <v>0</v>
      </c>
      <c r="T69" s="231">
        <v>0</v>
      </c>
      <c r="U69" s="231">
        <v>0</v>
      </c>
      <c r="V69" s="231">
        <v>0</v>
      </c>
      <c r="W69" s="231">
        <v>0</v>
      </c>
      <c r="X69" s="231">
        <v>0</v>
      </c>
      <c r="Y69" s="231">
        <v>0</v>
      </c>
      <c r="Z69" s="231">
        <v>0</v>
      </c>
      <c r="AA69" s="231">
        <v>0</v>
      </c>
      <c r="AB69" s="231">
        <v>0</v>
      </c>
      <c r="AC69" s="231">
        <v>0</v>
      </c>
      <c r="AD69" s="231">
        <v>0</v>
      </c>
      <c r="AE69" s="231">
        <v>0</v>
      </c>
      <c r="AF69" s="231">
        <v>0</v>
      </c>
      <c r="AG69" s="231">
        <v>0</v>
      </c>
      <c r="AH69" s="231">
        <v>0</v>
      </c>
      <c r="AI69" s="231">
        <v>0</v>
      </c>
      <c r="AJ69" s="231">
        <v>0</v>
      </c>
      <c r="AK69" s="231">
        <v>0</v>
      </c>
      <c r="AL69" s="231">
        <v>0</v>
      </c>
      <c r="AM69" s="231">
        <v>0</v>
      </c>
      <c r="AN69" s="231">
        <v>0</v>
      </c>
    </row>
    <row r="70" spans="3:40" x14ac:dyDescent="0.3">
      <c r="C70" s="231">
        <v>57</v>
      </c>
      <c r="D70" s="231">
        <v>6</v>
      </c>
      <c r="E70" s="231">
        <v>11</v>
      </c>
      <c r="F70" s="231">
        <v>0</v>
      </c>
      <c r="G70" s="231">
        <v>0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0</v>
      </c>
      <c r="Q70" s="231">
        <v>0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v>0</v>
      </c>
      <c r="AF70" s="231">
        <v>0</v>
      </c>
      <c r="AG70" s="231">
        <v>0</v>
      </c>
      <c r="AH70" s="231">
        <v>0</v>
      </c>
      <c r="AI70" s="231">
        <v>0</v>
      </c>
      <c r="AJ70" s="231">
        <v>0</v>
      </c>
      <c r="AK70" s="231">
        <v>0</v>
      </c>
      <c r="AL70" s="231">
        <v>0</v>
      </c>
      <c r="AM70" s="231">
        <v>0</v>
      </c>
      <c r="AN70" s="231">
        <v>0</v>
      </c>
    </row>
    <row r="71" spans="3:40" x14ac:dyDescent="0.3">
      <c r="C71" s="231">
        <v>57</v>
      </c>
      <c r="D71" s="231">
        <v>7</v>
      </c>
      <c r="E71" s="231">
        <v>1</v>
      </c>
      <c r="F71" s="231">
        <v>0</v>
      </c>
      <c r="G71" s="231">
        <v>0</v>
      </c>
      <c r="H71" s="231">
        <v>0</v>
      </c>
      <c r="I71" s="231">
        <v>0</v>
      </c>
      <c r="J71" s="231">
        <v>0</v>
      </c>
      <c r="K71" s="231">
        <v>0</v>
      </c>
      <c r="L71" s="231">
        <v>0</v>
      </c>
      <c r="M71" s="231">
        <v>0</v>
      </c>
      <c r="N71" s="231">
        <v>0</v>
      </c>
      <c r="O71" s="231">
        <v>0</v>
      </c>
      <c r="P71" s="231">
        <v>0</v>
      </c>
      <c r="Q71" s="231">
        <v>0</v>
      </c>
      <c r="R71" s="231">
        <v>0</v>
      </c>
      <c r="S71" s="231">
        <v>0</v>
      </c>
      <c r="T71" s="231">
        <v>0</v>
      </c>
      <c r="U71" s="231">
        <v>0</v>
      </c>
      <c r="V71" s="231">
        <v>0</v>
      </c>
      <c r="W71" s="231">
        <v>0</v>
      </c>
      <c r="X71" s="231">
        <v>0</v>
      </c>
      <c r="Y71" s="231">
        <v>0</v>
      </c>
      <c r="Z71" s="231">
        <v>0</v>
      </c>
      <c r="AA71" s="231">
        <v>0</v>
      </c>
      <c r="AB71" s="231">
        <v>0</v>
      </c>
      <c r="AC71" s="231">
        <v>0</v>
      </c>
      <c r="AD71" s="231">
        <v>0</v>
      </c>
      <c r="AE71" s="231">
        <v>0</v>
      </c>
      <c r="AF71" s="231">
        <v>0</v>
      </c>
      <c r="AG71" s="231">
        <v>0</v>
      </c>
      <c r="AH71" s="231">
        <v>0</v>
      </c>
      <c r="AI71" s="231">
        <v>0</v>
      </c>
      <c r="AJ71" s="231">
        <v>0</v>
      </c>
      <c r="AK71" s="231">
        <v>0</v>
      </c>
      <c r="AL71" s="231">
        <v>0</v>
      </c>
      <c r="AM71" s="231">
        <v>0</v>
      </c>
      <c r="AN71" s="231">
        <v>0</v>
      </c>
    </row>
    <row r="72" spans="3:40" x14ac:dyDescent="0.3">
      <c r="C72" s="231">
        <v>57</v>
      </c>
      <c r="D72" s="231">
        <v>7</v>
      </c>
      <c r="E72" s="231">
        <v>2</v>
      </c>
      <c r="F72" s="231">
        <v>0</v>
      </c>
      <c r="G72" s="231">
        <v>0</v>
      </c>
      <c r="H72" s="231">
        <v>0</v>
      </c>
      <c r="I72" s="231">
        <v>0</v>
      </c>
      <c r="J72" s="231">
        <v>0</v>
      </c>
      <c r="K72" s="231">
        <v>0</v>
      </c>
      <c r="L72" s="231">
        <v>0</v>
      </c>
      <c r="M72" s="231">
        <v>0</v>
      </c>
      <c r="N72" s="231">
        <v>0</v>
      </c>
      <c r="O72" s="231">
        <v>0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0</v>
      </c>
      <c r="V72" s="231">
        <v>0</v>
      </c>
      <c r="W72" s="231">
        <v>0</v>
      </c>
      <c r="X72" s="231">
        <v>0</v>
      </c>
      <c r="Y72" s="231">
        <v>0</v>
      </c>
      <c r="Z72" s="231">
        <v>0</v>
      </c>
      <c r="AA72" s="231">
        <v>0</v>
      </c>
      <c r="AB72" s="231">
        <v>0</v>
      </c>
      <c r="AC72" s="231">
        <v>0</v>
      </c>
      <c r="AD72" s="231">
        <v>0</v>
      </c>
      <c r="AE72" s="231">
        <v>0</v>
      </c>
      <c r="AF72" s="231">
        <v>0</v>
      </c>
      <c r="AG72" s="231">
        <v>0</v>
      </c>
      <c r="AH72" s="231">
        <v>0</v>
      </c>
      <c r="AI72" s="231">
        <v>0</v>
      </c>
      <c r="AJ72" s="231">
        <v>0</v>
      </c>
      <c r="AK72" s="231">
        <v>0</v>
      </c>
      <c r="AL72" s="231">
        <v>0</v>
      </c>
      <c r="AM72" s="231">
        <v>0</v>
      </c>
      <c r="AN72" s="231">
        <v>0</v>
      </c>
    </row>
    <row r="73" spans="3:40" x14ac:dyDescent="0.3">
      <c r="C73" s="231">
        <v>57</v>
      </c>
      <c r="D73" s="231">
        <v>7</v>
      </c>
      <c r="E73" s="231">
        <v>3</v>
      </c>
      <c r="F73" s="231">
        <v>0</v>
      </c>
      <c r="G73" s="231">
        <v>0</v>
      </c>
      <c r="H73" s="231">
        <v>0</v>
      </c>
      <c r="I73" s="231">
        <v>0</v>
      </c>
      <c r="J73" s="231">
        <v>0</v>
      </c>
      <c r="K73" s="231">
        <v>0</v>
      </c>
      <c r="L73" s="231">
        <v>0</v>
      </c>
      <c r="M73" s="231">
        <v>0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1">
        <v>0</v>
      </c>
      <c r="W73" s="231">
        <v>0</v>
      </c>
      <c r="X73" s="231">
        <v>0</v>
      </c>
      <c r="Y73" s="231">
        <v>0</v>
      </c>
      <c r="Z73" s="231">
        <v>0</v>
      </c>
      <c r="AA73" s="231">
        <v>0</v>
      </c>
      <c r="AB73" s="231">
        <v>0</v>
      </c>
      <c r="AC73" s="231">
        <v>0</v>
      </c>
      <c r="AD73" s="231">
        <v>0</v>
      </c>
      <c r="AE73" s="231">
        <v>0</v>
      </c>
      <c r="AF73" s="231">
        <v>0</v>
      </c>
      <c r="AG73" s="231">
        <v>0</v>
      </c>
      <c r="AH73" s="231">
        <v>0</v>
      </c>
      <c r="AI73" s="231">
        <v>0</v>
      </c>
      <c r="AJ73" s="231">
        <v>0</v>
      </c>
      <c r="AK73" s="231">
        <v>0</v>
      </c>
      <c r="AL73" s="231">
        <v>0</v>
      </c>
      <c r="AM73" s="231">
        <v>0</v>
      </c>
      <c r="AN73" s="231">
        <v>0</v>
      </c>
    </row>
    <row r="74" spans="3:40" x14ac:dyDescent="0.3">
      <c r="C74" s="231">
        <v>57</v>
      </c>
      <c r="D74" s="231">
        <v>7</v>
      </c>
      <c r="E74" s="231">
        <v>4</v>
      </c>
      <c r="F74" s="231">
        <v>0</v>
      </c>
      <c r="G74" s="231">
        <v>0</v>
      </c>
      <c r="H74" s="231">
        <v>0</v>
      </c>
      <c r="I74" s="231">
        <v>0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0</v>
      </c>
      <c r="Q74" s="231">
        <v>0</v>
      </c>
      <c r="R74" s="231">
        <v>0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0</v>
      </c>
      <c r="AC74" s="231">
        <v>0</v>
      </c>
      <c r="AD74" s="231">
        <v>0</v>
      </c>
      <c r="AE74" s="231">
        <v>0</v>
      </c>
      <c r="AF74" s="231">
        <v>0</v>
      </c>
      <c r="AG74" s="231">
        <v>0</v>
      </c>
      <c r="AH74" s="231">
        <v>0</v>
      </c>
      <c r="AI74" s="231">
        <v>0</v>
      </c>
      <c r="AJ74" s="231">
        <v>0</v>
      </c>
      <c r="AK74" s="231">
        <v>0</v>
      </c>
      <c r="AL74" s="231">
        <v>0</v>
      </c>
      <c r="AM74" s="231">
        <v>0</v>
      </c>
      <c r="AN74" s="231">
        <v>0</v>
      </c>
    </row>
    <row r="75" spans="3:40" x14ac:dyDescent="0.3">
      <c r="C75" s="231">
        <v>57</v>
      </c>
      <c r="D75" s="231">
        <v>7</v>
      </c>
      <c r="E75" s="231">
        <v>5</v>
      </c>
      <c r="F75" s="231">
        <v>0</v>
      </c>
      <c r="G75" s="231">
        <v>0</v>
      </c>
      <c r="H75" s="231">
        <v>0</v>
      </c>
      <c r="I75" s="231">
        <v>0</v>
      </c>
      <c r="J75" s="231">
        <v>0</v>
      </c>
      <c r="K75" s="231">
        <v>0</v>
      </c>
      <c r="L75" s="231">
        <v>0</v>
      </c>
      <c r="M75" s="231">
        <v>0</v>
      </c>
      <c r="N75" s="231">
        <v>0</v>
      </c>
      <c r="O75" s="231">
        <v>0</v>
      </c>
      <c r="P75" s="231">
        <v>0</v>
      </c>
      <c r="Q75" s="231">
        <v>0</v>
      </c>
      <c r="R75" s="231">
        <v>0</v>
      </c>
      <c r="S75" s="231">
        <v>0</v>
      </c>
      <c r="T75" s="231">
        <v>0</v>
      </c>
      <c r="U75" s="231">
        <v>0</v>
      </c>
      <c r="V75" s="231">
        <v>0</v>
      </c>
      <c r="W75" s="231">
        <v>0</v>
      </c>
      <c r="X75" s="231">
        <v>0</v>
      </c>
      <c r="Y75" s="231">
        <v>0</v>
      </c>
      <c r="Z75" s="231">
        <v>0</v>
      </c>
      <c r="AA75" s="231">
        <v>0</v>
      </c>
      <c r="AB75" s="231">
        <v>0</v>
      </c>
      <c r="AC75" s="231">
        <v>0</v>
      </c>
      <c r="AD75" s="231">
        <v>0</v>
      </c>
      <c r="AE75" s="231">
        <v>0</v>
      </c>
      <c r="AF75" s="231">
        <v>0</v>
      </c>
      <c r="AG75" s="231">
        <v>0</v>
      </c>
      <c r="AH75" s="231">
        <v>0</v>
      </c>
      <c r="AI75" s="231">
        <v>0</v>
      </c>
      <c r="AJ75" s="231">
        <v>0</v>
      </c>
      <c r="AK75" s="231">
        <v>0</v>
      </c>
      <c r="AL75" s="231">
        <v>0</v>
      </c>
      <c r="AM75" s="231">
        <v>0</v>
      </c>
      <c r="AN75" s="231">
        <v>0</v>
      </c>
    </row>
    <row r="76" spans="3:40" x14ac:dyDescent="0.3">
      <c r="C76" s="231">
        <v>57</v>
      </c>
      <c r="D76" s="231">
        <v>7</v>
      </c>
      <c r="E76" s="231">
        <v>6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v>0</v>
      </c>
      <c r="AF76" s="231">
        <v>0</v>
      </c>
      <c r="AG76" s="231">
        <v>0</v>
      </c>
      <c r="AH76" s="231">
        <v>0</v>
      </c>
      <c r="AI76" s="231">
        <v>0</v>
      </c>
      <c r="AJ76" s="231">
        <v>0</v>
      </c>
      <c r="AK76" s="231">
        <v>0</v>
      </c>
      <c r="AL76" s="231">
        <v>0</v>
      </c>
      <c r="AM76" s="231">
        <v>0</v>
      </c>
      <c r="AN76" s="231">
        <v>0</v>
      </c>
    </row>
    <row r="77" spans="3:40" x14ac:dyDescent="0.3">
      <c r="C77" s="231">
        <v>57</v>
      </c>
      <c r="D77" s="231">
        <v>7</v>
      </c>
      <c r="E77" s="231">
        <v>7</v>
      </c>
      <c r="F77" s="231">
        <v>0</v>
      </c>
      <c r="G77" s="231">
        <v>0</v>
      </c>
      <c r="H77" s="231">
        <v>0</v>
      </c>
      <c r="I77" s="231">
        <v>0</v>
      </c>
      <c r="J77" s="231">
        <v>0</v>
      </c>
      <c r="K77" s="231">
        <v>0</v>
      </c>
      <c r="L77" s="231">
        <v>0</v>
      </c>
      <c r="M77" s="231">
        <v>0</v>
      </c>
      <c r="N77" s="231">
        <v>0</v>
      </c>
      <c r="O77" s="231">
        <v>0</v>
      </c>
      <c r="P77" s="231">
        <v>0</v>
      </c>
      <c r="Q77" s="231">
        <v>0</v>
      </c>
      <c r="R77" s="231">
        <v>0</v>
      </c>
      <c r="S77" s="231">
        <v>0</v>
      </c>
      <c r="T77" s="231">
        <v>0</v>
      </c>
      <c r="U77" s="231">
        <v>0</v>
      </c>
      <c r="V77" s="231">
        <v>0</v>
      </c>
      <c r="W77" s="231">
        <v>0</v>
      </c>
      <c r="X77" s="231">
        <v>0</v>
      </c>
      <c r="Y77" s="231">
        <v>0</v>
      </c>
      <c r="Z77" s="231">
        <v>0</v>
      </c>
      <c r="AA77" s="231">
        <v>0</v>
      </c>
      <c r="AB77" s="231">
        <v>0</v>
      </c>
      <c r="AC77" s="231">
        <v>0</v>
      </c>
      <c r="AD77" s="231">
        <v>0</v>
      </c>
      <c r="AE77" s="231">
        <v>0</v>
      </c>
      <c r="AF77" s="231">
        <v>0</v>
      </c>
      <c r="AG77" s="231">
        <v>0</v>
      </c>
      <c r="AH77" s="231">
        <v>0</v>
      </c>
      <c r="AI77" s="231">
        <v>0</v>
      </c>
      <c r="AJ77" s="231">
        <v>0</v>
      </c>
      <c r="AK77" s="231">
        <v>0</v>
      </c>
      <c r="AL77" s="231">
        <v>0</v>
      </c>
      <c r="AM77" s="231">
        <v>0</v>
      </c>
      <c r="AN77" s="231">
        <v>0</v>
      </c>
    </row>
    <row r="78" spans="3:40" x14ac:dyDescent="0.3">
      <c r="C78" s="231">
        <v>57</v>
      </c>
      <c r="D78" s="231">
        <v>7</v>
      </c>
      <c r="E78" s="231">
        <v>8</v>
      </c>
      <c r="F78" s="231">
        <v>0</v>
      </c>
      <c r="G78" s="231">
        <v>0</v>
      </c>
      <c r="H78" s="231">
        <v>0</v>
      </c>
      <c r="I78" s="231">
        <v>0</v>
      </c>
      <c r="J78" s="231">
        <v>0</v>
      </c>
      <c r="K78" s="231">
        <v>0</v>
      </c>
      <c r="L78" s="231">
        <v>0</v>
      </c>
      <c r="M78" s="231">
        <v>0</v>
      </c>
      <c r="N78" s="231">
        <v>0</v>
      </c>
      <c r="O78" s="231">
        <v>0</v>
      </c>
      <c r="P78" s="231">
        <v>0</v>
      </c>
      <c r="Q78" s="231">
        <v>0</v>
      </c>
      <c r="R78" s="231">
        <v>0</v>
      </c>
      <c r="S78" s="231">
        <v>0</v>
      </c>
      <c r="T78" s="231">
        <v>0</v>
      </c>
      <c r="U78" s="231">
        <v>0</v>
      </c>
      <c r="V78" s="231">
        <v>0</v>
      </c>
      <c r="W78" s="231">
        <v>0</v>
      </c>
      <c r="X78" s="231">
        <v>0</v>
      </c>
      <c r="Y78" s="231">
        <v>0</v>
      </c>
      <c r="Z78" s="231">
        <v>0</v>
      </c>
      <c r="AA78" s="231">
        <v>0</v>
      </c>
      <c r="AB78" s="231">
        <v>0</v>
      </c>
      <c r="AC78" s="231">
        <v>0</v>
      </c>
      <c r="AD78" s="231">
        <v>0</v>
      </c>
      <c r="AE78" s="231">
        <v>0</v>
      </c>
      <c r="AF78" s="231">
        <v>0</v>
      </c>
      <c r="AG78" s="231">
        <v>0</v>
      </c>
      <c r="AH78" s="231">
        <v>0</v>
      </c>
      <c r="AI78" s="231">
        <v>0</v>
      </c>
      <c r="AJ78" s="231">
        <v>0</v>
      </c>
      <c r="AK78" s="231">
        <v>0</v>
      </c>
      <c r="AL78" s="231">
        <v>0</v>
      </c>
      <c r="AM78" s="231">
        <v>0</v>
      </c>
      <c r="AN78" s="231">
        <v>0</v>
      </c>
    </row>
    <row r="79" spans="3:40" x14ac:dyDescent="0.3">
      <c r="C79" s="231">
        <v>57</v>
      </c>
      <c r="D79" s="231">
        <v>7</v>
      </c>
      <c r="E79" s="231">
        <v>9</v>
      </c>
      <c r="F79" s="231">
        <v>0</v>
      </c>
      <c r="G79" s="231">
        <v>0</v>
      </c>
      <c r="H79" s="231">
        <v>0</v>
      </c>
      <c r="I79" s="231">
        <v>0</v>
      </c>
      <c r="J79" s="231">
        <v>0</v>
      </c>
      <c r="K79" s="231">
        <v>0</v>
      </c>
      <c r="L79" s="231">
        <v>0</v>
      </c>
      <c r="M79" s="231">
        <v>0</v>
      </c>
      <c r="N79" s="231">
        <v>0</v>
      </c>
      <c r="O79" s="231">
        <v>0</v>
      </c>
      <c r="P79" s="231">
        <v>0</v>
      </c>
      <c r="Q79" s="231">
        <v>0</v>
      </c>
      <c r="R79" s="231">
        <v>0</v>
      </c>
      <c r="S79" s="231">
        <v>0</v>
      </c>
      <c r="T79" s="231">
        <v>0</v>
      </c>
      <c r="U79" s="231">
        <v>0</v>
      </c>
      <c r="V79" s="231">
        <v>0</v>
      </c>
      <c r="W79" s="231">
        <v>0</v>
      </c>
      <c r="X79" s="231">
        <v>0</v>
      </c>
      <c r="Y79" s="231">
        <v>0</v>
      </c>
      <c r="Z79" s="231">
        <v>0</v>
      </c>
      <c r="AA79" s="231">
        <v>0</v>
      </c>
      <c r="AB79" s="231">
        <v>0</v>
      </c>
      <c r="AC79" s="231">
        <v>0</v>
      </c>
      <c r="AD79" s="231">
        <v>0</v>
      </c>
      <c r="AE79" s="231">
        <v>0</v>
      </c>
      <c r="AF79" s="231">
        <v>0</v>
      </c>
      <c r="AG79" s="231">
        <v>0</v>
      </c>
      <c r="AH79" s="231">
        <v>0</v>
      </c>
      <c r="AI79" s="231">
        <v>0</v>
      </c>
      <c r="AJ79" s="231">
        <v>0</v>
      </c>
      <c r="AK79" s="231">
        <v>0</v>
      </c>
      <c r="AL79" s="231">
        <v>0</v>
      </c>
      <c r="AM79" s="231">
        <v>0</v>
      </c>
      <c r="AN79" s="231">
        <v>0</v>
      </c>
    </row>
    <row r="80" spans="3:40" x14ac:dyDescent="0.3">
      <c r="C80" s="231">
        <v>57</v>
      </c>
      <c r="D80" s="231">
        <v>7</v>
      </c>
      <c r="E80" s="231">
        <v>10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0</v>
      </c>
      <c r="Q80" s="231">
        <v>0</v>
      </c>
      <c r="R80" s="231">
        <v>0</v>
      </c>
      <c r="S80" s="231">
        <v>0</v>
      </c>
      <c r="T80" s="231">
        <v>0</v>
      </c>
      <c r="U80" s="231">
        <v>0</v>
      </c>
      <c r="V80" s="231">
        <v>0</v>
      </c>
      <c r="W80" s="231">
        <v>0</v>
      </c>
      <c r="X80" s="231">
        <v>0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v>0</v>
      </c>
      <c r="AF80" s="231">
        <v>0</v>
      </c>
      <c r="AG80" s="231">
        <v>0</v>
      </c>
      <c r="AH80" s="231">
        <v>0</v>
      </c>
      <c r="AI80" s="231">
        <v>0</v>
      </c>
      <c r="AJ80" s="231">
        <v>0</v>
      </c>
      <c r="AK80" s="231">
        <v>0</v>
      </c>
      <c r="AL80" s="231">
        <v>0</v>
      </c>
      <c r="AM80" s="231">
        <v>0</v>
      </c>
      <c r="AN80" s="231">
        <v>0</v>
      </c>
    </row>
    <row r="81" spans="3:40" x14ac:dyDescent="0.3">
      <c r="C81" s="231">
        <v>57</v>
      </c>
      <c r="D81" s="231">
        <v>7</v>
      </c>
      <c r="E81" s="231">
        <v>11</v>
      </c>
      <c r="F81" s="231">
        <v>0</v>
      </c>
      <c r="G81" s="231">
        <v>0</v>
      </c>
      <c r="H81" s="231">
        <v>0</v>
      </c>
      <c r="I81" s="231">
        <v>0</v>
      </c>
      <c r="J81" s="231">
        <v>0</v>
      </c>
      <c r="K81" s="231">
        <v>0</v>
      </c>
      <c r="L81" s="231">
        <v>0</v>
      </c>
      <c r="M81" s="231">
        <v>0</v>
      </c>
      <c r="N81" s="231">
        <v>0</v>
      </c>
      <c r="O81" s="231">
        <v>0</v>
      </c>
      <c r="P81" s="231">
        <v>0</v>
      </c>
      <c r="Q81" s="231">
        <v>0</v>
      </c>
      <c r="R81" s="231">
        <v>0</v>
      </c>
      <c r="S81" s="231">
        <v>0</v>
      </c>
      <c r="T81" s="231">
        <v>0</v>
      </c>
      <c r="U81" s="231">
        <v>0</v>
      </c>
      <c r="V81" s="231">
        <v>0</v>
      </c>
      <c r="W81" s="231">
        <v>0</v>
      </c>
      <c r="X81" s="231">
        <v>0</v>
      </c>
      <c r="Y81" s="231">
        <v>0</v>
      </c>
      <c r="Z81" s="231">
        <v>0</v>
      </c>
      <c r="AA81" s="231">
        <v>0</v>
      </c>
      <c r="AB81" s="231">
        <v>0</v>
      </c>
      <c r="AC81" s="231">
        <v>0</v>
      </c>
      <c r="AD81" s="231">
        <v>0</v>
      </c>
      <c r="AE81" s="231">
        <v>0</v>
      </c>
      <c r="AF81" s="231">
        <v>0</v>
      </c>
      <c r="AG81" s="231">
        <v>0</v>
      </c>
      <c r="AH81" s="231">
        <v>0</v>
      </c>
      <c r="AI81" s="231">
        <v>0</v>
      </c>
      <c r="AJ81" s="231">
        <v>0</v>
      </c>
      <c r="AK81" s="231">
        <v>0</v>
      </c>
      <c r="AL81" s="231">
        <v>0</v>
      </c>
      <c r="AM81" s="231">
        <v>0</v>
      </c>
      <c r="AN81" s="231">
        <v>0</v>
      </c>
    </row>
    <row r="82" spans="3:40" x14ac:dyDescent="0.3">
      <c r="C82" s="231">
        <v>57</v>
      </c>
      <c r="D82" s="231">
        <v>8</v>
      </c>
      <c r="E82" s="231">
        <v>1</v>
      </c>
      <c r="F82" s="231">
        <v>0</v>
      </c>
      <c r="G82" s="231">
        <v>0</v>
      </c>
      <c r="H82" s="231">
        <v>0</v>
      </c>
      <c r="I82" s="231">
        <v>0</v>
      </c>
      <c r="J82" s="231">
        <v>0</v>
      </c>
      <c r="K82" s="231">
        <v>0</v>
      </c>
      <c r="L82" s="231">
        <v>0</v>
      </c>
      <c r="M82" s="231">
        <v>0</v>
      </c>
      <c r="N82" s="231">
        <v>0</v>
      </c>
      <c r="O82" s="231">
        <v>0</v>
      </c>
      <c r="P82" s="231">
        <v>0</v>
      </c>
      <c r="Q82" s="231">
        <v>0</v>
      </c>
      <c r="R82" s="231">
        <v>0</v>
      </c>
      <c r="S82" s="231">
        <v>0</v>
      </c>
      <c r="T82" s="231">
        <v>0</v>
      </c>
      <c r="U82" s="231">
        <v>0</v>
      </c>
      <c r="V82" s="231">
        <v>0</v>
      </c>
      <c r="W82" s="231">
        <v>0</v>
      </c>
      <c r="X82" s="231">
        <v>0</v>
      </c>
      <c r="Y82" s="231">
        <v>0</v>
      </c>
      <c r="Z82" s="231">
        <v>0</v>
      </c>
      <c r="AA82" s="231">
        <v>0</v>
      </c>
      <c r="AB82" s="231">
        <v>0</v>
      </c>
      <c r="AC82" s="231">
        <v>0</v>
      </c>
      <c r="AD82" s="231">
        <v>0</v>
      </c>
      <c r="AE82" s="231">
        <v>0</v>
      </c>
      <c r="AF82" s="231">
        <v>0</v>
      </c>
      <c r="AG82" s="231">
        <v>0</v>
      </c>
      <c r="AH82" s="231">
        <v>0</v>
      </c>
      <c r="AI82" s="231">
        <v>0</v>
      </c>
      <c r="AJ82" s="231">
        <v>0</v>
      </c>
      <c r="AK82" s="231">
        <v>0</v>
      </c>
      <c r="AL82" s="231">
        <v>0</v>
      </c>
      <c r="AM82" s="231">
        <v>0</v>
      </c>
      <c r="AN82" s="231">
        <v>0</v>
      </c>
    </row>
    <row r="83" spans="3:40" x14ac:dyDescent="0.3">
      <c r="C83" s="231">
        <v>57</v>
      </c>
      <c r="D83" s="231">
        <v>8</v>
      </c>
      <c r="E83" s="231">
        <v>2</v>
      </c>
      <c r="F83" s="231">
        <v>0</v>
      </c>
      <c r="G83" s="231">
        <v>0</v>
      </c>
      <c r="H83" s="231">
        <v>0</v>
      </c>
      <c r="I83" s="231">
        <v>0</v>
      </c>
      <c r="J83" s="231">
        <v>0</v>
      </c>
      <c r="K83" s="231">
        <v>0</v>
      </c>
      <c r="L83" s="231">
        <v>0</v>
      </c>
      <c r="M83" s="231">
        <v>0</v>
      </c>
      <c r="N83" s="231">
        <v>0</v>
      </c>
      <c r="O83" s="231">
        <v>0</v>
      </c>
      <c r="P83" s="231">
        <v>0</v>
      </c>
      <c r="Q83" s="231">
        <v>0</v>
      </c>
      <c r="R83" s="231">
        <v>0</v>
      </c>
      <c r="S83" s="231">
        <v>0</v>
      </c>
      <c r="T83" s="231">
        <v>0</v>
      </c>
      <c r="U83" s="231">
        <v>0</v>
      </c>
      <c r="V83" s="231">
        <v>0</v>
      </c>
      <c r="W83" s="231">
        <v>0</v>
      </c>
      <c r="X83" s="231">
        <v>0</v>
      </c>
      <c r="Y83" s="231">
        <v>0</v>
      </c>
      <c r="Z83" s="231">
        <v>0</v>
      </c>
      <c r="AA83" s="231">
        <v>0</v>
      </c>
      <c r="AB83" s="231">
        <v>0</v>
      </c>
      <c r="AC83" s="231">
        <v>0</v>
      </c>
      <c r="AD83" s="231">
        <v>0</v>
      </c>
      <c r="AE83" s="231">
        <v>0</v>
      </c>
      <c r="AF83" s="231">
        <v>0</v>
      </c>
      <c r="AG83" s="231">
        <v>0</v>
      </c>
      <c r="AH83" s="231">
        <v>0</v>
      </c>
      <c r="AI83" s="231">
        <v>0</v>
      </c>
      <c r="AJ83" s="231">
        <v>0</v>
      </c>
      <c r="AK83" s="231">
        <v>0</v>
      </c>
      <c r="AL83" s="231">
        <v>0</v>
      </c>
      <c r="AM83" s="231">
        <v>0</v>
      </c>
      <c r="AN83" s="231">
        <v>0</v>
      </c>
    </row>
    <row r="84" spans="3:40" x14ac:dyDescent="0.3">
      <c r="C84" s="231">
        <v>57</v>
      </c>
      <c r="D84" s="231">
        <v>8</v>
      </c>
      <c r="E84" s="231">
        <v>3</v>
      </c>
      <c r="F84" s="231">
        <v>0</v>
      </c>
      <c r="G84" s="231">
        <v>0</v>
      </c>
      <c r="H84" s="231">
        <v>0</v>
      </c>
      <c r="I84" s="231">
        <v>0</v>
      </c>
      <c r="J84" s="231">
        <v>0</v>
      </c>
      <c r="K84" s="231">
        <v>0</v>
      </c>
      <c r="L84" s="231">
        <v>0</v>
      </c>
      <c r="M84" s="231">
        <v>0</v>
      </c>
      <c r="N84" s="231">
        <v>0</v>
      </c>
      <c r="O84" s="231">
        <v>0</v>
      </c>
      <c r="P84" s="231">
        <v>0</v>
      </c>
      <c r="Q84" s="231">
        <v>0</v>
      </c>
      <c r="R84" s="231">
        <v>0</v>
      </c>
      <c r="S84" s="231">
        <v>0</v>
      </c>
      <c r="T84" s="231">
        <v>0</v>
      </c>
      <c r="U84" s="231">
        <v>0</v>
      </c>
      <c r="V84" s="231">
        <v>0</v>
      </c>
      <c r="W84" s="231">
        <v>0</v>
      </c>
      <c r="X84" s="231">
        <v>0</v>
      </c>
      <c r="Y84" s="231">
        <v>0</v>
      </c>
      <c r="Z84" s="231">
        <v>0</v>
      </c>
      <c r="AA84" s="231">
        <v>0</v>
      </c>
      <c r="AB84" s="231">
        <v>0</v>
      </c>
      <c r="AC84" s="231">
        <v>0</v>
      </c>
      <c r="AD84" s="231">
        <v>0</v>
      </c>
      <c r="AE84" s="231">
        <v>0</v>
      </c>
      <c r="AF84" s="231">
        <v>0</v>
      </c>
      <c r="AG84" s="231">
        <v>0</v>
      </c>
      <c r="AH84" s="231">
        <v>0</v>
      </c>
      <c r="AI84" s="231">
        <v>0</v>
      </c>
      <c r="AJ84" s="231">
        <v>0</v>
      </c>
      <c r="AK84" s="231">
        <v>0</v>
      </c>
      <c r="AL84" s="231">
        <v>0</v>
      </c>
      <c r="AM84" s="231">
        <v>0</v>
      </c>
      <c r="AN84" s="231">
        <v>0</v>
      </c>
    </row>
    <row r="85" spans="3:40" x14ac:dyDescent="0.3">
      <c r="C85" s="231">
        <v>57</v>
      </c>
      <c r="D85" s="231">
        <v>8</v>
      </c>
      <c r="E85" s="231">
        <v>4</v>
      </c>
      <c r="F85" s="231">
        <v>0</v>
      </c>
      <c r="G85" s="231">
        <v>0</v>
      </c>
      <c r="H85" s="231">
        <v>0</v>
      </c>
      <c r="I85" s="231">
        <v>0</v>
      </c>
      <c r="J85" s="231">
        <v>0</v>
      </c>
      <c r="K85" s="231">
        <v>0</v>
      </c>
      <c r="L85" s="231">
        <v>0</v>
      </c>
      <c r="M85" s="231">
        <v>0</v>
      </c>
      <c r="N85" s="231">
        <v>0</v>
      </c>
      <c r="O85" s="231">
        <v>0</v>
      </c>
      <c r="P85" s="231">
        <v>0</v>
      </c>
      <c r="Q85" s="231">
        <v>0</v>
      </c>
      <c r="R85" s="231">
        <v>0</v>
      </c>
      <c r="S85" s="231">
        <v>0</v>
      </c>
      <c r="T85" s="231">
        <v>0</v>
      </c>
      <c r="U85" s="231">
        <v>0</v>
      </c>
      <c r="V85" s="231">
        <v>0</v>
      </c>
      <c r="W85" s="231">
        <v>0</v>
      </c>
      <c r="X85" s="231">
        <v>0</v>
      </c>
      <c r="Y85" s="231">
        <v>0</v>
      </c>
      <c r="Z85" s="231">
        <v>0</v>
      </c>
      <c r="AA85" s="231">
        <v>0</v>
      </c>
      <c r="AB85" s="231">
        <v>0</v>
      </c>
      <c r="AC85" s="231">
        <v>0</v>
      </c>
      <c r="AD85" s="231">
        <v>0</v>
      </c>
      <c r="AE85" s="231">
        <v>0</v>
      </c>
      <c r="AF85" s="231">
        <v>0</v>
      </c>
      <c r="AG85" s="231">
        <v>0</v>
      </c>
      <c r="AH85" s="231">
        <v>0</v>
      </c>
      <c r="AI85" s="231">
        <v>0</v>
      </c>
      <c r="AJ85" s="231">
        <v>0</v>
      </c>
      <c r="AK85" s="231">
        <v>0</v>
      </c>
      <c r="AL85" s="231">
        <v>0</v>
      </c>
      <c r="AM85" s="231">
        <v>0</v>
      </c>
      <c r="AN85" s="231">
        <v>0</v>
      </c>
    </row>
    <row r="86" spans="3:40" x14ac:dyDescent="0.3">
      <c r="C86" s="231">
        <v>57</v>
      </c>
      <c r="D86" s="231">
        <v>8</v>
      </c>
      <c r="E86" s="231">
        <v>5</v>
      </c>
      <c r="F86" s="231">
        <v>0</v>
      </c>
      <c r="G86" s="231">
        <v>0</v>
      </c>
      <c r="H86" s="231">
        <v>0</v>
      </c>
      <c r="I86" s="231">
        <v>0</v>
      </c>
      <c r="J86" s="231">
        <v>0</v>
      </c>
      <c r="K86" s="231">
        <v>0</v>
      </c>
      <c r="L86" s="231">
        <v>0</v>
      </c>
      <c r="M86" s="231">
        <v>0</v>
      </c>
      <c r="N86" s="231">
        <v>0</v>
      </c>
      <c r="O86" s="231">
        <v>0</v>
      </c>
      <c r="P86" s="231">
        <v>0</v>
      </c>
      <c r="Q86" s="231">
        <v>0</v>
      </c>
      <c r="R86" s="231">
        <v>0</v>
      </c>
      <c r="S86" s="231">
        <v>0</v>
      </c>
      <c r="T86" s="231">
        <v>0</v>
      </c>
      <c r="U86" s="231">
        <v>0</v>
      </c>
      <c r="V86" s="231">
        <v>0</v>
      </c>
      <c r="W86" s="231">
        <v>0</v>
      </c>
      <c r="X86" s="231">
        <v>0</v>
      </c>
      <c r="Y86" s="231">
        <v>0</v>
      </c>
      <c r="Z86" s="231">
        <v>0</v>
      </c>
      <c r="AA86" s="231">
        <v>0</v>
      </c>
      <c r="AB86" s="231">
        <v>0</v>
      </c>
      <c r="AC86" s="231">
        <v>0</v>
      </c>
      <c r="AD86" s="231">
        <v>0</v>
      </c>
      <c r="AE86" s="231">
        <v>0</v>
      </c>
      <c r="AF86" s="231">
        <v>0</v>
      </c>
      <c r="AG86" s="231">
        <v>0</v>
      </c>
      <c r="AH86" s="231">
        <v>0</v>
      </c>
      <c r="AI86" s="231">
        <v>0</v>
      </c>
      <c r="AJ86" s="231">
        <v>0</v>
      </c>
      <c r="AK86" s="231">
        <v>0</v>
      </c>
      <c r="AL86" s="231">
        <v>0</v>
      </c>
      <c r="AM86" s="231">
        <v>0</v>
      </c>
      <c r="AN86" s="231">
        <v>0</v>
      </c>
    </row>
    <row r="87" spans="3:40" x14ac:dyDescent="0.3">
      <c r="C87" s="231">
        <v>57</v>
      </c>
      <c r="D87" s="231">
        <v>8</v>
      </c>
      <c r="E87" s="231">
        <v>6</v>
      </c>
      <c r="F87" s="231">
        <v>0</v>
      </c>
      <c r="G87" s="231">
        <v>0</v>
      </c>
      <c r="H87" s="231">
        <v>0</v>
      </c>
      <c r="I87" s="231">
        <v>0</v>
      </c>
      <c r="J87" s="231">
        <v>0</v>
      </c>
      <c r="K87" s="231">
        <v>0</v>
      </c>
      <c r="L87" s="231">
        <v>0</v>
      </c>
      <c r="M87" s="231">
        <v>0</v>
      </c>
      <c r="N87" s="231">
        <v>0</v>
      </c>
      <c r="O87" s="231">
        <v>0</v>
      </c>
      <c r="P87" s="231">
        <v>0</v>
      </c>
      <c r="Q87" s="231">
        <v>0</v>
      </c>
      <c r="R87" s="231">
        <v>0</v>
      </c>
      <c r="S87" s="231">
        <v>0</v>
      </c>
      <c r="T87" s="231">
        <v>0</v>
      </c>
      <c r="U87" s="231">
        <v>0</v>
      </c>
      <c r="V87" s="231">
        <v>0</v>
      </c>
      <c r="W87" s="231">
        <v>0</v>
      </c>
      <c r="X87" s="231">
        <v>0</v>
      </c>
      <c r="Y87" s="231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231">
        <v>0</v>
      </c>
      <c r="AM87" s="231">
        <v>0</v>
      </c>
      <c r="AN87" s="231">
        <v>0</v>
      </c>
    </row>
    <row r="88" spans="3:40" x14ac:dyDescent="0.3">
      <c r="C88" s="231">
        <v>57</v>
      </c>
      <c r="D88" s="231">
        <v>8</v>
      </c>
      <c r="E88" s="231">
        <v>7</v>
      </c>
      <c r="F88" s="231">
        <v>0</v>
      </c>
      <c r="G88" s="231">
        <v>0</v>
      </c>
      <c r="H88" s="231">
        <v>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231">
        <v>0</v>
      </c>
      <c r="AM88" s="231">
        <v>0</v>
      </c>
      <c r="AN88" s="231">
        <v>0</v>
      </c>
    </row>
    <row r="89" spans="3:40" x14ac:dyDescent="0.3">
      <c r="C89" s="231">
        <v>57</v>
      </c>
      <c r="D89" s="231">
        <v>8</v>
      </c>
      <c r="E89" s="231">
        <v>8</v>
      </c>
      <c r="F89" s="231">
        <v>0</v>
      </c>
      <c r="G89" s="231">
        <v>0</v>
      </c>
      <c r="H89" s="231">
        <v>0</v>
      </c>
      <c r="I89" s="231">
        <v>0</v>
      </c>
      <c r="J89" s="231">
        <v>0</v>
      </c>
      <c r="K89" s="231">
        <v>0</v>
      </c>
      <c r="L89" s="231">
        <v>0</v>
      </c>
      <c r="M89" s="231">
        <v>0</v>
      </c>
      <c r="N89" s="231">
        <v>0</v>
      </c>
      <c r="O89" s="231">
        <v>0</v>
      </c>
      <c r="P89" s="231">
        <v>0</v>
      </c>
      <c r="Q89" s="231">
        <v>0</v>
      </c>
      <c r="R89" s="231">
        <v>0</v>
      </c>
      <c r="S89" s="231">
        <v>0</v>
      </c>
      <c r="T89" s="231">
        <v>0</v>
      </c>
      <c r="U89" s="231">
        <v>0</v>
      </c>
      <c r="V89" s="231">
        <v>0</v>
      </c>
      <c r="W89" s="231">
        <v>0</v>
      </c>
      <c r="X89" s="231">
        <v>0</v>
      </c>
      <c r="Y89" s="23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231">
        <v>0</v>
      </c>
      <c r="AM89" s="231">
        <v>0</v>
      </c>
      <c r="AN89" s="231">
        <v>0</v>
      </c>
    </row>
    <row r="90" spans="3:40" x14ac:dyDescent="0.3">
      <c r="C90" s="231">
        <v>57</v>
      </c>
      <c r="D90" s="231">
        <v>8</v>
      </c>
      <c r="E90" s="231">
        <v>9</v>
      </c>
      <c r="F90" s="231">
        <v>0</v>
      </c>
      <c r="G90" s="231">
        <v>0</v>
      </c>
      <c r="H90" s="231">
        <v>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0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231">
        <v>0</v>
      </c>
      <c r="AM90" s="231">
        <v>0</v>
      </c>
      <c r="AN90" s="231">
        <v>0</v>
      </c>
    </row>
    <row r="91" spans="3:40" x14ac:dyDescent="0.3">
      <c r="C91" s="231">
        <v>57</v>
      </c>
      <c r="D91" s="231">
        <v>8</v>
      </c>
      <c r="E91" s="231">
        <v>10</v>
      </c>
      <c r="F91" s="231">
        <v>0</v>
      </c>
      <c r="G91" s="231">
        <v>0</v>
      </c>
      <c r="H91" s="231">
        <v>0</v>
      </c>
      <c r="I91" s="231">
        <v>0</v>
      </c>
      <c r="J91" s="231">
        <v>0</v>
      </c>
      <c r="K91" s="231">
        <v>0</v>
      </c>
      <c r="L91" s="231">
        <v>0</v>
      </c>
      <c r="M91" s="231">
        <v>0</v>
      </c>
      <c r="N91" s="231">
        <v>0</v>
      </c>
      <c r="O91" s="231">
        <v>0</v>
      </c>
      <c r="P91" s="231">
        <v>0</v>
      </c>
      <c r="Q91" s="231">
        <v>0</v>
      </c>
      <c r="R91" s="231">
        <v>0</v>
      </c>
      <c r="S91" s="231">
        <v>0</v>
      </c>
      <c r="T91" s="231">
        <v>0</v>
      </c>
      <c r="U91" s="231">
        <v>0</v>
      </c>
      <c r="V91" s="231">
        <v>0</v>
      </c>
      <c r="W91" s="231">
        <v>0</v>
      </c>
      <c r="X91" s="231">
        <v>0</v>
      </c>
      <c r="Y91" s="23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231">
        <v>0</v>
      </c>
      <c r="AM91" s="231">
        <v>0</v>
      </c>
      <c r="AN91" s="231">
        <v>0</v>
      </c>
    </row>
    <row r="92" spans="3:40" x14ac:dyDescent="0.3">
      <c r="C92" s="231">
        <v>57</v>
      </c>
      <c r="D92" s="231">
        <v>8</v>
      </c>
      <c r="E92" s="231">
        <v>11</v>
      </c>
      <c r="F92" s="231">
        <v>0</v>
      </c>
      <c r="G92" s="231">
        <v>0</v>
      </c>
      <c r="H92" s="231">
        <v>0</v>
      </c>
      <c r="I92" s="231">
        <v>0</v>
      </c>
      <c r="J92" s="231">
        <v>0</v>
      </c>
      <c r="K92" s="231">
        <v>0</v>
      </c>
      <c r="L92" s="231">
        <v>0</v>
      </c>
      <c r="M92" s="231">
        <v>0</v>
      </c>
      <c r="N92" s="231">
        <v>0</v>
      </c>
      <c r="O92" s="231">
        <v>0</v>
      </c>
      <c r="P92" s="231">
        <v>0</v>
      </c>
      <c r="Q92" s="231">
        <v>0</v>
      </c>
      <c r="R92" s="231">
        <v>0</v>
      </c>
      <c r="S92" s="231">
        <v>0</v>
      </c>
      <c r="T92" s="231">
        <v>0</v>
      </c>
      <c r="U92" s="231">
        <v>0</v>
      </c>
      <c r="V92" s="231">
        <v>0</v>
      </c>
      <c r="W92" s="231">
        <v>0</v>
      </c>
      <c r="X92" s="231">
        <v>0</v>
      </c>
      <c r="Y92" s="23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231">
        <v>0</v>
      </c>
      <c r="AM92" s="231">
        <v>0</v>
      </c>
      <c r="AN92" s="231">
        <v>0</v>
      </c>
    </row>
    <row r="93" spans="3:40" x14ac:dyDescent="0.3">
      <c r="C93" s="231">
        <v>57</v>
      </c>
      <c r="D93" s="231">
        <v>9</v>
      </c>
      <c r="E93" s="231">
        <v>1</v>
      </c>
      <c r="F93" s="231">
        <v>0</v>
      </c>
      <c r="G93" s="231">
        <v>0</v>
      </c>
      <c r="H93" s="231">
        <v>0</v>
      </c>
      <c r="I93" s="231">
        <v>0</v>
      </c>
      <c r="J93" s="231">
        <v>0</v>
      </c>
      <c r="K93" s="231">
        <v>0</v>
      </c>
      <c r="L93" s="231">
        <v>0</v>
      </c>
      <c r="M93" s="231">
        <v>0</v>
      </c>
      <c r="N93" s="231">
        <v>0</v>
      </c>
      <c r="O93" s="231">
        <v>0</v>
      </c>
      <c r="P93" s="231">
        <v>0</v>
      </c>
      <c r="Q93" s="231">
        <v>0</v>
      </c>
      <c r="R93" s="231">
        <v>0</v>
      </c>
      <c r="S93" s="231">
        <v>0</v>
      </c>
      <c r="T93" s="231">
        <v>0</v>
      </c>
      <c r="U93" s="231">
        <v>0</v>
      </c>
      <c r="V93" s="231">
        <v>0</v>
      </c>
      <c r="W93" s="231">
        <v>0</v>
      </c>
      <c r="X93" s="231">
        <v>0</v>
      </c>
      <c r="Y93" s="231">
        <v>0</v>
      </c>
      <c r="Z93" s="231">
        <v>0</v>
      </c>
      <c r="AA93" s="231">
        <v>0</v>
      </c>
      <c r="AB93" s="231">
        <v>0</v>
      </c>
      <c r="AC93" s="231">
        <v>0</v>
      </c>
      <c r="AD93" s="231">
        <v>0</v>
      </c>
      <c r="AE93" s="231">
        <v>0</v>
      </c>
      <c r="AF93" s="231">
        <v>0</v>
      </c>
      <c r="AG93" s="231">
        <v>0</v>
      </c>
      <c r="AH93" s="231">
        <v>0</v>
      </c>
      <c r="AI93" s="231">
        <v>0</v>
      </c>
      <c r="AJ93" s="231">
        <v>0</v>
      </c>
      <c r="AK93" s="231">
        <v>0</v>
      </c>
      <c r="AL93" s="231">
        <v>0</v>
      </c>
      <c r="AM93" s="231">
        <v>0</v>
      </c>
      <c r="AN93" s="231">
        <v>0</v>
      </c>
    </row>
    <row r="94" spans="3:40" x14ac:dyDescent="0.3">
      <c r="C94" s="231">
        <v>57</v>
      </c>
      <c r="D94" s="231">
        <v>9</v>
      </c>
      <c r="E94" s="231">
        <v>2</v>
      </c>
      <c r="F94" s="231">
        <v>0</v>
      </c>
      <c r="G94" s="231">
        <v>0</v>
      </c>
      <c r="H94" s="231">
        <v>0</v>
      </c>
      <c r="I94" s="231">
        <v>0</v>
      </c>
      <c r="J94" s="231">
        <v>0</v>
      </c>
      <c r="K94" s="231">
        <v>0</v>
      </c>
      <c r="L94" s="231">
        <v>0</v>
      </c>
      <c r="M94" s="231">
        <v>0</v>
      </c>
      <c r="N94" s="231">
        <v>0</v>
      </c>
      <c r="O94" s="231">
        <v>0</v>
      </c>
      <c r="P94" s="231">
        <v>0</v>
      </c>
      <c r="Q94" s="231">
        <v>0</v>
      </c>
      <c r="R94" s="231">
        <v>0</v>
      </c>
      <c r="S94" s="231">
        <v>0</v>
      </c>
      <c r="T94" s="231">
        <v>0</v>
      </c>
      <c r="U94" s="231">
        <v>0</v>
      </c>
      <c r="V94" s="231">
        <v>0</v>
      </c>
      <c r="W94" s="231">
        <v>0</v>
      </c>
      <c r="X94" s="231">
        <v>0</v>
      </c>
      <c r="Y94" s="231">
        <v>0</v>
      </c>
      <c r="Z94" s="231">
        <v>0</v>
      </c>
      <c r="AA94" s="231">
        <v>0</v>
      </c>
      <c r="AB94" s="231">
        <v>0</v>
      </c>
      <c r="AC94" s="231">
        <v>0</v>
      </c>
      <c r="AD94" s="231">
        <v>0</v>
      </c>
      <c r="AE94" s="231">
        <v>0</v>
      </c>
      <c r="AF94" s="231">
        <v>0</v>
      </c>
      <c r="AG94" s="231">
        <v>0</v>
      </c>
      <c r="AH94" s="231">
        <v>0</v>
      </c>
      <c r="AI94" s="231">
        <v>0</v>
      </c>
      <c r="AJ94" s="231">
        <v>0</v>
      </c>
      <c r="AK94" s="231">
        <v>0</v>
      </c>
      <c r="AL94" s="231">
        <v>0</v>
      </c>
      <c r="AM94" s="231">
        <v>0</v>
      </c>
      <c r="AN94" s="231">
        <v>0</v>
      </c>
    </row>
    <row r="95" spans="3:40" x14ac:dyDescent="0.3">
      <c r="C95" s="231">
        <v>57</v>
      </c>
      <c r="D95" s="231">
        <v>9</v>
      </c>
      <c r="E95" s="231">
        <v>3</v>
      </c>
      <c r="F95" s="231">
        <v>0</v>
      </c>
      <c r="G95" s="231">
        <v>0</v>
      </c>
      <c r="H95" s="231">
        <v>0</v>
      </c>
      <c r="I95" s="231">
        <v>0</v>
      </c>
      <c r="J95" s="231">
        <v>0</v>
      </c>
      <c r="K95" s="231">
        <v>0</v>
      </c>
      <c r="L95" s="231">
        <v>0</v>
      </c>
      <c r="M95" s="231">
        <v>0</v>
      </c>
      <c r="N95" s="231">
        <v>0</v>
      </c>
      <c r="O95" s="231">
        <v>0</v>
      </c>
      <c r="P95" s="231">
        <v>0</v>
      </c>
      <c r="Q95" s="231">
        <v>0</v>
      </c>
      <c r="R95" s="231">
        <v>0</v>
      </c>
      <c r="S95" s="231">
        <v>0</v>
      </c>
      <c r="T95" s="231">
        <v>0</v>
      </c>
      <c r="U95" s="231">
        <v>0</v>
      </c>
      <c r="V95" s="231">
        <v>0</v>
      </c>
      <c r="W95" s="231">
        <v>0</v>
      </c>
      <c r="X95" s="231">
        <v>0</v>
      </c>
      <c r="Y95" s="231">
        <v>0</v>
      </c>
      <c r="Z95" s="231">
        <v>0</v>
      </c>
      <c r="AA95" s="231">
        <v>0</v>
      </c>
      <c r="AB95" s="231">
        <v>0</v>
      </c>
      <c r="AC95" s="231">
        <v>0</v>
      </c>
      <c r="AD95" s="231">
        <v>0</v>
      </c>
      <c r="AE95" s="231">
        <v>0</v>
      </c>
      <c r="AF95" s="231">
        <v>0</v>
      </c>
      <c r="AG95" s="231">
        <v>0</v>
      </c>
      <c r="AH95" s="231">
        <v>0</v>
      </c>
      <c r="AI95" s="231">
        <v>0</v>
      </c>
      <c r="AJ95" s="231">
        <v>0</v>
      </c>
      <c r="AK95" s="231">
        <v>0</v>
      </c>
      <c r="AL95" s="231">
        <v>0</v>
      </c>
      <c r="AM95" s="231">
        <v>0</v>
      </c>
      <c r="AN95" s="231">
        <v>0</v>
      </c>
    </row>
    <row r="96" spans="3:40" x14ac:dyDescent="0.3">
      <c r="C96" s="231">
        <v>57</v>
      </c>
      <c r="D96" s="231">
        <v>9</v>
      </c>
      <c r="E96" s="231">
        <v>4</v>
      </c>
      <c r="F96" s="231">
        <v>0</v>
      </c>
      <c r="G96" s="231">
        <v>0</v>
      </c>
      <c r="H96" s="231">
        <v>0</v>
      </c>
      <c r="I96" s="231">
        <v>0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0</v>
      </c>
      <c r="P96" s="231">
        <v>0</v>
      </c>
      <c r="Q96" s="231">
        <v>0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v>0</v>
      </c>
      <c r="AF96" s="231">
        <v>0</v>
      </c>
      <c r="AG96" s="231">
        <v>0</v>
      </c>
      <c r="AH96" s="231">
        <v>0</v>
      </c>
      <c r="AI96" s="231">
        <v>0</v>
      </c>
      <c r="AJ96" s="231">
        <v>0</v>
      </c>
      <c r="AK96" s="231">
        <v>0</v>
      </c>
      <c r="AL96" s="231">
        <v>0</v>
      </c>
      <c r="AM96" s="231">
        <v>0</v>
      </c>
      <c r="AN96" s="231">
        <v>0</v>
      </c>
    </row>
    <row r="97" spans="3:40" x14ac:dyDescent="0.3">
      <c r="C97" s="231">
        <v>57</v>
      </c>
      <c r="D97" s="231">
        <v>9</v>
      </c>
      <c r="E97" s="231">
        <v>5</v>
      </c>
      <c r="F97" s="231">
        <v>0</v>
      </c>
      <c r="G97" s="231">
        <v>0</v>
      </c>
      <c r="H97" s="231">
        <v>0</v>
      </c>
      <c r="I97" s="231">
        <v>0</v>
      </c>
      <c r="J97" s="231">
        <v>0</v>
      </c>
      <c r="K97" s="231">
        <v>0</v>
      </c>
      <c r="L97" s="231">
        <v>0</v>
      </c>
      <c r="M97" s="231">
        <v>0</v>
      </c>
      <c r="N97" s="231">
        <v>0</v>
      </c>
      <c r="O97" s="231">
        <v>0</v>
      </c>
      <c r="P97" s="231">
        <v>0</v>
      </c>
      <c r="Q97" s="231">
        <v>0</v>
      </c>
      <c r="R97" s="231">
        <v>0</v>
      </c>
      <c r="S97" s="231">
        <v>0</v>
      </c>
      <c r="T97" s="231">
        <v>0</v>
      </c>
      <c r="U97" s="231">
        <v>0</v>
      </c>
      <c r="V97" s="231">
        <v>0</v>
      </c>
      <c r="W97" s="231">
        <v>0</v>
      </c>
      <c r="X97" s="231">
        <v>0</v>
      </c>
      <c r="Y97" s="231">
        <v>0</v>
      </c>
      <c r="Z97" s="231">
        <v>0</v>
      </c>
      <c r="AA97" s="231">
        <v>0</v>
      </c>
      <c r="AB97" s="231">
        <v>0</v>
      </c>
      <c r="AC97" s="231">
        <v>0</v>
      </c>
      <c r="AD97" s="231">
        <v>0</v>
      </c>
      <c r="AE97" s="231">
        <v>0</v>
      </c>
      <c r="AF97" s="231">
        <v>0</v>
      </c>
      <c r="AG97" s="231">
        <v>0</v>
      </c>
      <c r="AH97" s="231">
        <v>0</v>
      </c>
      <c r="AI97" s="231">
        <v>0</v>
      </c>
      <c r="AJ97" s="231">
        <v>0</v>
      </c>
      <c r="AK97" s="231">
        <v>0</v>
      </c>
      <c r="AL97" s="231">
        <v>0</v>
      </c>
      <c r="AM97" s="231">
        <v>0</v>
      </c>
      <c r="AN97" s="231">
        <v>0</v>
      </c>
    </row>
    <row r="98" spans="3:40" x14ac:dyDescent="0.3">
      <c r="C98" s="231">
        <v>57</v>
      </c>
      <c r="D98" s="231">
        <v>9</v>
      </c>
      <c r="E98" s="231">
        <v>6</v>
      </c>
      <c r="F98" s="231">
        <v>0</v>
      </c>
      <c r="G98" s="231">
        <v>0</v>
      </c>
      <c r="H98" s="231">
        <v>0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0</v>
      </c>
      <c r="O98" s="231">
        <v>0</v>
      </c>
      <c r="P98" s="231">
        <v>0</v>
      </c>
      <c r="Q98" s="231">
        <v>0</v>
      </c>
      <c r="R98" s="231">
        <v>0</v>
      </c>
      <c r="S98" s="231">
        <v>0</v>
      </c>
      <c r="T98" s="231">
        <v>0</v>
      </c>
      <c r="U98" s="231">
        <v>0</v>
      </c>
      <c r="V98" s="231">
        <v>0</v>
      </c>
      <c r="W98" s="231">
        <v>0</v>
      </c>
      <c r="X98" s="231">
        <v>0</v>
      </c>
      <c r="Y98" s="231">
        <v>0</v>
      </c>
      <c r="Z98" s="231">
        <v>0</v>
      </c>
      <c r="AA98" s="231">
        <v>0</v>
      </c>
      <c r="AB98" s="231">
        <v>0</v>
      </c>
      <c r="AC98" s="231">
        <v>0</v>
      </c>
      <c r="AD98" s="231">
        <v>0</v>
      </c>
      <c r="AE98" s="231">
        <v>0</v>
      </c>
      <c r="AF98" s="231">
        <v>0</v>
      </c>
      <c r="AG98" s="231">
        <v>0</v>
      </c>
      <c r="AH98" s="231">
        <v>0</v>
      </c>
      <c r="AI98" s="231">
        <v>0</v>
      </c>
      <c r="AJ98" s="231">
        <v>0</v>
      </c>
      <c r="AK98" s="231">
        <v>0</v>
      </c>
      <c r="AL98" s="231">
        <v>0</v>
      </c>
      <c r="AM98" s="231">
        <v>0</v>
      </c>
      <c r="AN98" s="231">
        <v>0</v>
      </c>
    </row>
    <row r="99" spans="3:40" x14ac:dyDescent="0.3">
      <c r="C99" s="231">
        <v>57</v>
      </c>
      <c r="D99" s="231">
        <v>9</v>
      </c>
      <c r="E99" s="231">
        <v>7</v>
      </c>
      <c r="F99" s="231">
        <v>0</v>
      </c>
      <c r="G99" s="231">
        <v>0</v>
      </c>
      <c r="H99" s="231">
        <v>0</v>
      </c>
      <c r="I99" s="231">
        <v>0</v>
      </c>
      <c r="J99" s="231">
        <v>0</v>
      </c>
      <c r="K99" s="231">
        <v>0</v>
      </c>
      <c r="L99" s="231">
        <v>0</v>
      </c>
      <c r="M99" s="231">
        <v>0</v>
      </c>
      <c r="N99" s="231">
        <v>0</v>
      </c>
      <c r="O99" s="231">
        <v>0</v>
      </c>
      <c r="P99" s="231">
        <v>0</v>
      </c>
      <c r="Q99" s="231">
        <v>0</v>
      </c>
      <c r="R99" s="231">
        <v>0</v>
      </c>
      <c r="S99" s="231">
        <v>0</v>
      </c>
      <c r="T99" s="231">
        <v>0</v>
      </c>
      <c r="U99" s="231">
        <v>0</v>
      </c>
      <c r="V99" s="231">
        <v>0</v>
      </c>
      <c r="W99" s="231">
        <v>0</v>
      </c>
      <c r="X99" s="231">
        <v>0</v>
      </c>
      <c r="Y99" s="231">
        <v>0</v>
      </c>
      <c r="Z99" s="231">
        <v>0</v>
      </c>
      <c r="AA99" s="231">
        <v>0</v>
      </c>
      <c r="AB99" s="231">
        <v>0</v>
      </c>
      <c r="AC99" s="231">
        <v>0</v>
      </c>
      <c r="AD99" s="231">
        <v>0</v>
      </c>
      <c r="AE99" s="231">
        <v>0</v>
      </c>
      <c r="AF99" s="231">
        <v>0</v>
      </c>
      <c r="AG99" s="231">
        <v>0</v>
      </c>
      <c r="AH99" s="231">
        <v>0</v>
      </c>
      <c r="AI99" s="231">
        <v>0</v>
      </c>
      <c r="AJ99" s="231">
        <v>0</v>
      </c>
      <c r="AK99" s="231">
        <v>0</v>
      </c>
      <c r="AL99" s="231">
        <v>0</v>
      </c>
      <c r="AM99" s="231">
        <v>0</v>
      </c>
      <c r="AN99" s="231">
        <v>0</v>
      </c>
    </row>
    <row r="100" spans="3:40" x14ac:dyDescent="0.3">
      <c r="C100" s="231">
        <v>57</v>
      </c>
      <c r="D100" s="231">
        <v>9</v>
      </c>
      <c r="E100" s="231">
        <v>8</v>
      </c>
      <c r="F100" s="231">
        <v>0</v>
      </c>
      <c r="G100" s="231">
        <v>0</v>
      </c>
      <c r="H100" s="231">
        <v>0</v>
      </c>
      <c r="I100" s="231">
        <v>0</v>
      </c>
      <c r="J100" s="231">
        <v>0</v>
      </c>
      <c r="K100" s="231">
        <v>0</v>
      </c>
      <c r="L100" s="231">
        <v>0</v>
      </c>
      <c r="M100" s="231">
        <v>0</v>
      </c>
      <c r="N100" s="231">
        <v>0</v>
      </c>
      <c r="O100" s="231">
        <v>0</v>
      </c>
      <c r="P100" s="231">
        <v>0</v>
      </c>
      <c r="Q100" s="231">
        <v>0</v>
      </c>
      <c r="R100" s="231">
        <v>0</v>
      </c>
      <c r="S100" s="231">
        <v>0</v>
      </c>
      <c r="T100" s="231">
        <v>0</v>
      </c>
      <c r="U100" s="231">
        <v>0</v>
      </c>
      <c r="V100" s="231">
        <v>0</v>
      </c>
      <c r="W100" s="231">
        <v>0</v>
      </c>
      <c r="X100" s="231">
        <v>0</v>
      </c>
      <c r="Y100" s="231">
        <v>0</v>
      </c>
      <c r="Z100" s="231">
        <v>0</v>
      </c>
      <c r="AA100" s="231">
        <v>0</v>
      </c>
      <c r="AB100" s="231">
        <v>0</v>
      </c>
      <c r="AC100" s="231">
        <v>0</v>
      </c>
      <c r="AD100" s="231">
        <v>0</v>
      </c>
      <c r="AE100" s="231">
        <v>0</v>
      </c>
      <c r="AF100" s="231">
        <v>0</v>
      </c>
      <c r="AG100" s="231">
        <v>0</v>
      </c>
      <c r="AH100" s="231">
        <v>0</v>
      </c>
      <c r="AI100" s="231">
        <v>0</v>
      </c>
      <c r="AJ100" s="231">
        <v>0</v>
      </c>
      <c r="AK100" s="231">
        <v>0</v>
      </c>
      <c r="AL100" s="231">
        <v>0</v>
      </c>
      <c r="AM100" s="231">
        <v>0</v>
      </c>
      <c r="AN100" s="231">
        <v>0</v>
      </c>
    </row>
    <row r="101" spans="3:40" x14ac:dyDescent="0.3">
      <c r="C101" s="231">
        <v>57</v>
      </c>
      <c r="D101" s="231">
        <v>9</v>
      </c>
      <c r="E101" s="231">
        <v>9</v>
      </c>
      <c r="F101" s="231">
        <v>0</v>
      </c>
      <c r="G101" s="231">
        <v>0</v>
      </c>
      <c r="H101" s="231">
        <v>0</v>
      </c>
      <c r="I101" s="231">
        <v>0</v>
      </c>
      <c r="J101" s="231">
        <v>0</v>
      </c>
      <c r="K101" s="231">
        <v>0</v>
      </c>
      <c r="L101" s="231">
        <v>0</v>
      </c>
      <c r="M101" s="231">
        <v>0</v>
      </c>
      <c r="N101" s="231">
        <v>0</v>
      </c>
      <c r="O101" s="231">
        <v>0</v>
      </c>
      <c r="P101" s="231">
        <v>0</v>
      </c>
      <c r="Q101" s="231">
        <v>0</v>
      </c>
      <c r="R101" s="231">
        <v>0</v>
      </c>
      <c r="S101" s="231">
        <v>0</v>
      </c>
      <c r="T101" s="231">
        <v>0</v>
      </c>
      <c r="U101" s="231">
        <v>0</v>
      </c>
      <c r="V101" s="231">
        <v>0</v>
      </c>
      <c r="W101" s="231">
        <v>0</v>
      </c>
      <c r="X101" s="231">
        <v>0</v>
      </c>
      <c r="Y101" s="231">
        <v>0</v>
      </c>
      <c r="Z101" s="231">
        <v>0</v>
      </c>
      <c r="AA101" s="231">
        <v>0</v>
      </c>
      <c r="AB101" s="231">
        <v>0</v>
      </c>
      <c r="AC101" s="231">
        <v>0</v>
      </c>
      <c r="AD101" s="231">
        <v>0</v>
      </c>
      <c r="AE101" s="231">
        <v>0</v>
      </c>
      <c r="AF101" s="231">
        <v>0</v>
      </c>
      <c r="AG101" s="231">
        <v>0</v>
      </c>
      <c r="AH101" s="231">
        <v>0</v>
      </c>
      <c r="AI101" s="231">
        <v>0</v>
      </c>
      <c r="AJ101" s="231">
        <v>0</v>
      </c>
      <c r="AK101" s="231">
        <v>0</v>
      </c>
      <c r="AL101" s="231">
        <v>0</v>
      </c>
      <c r="AM101" s="231">
        <v>0</v>
      </c>
      <c r="AN101" s="231">
        <v>0</v>
      </c>
    </row>
    <row r="102" spans="3:40" x14ac:dyDescent="0.3">
      <c r="C102" s="231">
        <v>57</v>
      </c>
      <c r="D102" s="231">
        <v>9</v>
      </c>
      <c r="E102" s="231">
        <v>10</v>
      </c>
      <c r="F102" s="231">
        <v>0</v>
      </c>
      <c r="G102" s="231">
        <v>0</v>
      </c>
      <c r="H102" s="231">
        <v>0</v>
      </c>
      <c r="I102" s="231">
        <v>0</v>
      </c>
      <c r="J102" s="231">
        <v>0</v>
      </c>
      <c r="K102" s="231">
        <v>0</v>
      </c>
      <c r="L102" s="231">
        <v>0</v>
      </c>
      <c r="M102" s="231">
        <v>0</v>
      </c>
      <c r="N102" s="231">
        <v>0</v>
      </c>
      <c r="O102" s="231">
        <v>0</v>
      </c>
      <c r="P102" s="231">
        <v>0</v>
      </c>
      <c r="Q102" s="231">
        <v>0</v>
      </c>
      <c r="R102" s="231">
        <v>0</v>
      </c>
      <c r="S102" s="231">
        <v>0</v>
      </c>
      <c r="T102" s="231">
        <v>0</v>
      </c>
      <c r="U102" s="231">
        <v>0</v>
      </c>
      <c r="V102" s="231">
        <v>0</v>
      </c>
      <c r="W102" s="231">
        <v>0</v>
      </c>
      <c r="X102" s="231">
        <v>0</v>
      </c>
      <c r="Y102" s="231">
        <v>0</v>
      </c>
      <c r="Z102" s="231">
        <v>0</v>
      </c>
      <c r="AA102" s="231">
        <v>0</v>
      </c>
      <c r="AB102" s="231">
        <v>0</v>
      </c>
      <c r="AC102" s="231">
        <v>0</v>
      </c>
      <c r="AD102" s="231">
        <v>0</v>
      </c>
      <c r="AE102" s="231">
        <v>0</v>
      </c>
      <c r="AF102" s="231">
        <v>0</v>
      </c>
      <c r="AG102" s="231">
        <v>0</v>
      </c>
      <c r="AH102" s="231">
        <v>0</v>
      </c>
      <c r="AI102" s="231">
        <v>0</v>
      </c>
      <c r="AJ102" s="231">
        <v>0</v>
      </c>
      <c r="AK102" s="231">
        <v>0</v>
      </c>
      <c r="AL102" s="231">
        <v>0</v>
      </c>
      <c r="AM102" s="231">
        <v>0</v>
      </c>
      <c r="AN102" s="231">
        <v>0</v>
      </c>
    </row>
    <row r="103" spans="3:40" x14ac:dyDescent="0.3">
      <c r="C103" s="231">
        <v>57</v>
      </c>
      <c r="D103" s="231">
        <v>9</v>
      </c>
      <c r="E103" s="231">
        <v>11</v>
      </c>
      <c r="F103" s="231">
        <v>0</v>
      </c>
      <c r="G103" s="231">
        <v>0</v>
      </c>
      <c r="H103" s="231">
        <v>0</v>
      </c>
      <c r="I103" s="231">
        <v>0</v>
      </c>
      <c r="J103" s="231">
        <v>0</v>
      </c>
      <c r="K103" s="231">
        <v>0</v>
      </c>
      <c r="L103" s="231">
        <v>0</v>
      </c>
      <c r="M103" s="231">
        <v>0</v>
      </c>
      <c r="N103" s="231">
        <v>0</v>
      </c>
      <c r="O103" s="231">
        <v>0</v>
      </c>
      <c r="P103" s="231">
        <v>0</v>
      </c>
      <c r="Q103" s="231">
        <v>0</v>
      </c>
      <c r="R103" s="231">
        <v>0</v>
      </c>
      <c r="S103" s="231">
        <v>0</v>
      </c>
      <c r="T103" s="231">
        <v>0</v>
      </c>
      <c r="U103" s="231">
        <v>0</v>
      </c>
      <c r="V103" s="231">
        <v>0</v>
      </c>
      <c r="W103" s="231">
        <v>0</v>
      </c>
      <c r="X103" s="231">
        <v>0</v>
      </c>
      <c r="Y103" s="231">
        <v>0</v>
      </c>
      <c r="Z103" s="231">
        <v>0</v>
      </c>
      <c r="AA103" s="231">
        <v>0</v>
      </c>
      <c r="AB103" s="231">
        <v>0</v>
      </c>
      <c r="AC103" s="231">
        <v>0</v>
      </c>
      <c r="AD103" s="231">
        <v>0</v>
      </c>
      <c r="AE103" s="231">
        <v>0</v>
      </c>
      <c r="AF103" s="231">
        <v>0</v>
      </c>
      <c r="AG103" s="231">
        <v>0</v>
      </c>
      <c r="AH103" s="231">
        <v>0</v>
      </c>
      <c r="AI103" s="231">
        <v>0</v>
      </c>
      <c r="AJ103" s="231">
        <v>0</v>
      </c>
      <c r="AK103" s="231">
        <v>0</v>
      </c>
      <c r="AL103" s="231">
        <v>0</v>
      </c>
      <c r="AM103" s="231">
        <v>0</v>
      </c>
      <c r="AN103" s="231">
        <v>0</v>
      </c>
    </row>
    <row r="104" spans="3:40" x14ac:dyDescent="0.3">
      <c r="C104" s="231">
        <v>57</v>
      </c>
      <c r="D104" s="231">
        <v>10</v>
      </c>
      <c r="E104" s="231">
        <v>1</v>
      </c>
      <c r="F104" s="231">
        <v>0</v>
      </c>
      <c r="G104" s="231">
        <v>0</v>
      </c>
      <c r="H104" s="231">
        <v>0</v>
      </c>
      <c r="I104" s="231">
        <v>0</v>
      </c>
      <c r="J104" s="231">
        <v>0</v>
      </c>
      <c r="K104" s="231">
        <v>0</v>
      </c>
      <c r="L104" s="231">
        <v>0</v>
      </c>
      <c r="M104" s="231">
        <v>0</v>
      </c>
      <c r="N104" s="231">
        <v>0</v>
      </c>
      <c r="O104" s="231">
        <v>0</v>
      </c>
      <c r="P104" s="231">
        <v>0</v>
      </c>
      <c r="Q104" s="231">
        <v>0</v>
      </c>
      <c r="R104" s="231">
        <v>0</v>
      </c>
      <c r="S104" s="231">
        <v>0</v>
      </c>
      <c r="T104" s="231">
        <v>0</v>
      </c>
      <c r="U104" s="231">
        <v>0</v>
      </c>
      <c r="V104" s="231">
        <v>0</v>
      </c>
      <c r="W104" s="231">
        <v>0</v>
      </c>
      <c r="X104" s="231">
        <v>0</v>
      </c>
      <c r="Y104" s="231">
        <v>0</v>
      </c>
      <c r="Z104" s="231">
        <v>0</v>
      </c>
      <c r="AA104" s="231">
        <v>0</v>
      </c>
      <c r="AB104" s="231">
        <v>0</v>
      </c>
      <c r="AC104" s="231">
        <v>0</v>
      </c>
      <c r="AD104" s="231">
        <v>0</v>
      </c>
      <c r="AE104" s="231">
        <v>0</v>
      </c>
      <c r="AF104" s="231">
        <v>0</v>
      </c>
      <c r="AG104" s="231">
        <v>0</v>
      </c>
      <c r="AH104" s="231">
        <v>0</v>
      </c>
      <c r="AI104" s="231">
        <v>0</v>
      </c>
      <c r="AJ104" s="231">
        <v>0</v>
      </c>
      <c r="AK104" s="231">
        <v>0</v>
      </c>
      <c r="AL104" s="231">
        <v>0</v>
      </c>
      <c r="AM104" s="231">
        <v>0</v>
      </c>
      <c r="AN104" s="231">
        <v>0</v>
      </c>
    </row>
    <row r="105" spans="3:40" x14ac:dyDescent="0.3">
      <c r="C105" s="231">
        <v>57</v>
      </c>
      <c r="D105" s="231">
        <v>10</v>
      </c>
      <c r="E105" s="231">
        <v>2</v>
      </c>
      <c r="F105" s="231">
        <v>0</v>
      </c>
      <c r="G105" s="231">
        <v>0</v>
      </c>
      <c r="H105" s="231">
        <v>0</v>
      </c>
      <c r="I105" s="231">
        <v>0</v>
      </c>
      <c r="J105" s="231">
        <v>0</v>
      </c>
      <c r="K105" s="231">
        <v>0</v>
      </c>
      <c r="L105" s="231">
        <v>0</v>
      </c>
      <c r="M105" s="231">
        <v>0</v>
      </c>
      <c r="N105" s="231">
        <v>0</v>
      </c>
      <c r="O105" s="231">
        <v>0</v>
      </c>
      <c r="P105" s="231">
        <v>0</v>
      </c>
      <c r="Q105" s="231">
        <v>0</v>
      </c>
      <c r="R105" s="231">
        <v>0</v>
      </c>
      <c r="S105" s="231">
        <v>0</v>
      </c>
      <c r="T105" s="231">
        <v>0</v>
      </c>
      <c r="U105" s="231">
        <v>0</v>
      </c>
      <c r="V105" s="231">
        <v>0</v>
      </c>
      <c r="W105" s="231">
        <v>0</v>
      </c>
      <c r="X105" s="231">
        <v>0</v>
      </c>
      <c r="Y105" s="231">
        <v>0</v>
      </c>
      <c r="Z105" s="231">
        <v>0</v>
      </c>
      <c r="AA105" s="231">
        <v>0</v>
      </c>
      <c r="AB105" s="231">
        <v>0</v>
      </c>
      <c r="AC105" s="231">
        <v>0</v>
      </c>
      <c r="AD105" s="231">
        <v>0</v>
      </c>
      <c r="AE105" s="231">
        <v>0</v>
      </c>
      <c r="AF105" s="231">
        <v>0</v>
      </c>
      <c r="AG105" s="231">
        <v>0</v>
      </c>
      <c r="AH105" s="231">
        <v>0</v>
      </c>
      <c r="AI105" s="231">
        <v>0</v>
      </c>
      <c r="AJ105" s="231">
        <v>0</v>
      </c>
      <c r="AK105" s="231">
        <v>0</v>
      </c>
      <c r="AL105" s="231">
        <v>0</v>
      </c>
      <c r="AM105" s="231">
        <v>0</v>
      </c>
      <c r="AN105" s="231">
        <v>0</v>
      </c>
    </row>
    <row r="106" spans="3:40" x14ac:dyDescent="0.3">
      <c r="C106" s="231">
        <v>57</v>
      </c>
      <c r="D106" s="231">
        <v>10</v>
      </c>
      <c r="E106" s="231">
        <v>3</v>
      </c>
      <c r="F106" s="231">
        <v>0</v>
      </c>
      <c r="G106" s="231">
        <v>0</v>
      </c>
      <c r="H106" s="231">
        <v>0</v>
      </c>
      <c r="I106" s="231">
        <v>0</v>
      </c>
      <c r="J106" s="231">
        <v>0</v>
      </c>
      <c r="K106" s="231">
        <v>0</v>
      </c>
      <c r="L106" s="231">
        <v>0</v>
      </c>
      <c r="M106" s="231">
        <v>0</v>
      </c>
      <c r="N106" s="231">
        <v>0</v>
      </c>
      <c r="O106" s="231">
        <v>0</v>
      </c>
      <c r="P106" s="231">
        <v>0</v>
      </c>
      <c r="Q106" s="231">
        <v>0</v>
      </c>
      <c r="R106" s="231">
        <v>0</v>
      </c>
      <c r="S106" s="231">
        <v>0</v>
      </c>
      <c r="T106" s="231">
        <v>0</v>
      </c>
      <c r="U106" s="231">
        <v>0</v>
      </c>
      <c r="V106" s="231">
        <v>0</v>
      </c>
      <c r="W106" s="231">
        <v>0</v>
      </c>
      <c r="X106" s="231">
        <v>0</v>
      </c>
      <c r="Y106" s="231">
        <v>0</v>
      </c>
      <c r="Z106" s="231">
        <v>0</v>
      </c>
      <c r="AA106" s="231">
        <v>0</v>
      </c>
      <c r="AB106" s="231">
        <v>0</v>
      </c>
      <c r="AC106" s="231">
        <v>0</v>
      </c>
      <c r="AD106" s="231">
        <v>0</v>
      </c>
      <c r="AE106" s="231">
        <v>0</v>
      </c>
      <c r="AF106" s="231">
        <v>0</v>
      </c>
      <c r="AG106" s="231">
        <v>0</v>
      </c>
      <c r="AH106" s="231">
        <v>0</v>
      </c>
      <c r="AI106" s="231">
        <v>0</v>
      </c>
      <c r="AJ106" s="231">
        <v>0</v>
      </c>
      <c r="AK106" s="231">
        <v>0</v>
      </c>
      <c r="AL106" s="231">
        <v>0</v>
      </c>
      <c r="AM106" s="231">
        <v>0</v>
      </c>
      <c r="AN106" s="231">
        <v>0</v>
      </c>
    </row>
    <row r="107" spans="3:40" x14ac:dyDescent="0.3">
      <c r="C107" s="231">
        <v>57</v>
      </c>
      <c r="D107" s="231">
        <v>10</v>
      </c>
      <c r="E107" s="231">
        <v>4</v>
      </c>
      <c r="F107" s="231">
        <v>0</v>
      </c>
      <c r="G107" s="231">
        <v>0</v>
      </c>
      <c r="H107" s="231">
        <v>0</v>
      </c>
      <c r="I107" s="231">
        <v>0</v>
      </c>
      <c r="J107" s="231">
        <v>0</v>
      </c>
      <c r="K107" s="231">
        <v>0</v>
      </c>
      <c r="L107" s="231">
        <v>0</v>
      </c>
      <c r="M107" s="231">
        <v>0</v>
      </c>
      <c r="N107" s="231">
        <v>0</v>
      </c>
      <c r="O107" s="231">
        <v>0</v>
      </c>
      <c r="P107" s="231">
        <v>0</v>
      </c>
      <c r="Q107" s="231">
        <v>0</v>
      </c>
      <c r="R107" s="231">
        <v>0</v>
      </c>
      <c r="S107" s="231">
        <v>0</v>
      </c>
      <c r="T107" s="231">
        <v>0</v>
      </c>
      <c r="U107" s="231">
        <v>0</v>
      </c>
      <c r="V107" s="231">
        <v>0</v>
      </c>
      <c r="W107" s="231">
        <v>0</v>
      </c>
      <c r="X107" s="231">
        <v>0</v>
      </c>
      <c r="Y107" s="231">
        <v>0</v>
      </c>
      <c r="Z107" s="231">
        <v>0</v>
      </c>
      <c r="AA107" s="231">
        <v>0</v>
      </c>
      <c r="AB107" s="231">
        <v>0</v>
      </c>
      <c r="AC107" s="231">
        <v>0</v>
      </c>
      <c r="AD107" s="231">
        <v>0</v>
      </c>
      <c r="AE107" s="231">
        <v>0</v>
      </c>
      <c r="AF107" s="231">
        <v>0</v>
      </c>
      <c r="AG107" s="231">
        <v>0</v>
      </c>
      <c r="AH107" s="231">
        <v>0</v>
      </c>
      <c r="AI107" s="231">
        <v>0</v>
      </c>
      <c r="AJ107" s="231">
        <v>0</v>
      </c>
      <c r="AK107" s="231">
        <v>0</v>
      </c>
      <c r="AL107" s="231">
        <v>0</v>
      </c>
      <c r="AM107" s="231">
        <v>0</v>
      </c>
      <c r="AN107" s="231">
        <v>0</v>
      </c>
    </row>
    <row r="108" spans="3:40" x14ac:dyDescent="0.3">
      <c r="C108" s="231">
        <v>57</v>
      </c>
      <c r="D108" s="231">
        <v>10</v>
      </c>
      <c r="E108" s="231">
        <v>5</v>
      </c>
      <c r="F108" s="231">
        <v>0</v>
      </c>
      <c r="G108" s="231">
        <v>0</v>
      </c>
      <c r="H108" s="231">
        <v>0</v>
      </c>
      <c r="I108" s="231">
        <v>0</v>
      </c>
      <c r="J108" s="231">
        <v>0</v>
      </c>
      <c r="K108" s="231">
        <v>0</v>
      </c>
      <c r="L108" s="231">
        <v>0</v>
      </c>
      <c r="M108" s="231">
        <v>0</v>
      </c>
      <c r="N108" s="231">
        <v>0</v>
      </c>
      <c r="O108" s="231">
        <v>0</v>
      </c>
      <c r="P108" s="231">
        <v>0</v>
      </c>
      <c r="Q108" s="231">
        <v>0</v>
      </c>
      <c r="R108" s="231">
        <v>0</v>
      </c>
      <c r="S108" s="231">
        <v>0</v>
      </c>
      <c r="T108" s="231">
        <v>0</v>
      </c>
      <c r="U108" s="231">
        <v>0</v>
      </c>
      <c r="V108" s="231">
        <v>0</v>
      </c>
      <c r="W108" s="231">
        <v>0</v>
      </c>
      <c r="X108" s="231">
        <v>0</v>
      </c>
      <c r="Y108" s="231">
        <v>0</v>
      </c>
      <c r="Z108" s="231">
        <v>0</v>
      </c>
      <c r="AA108" s="231">
        <v>0</v>
      </c>
      <c r="AB108" s="231">
        <v>0</v>
      </c>
      <c r="AC108" s="231">
        <v>0</v>
      </c>
      <c r="AD108" s="231">
        <v>0</v>
      </c>
      <c r="AE108" s="231">
        <v>0</v>
      </c>
      <c r="AF108" s="231">
        <v>0</v>
      </c>
      <c r="AG108" s="231">
        <v>0</v>
      </c>
      <c r="AH108" s="231">
        <v>0</v>
      </c>
      <c r="AI108" s="231">
        <v>0</v>
      </c>
      <c r="AJ108" s="231">
        <v>0</v>
      </c>
      <c r="AK108" s="231">
        <v>0</v>
      </c>
      <c r="AL108" s="231">
        <v>0</v>
      </c>
      <c r="AM108" s="231">
        <v>0</v>
      </c>
      <c r="AN108" s="231">
        <v>0</v>
      </c>
    </row>
    <row r="109" spans="3:40" x14ac:dyDescent="0.3">
      <c r="C109" s="231">
        <v>57</v>
      </c>
      <c r="D109" s="231">
        <v>10</v>
      </c>
      <c r="E109" s="231">
        <v>6</v>
      </c>
      <c r="F109" s="231">
        <v>0</v>
      </c>
      <c r="G109" s="231">
        <v>0</v>
      </c>
      <c r="H109" s="231">
        <v>0</v>
      </c>
      <c r="I109" s="231">
        <v>0</v>
      </c>
      <c r="J109" s="231">
        <v>0</v>
      </c>
      <c r="K109" s="231">
        <v>0</v>
      </c>
      <c r="L109" s="231">
        <v>0</v>
      </c>
      <c r="M109" s="231">
        <v>0</v>
      </c>
      <c r="N109" s="231">
        <v>0</v>
      </c>
      <c r="O109" s="231">
        <v>0</v>
      </c>
      <c r="P109" s="231">
        <v>0</v>
      </c>
      <c r="Q109" s="231">
        <v>0</v>
      </c>
      <c r="R109" s="231">
        <v>0</v>
      </c>
      <c r="S109" s="231">
        <v>0</v>
      </c>
      <c r="T109" s="231">
        <v>0</v>
      </c>
      <c r="U109" s="231">
        <v>0</v>
      </c>
      <c r="V109" s="231">
        <v>0</v>
      </c>
      <c r="W109" s="231">
        <v>0</v>
      </c>
      <c r="X109" s="231">
        <v>0</v>
      </c>
      <c r="Y109" s="231">
        <v>0</v>
      </c>
      <c r="Z109" s="231">
        <v>0</v>
      </c>
      <c r="AA109" s="231">
        <v>0</v>
      </c>
      <c r="AB109" s="231">
        <v>0</v>
      </c>
      <c r="AC109" s="231">
        <v>0</v>
      </c>
      <c r="AD109" s="231">
        <v>0</v>
      </c>
      <c r="AE109" s="231">
        <v>0</v>
      </c>
      <c r="AF109" s="231">
        <v>0</v>
      </c>
      <c r="AG109" s="231">
        <v>0</v>
      </c>
      <c r="AH109" s="231">
        <v>0</v>
      </c>
      <c r="AI109" s="231">
        <v>0</v>
      </c>
      <c r="AJ109" s="231">
        <v>0</v>
      </c>
      <c r="AK109" s="231">
        <v>0</v>
      </c>
      <c r="AL109" s="231">
        <v>0</v>
      </c>
      <c r="AM109" s="231">
        <v>0</v>
      </c>
      <c r="AN109" s="231">
        <v>0</v>
      </c>
    </row>
    <row r="110" spans="3:40" x14ac:dyDescent="0.3">
      <c r="C110" s="231">
        <v>57</v>
      </c>
      <c r="D110" s="231">
        <v>10</v>
      </c>
      <c r="E110" s="231">
        <v>7</v>
      </c>
      <c r="F110" s="231">
        <v>0</v>
      </c>
      <c r="G110" s="231">
        <v>0</v>
      </c>
      <c r="H110" s="231">
        <v>0</v>
      </c>
      <c r="I110" s="231">
        <v>0</v>
      </c>
      <c r="J110" s="231">
        <v>0</v>
      </c>
      <c r="K110" s="231">
        <v>0</v>
      </c>
      <c r="L110" s="231">
        <v>0</v>
      </c>
      <c r="M110" s="231">
        <v>0</v>
      </c>
      <c r="N110" s="231">
        <v>0</v>
      </c>
      <c r="O110" s="231">
        <v>0</v>
      </c>
      <c r="P110" s="231">
        <v>0</v>
      </c>
      <c r="Q110" s="231">
        <v>0</v>
      </c>
      <c r="R110" s="231">
        <v>0</v>
      </c>
      <c r="S110" s="231">
        <v>0</v>
      </c>
      <c r="T110" s="231">
        <v>0</v>
      </c>
      <c r="U110" s="231">
        <v>0</v>
      </c>
      <c r="V110" s="231">
        <v>0</v>
      </c>
      <c r="W110" s="231">
        <v>0</v>
      </c>
      <c r="X110" s="231">
        <v>0</v>
      </c>
      <c r="Y110" s="231">
        <v>0</v>
      </c>
      <c r="Z110" s="231">
        <v>0</v>
      </c>
      <c r="AA110" s="231">
        <v>0</v>
      </c>
      <c r="AB110" s="231">
        <v>0</v>
      </c>
      <c r="AC110" s="231">
        <v>0</v>
      </c>
      <c r="AD110" s="231">
        <v>0</v>
      </c>
      <c r="AE110" s="231">
        <v>0</v>
      </c>
      <c r="AF110" s="231">
        <v>0</v>
      </c>
      <c r="AG110" s="231">
        <v>0</v>
      </c>
      <c r="AH110" s="231">
        <v>0</v>
      </c>
      <c r="AI110" s="231">
        <v>0</v>
      </c>
      <c r="AJ110" s="231">
        <v>0</v>
      </c>
      <c r="AK110" s="231">
        <v>0</v>
      </c>
      <c r="AL110" s="231">
        <v>0</v>
      </c>
      <c r="AM110" s="231">
        <v>0</v>
      </c>
      <c r="AN110" s="231">
        <v>0</v>
      </c>
    </row>
    <row r="111" spans="3:40" x14ac:dyDescent="0.3">
      <c r="C111" s="231">
        <v>57</v>
      </c>
      <c r="D111" s="231">
        <v>10</v>
      </c>
      <c r="E111" s="231">
        <v>8</v>
      </c>
      <c r="F111" s="231">
        <v>0</v>
      </c>
      <c r="G111" s="231">
        <v>0</v>
      </c>
      <c r="H111" s="231">
        <v>0</v>
      </c>
      <c r="I111" s="231">
        <v>0</v>
      </c>
      <c r="J111" s="231">
        <v>0</v>
      </c>
      <c r="K111" s="231">
        <v>0</v>
      </c>
      <c r="L111" s="231">
        <v>0</v>
      </c>
      <c r="M111" s="231">
        <v>0</v>
      </c>
      <c r="N111" s="231">
        <v>0</v>
      </c>
      <c r="O111" s="231">
        <v>0</v>
      </c>
      <c r="P111" s="231">
        <v>0</v>
      </c>
      <c r="Q111" s="231">
        <v>0</v>
      </c>
      <c r="R111" s="231">
        <v>0</v>
      </c>
      <c r="S111" s="231">
        <v>0</v>
      </c>
      <c r="T111" s="231">
        <v>0</v>
      </c>
      <c r="U111" s="231">
        <v>0</v>
      </c>
      <c r="V111" s="231">
        <v>0</v>
      </c>
      <c r="W111" s="231">
        <v>0</v>
      </c>
      <c r="X111" s="231">
        <v>0</v>
      </c>
      <c r="Y111" s="231">
        <v>0</v>
      </c>
      <c r="Z111" s="231">
        <v>0</v>
      </c>
      <c r="AA111" s="231">
        <v>0</v>
      </c>
      <c r="AB111" s="231">
        <v>0</v>
      </c>
      <c r="AC111" s="231">
        <v>0</v>
      </c>
      <c r="AD111" s="231">
        <v>0</v>
      </c>
      <c r="AE111" s="231">
        <v>0</v>
      </c>
      <c r="AF111" s="231">
        <v>0</v>
      </c>
      <c r="AG111" s="231">
        <v>0</v>
      </c>
      <c r="AH111" s="231">
        <v>0</v>
      </c>
      <c r="AI111" s="231">
        <v>0</v>
      </c>
      <c r="AJ111" s="231">
        <v>0</v>
      </c>
      <c r="AK111" s="231">
        <v>0</v>
      </c>
      <c r="AL111" s="231">
        <v>0</v>
      </c>
      <c r="AM111" s="231">
        <v>0</v>
      </c>
      <c r="AN111" s="231">
        <v>0</v>
      </c>
    </row>
    <row r="112" spans="3:40" x14ac:dyDescent="0.3">
      <c r="C112" s="231">
        <v>57</v>
      </c>
      <c r="D112" s="231">
        <v>10</v>
      </c>
      <c r="E112" s="231">
        <v>9</v>
      </c>
      <c r="F112" s="231">
        <v>0</v>
      </c>
      <c r="G112" s="231">
        <v>0</v>
      </c>
      <c r="H112" s="231">
        <v>0</v>
      </c>
      <c r="I112" s="231">
        <v>0</v>
      </c>
      <c r="J112" s="231">
        <v>0</v>
      </c>
      <c r="K112" s="231">
        <v>0</v>
      </c>
      <c r="L112" s="231">
        <v>0</v>
      </c>
      <c r="M112" s="231">
        <v>0</v>
      </c>
      <c r="N112" s="231">
        <v>0</v>
      </c>
      <c r="O112" s="231">
        <v>0</v>
      </c>
      <c r="P112" s="231">
        <v>0</v>
      </c>
      <c r="Q112" s="231">
        <v>0</v>
      </c>
      <c r="R112" s="231">
        <v>0</v>
      </c>
      <c r="S112" s="231">
        <v>0</v>
      </c>
      <c r="T112" s="231">
        <v>0</v>
      </c>
      <c r="U112" s="231">
        <v>0</v>
      </c>
      <c r="V112" s="231">
        <v>0</v>
      </c>
      <c r="W112" s="231">
        <v>0</v>
      </c>
      <c r="X112" s="231">
        <v>0</v>
      </c>
      <c r="Y112" s="231">
        <v>0</v>
      </c>
      <c r="Z112" s="231">
        <v>0</v>
      </c>
      <c r="AA112" s="231">
        <v>0</v>
      </c>
      <c r="AB112" s="231">
        <v>0</v>
      </c>
      <c r="AC112" s="231">
        <v>0</v>
      </c>
      <c r="AD112" s="231">
        <v>0</v>
      </c>
      <c r="AE112" s="231">
        <v>0</v>
      </c>
      <c r="AF112" s="231">
        <v>0</v>
      </c>
      <c r="AG112" s="231">
        <v>0</v>
      </c>
      <c r="AH112" s="231">
        <v>0</v>
      </c>
      <c r="AI112" s="231">
        <v>0</v>
      </c>
      <c r="AJ112" s="231">
        <v>0</v>
      </c>
      <c r="AK112" s="231">
        <v>0</v>
      </c>
      <c r="AL112" s="231">
        <v>0</v>
      </c>
      <c r="AM112" s="231">
        <v>0</v>
      </c>
      <c r="AN112" s="231">
        <v>0</v>
      </c>
    </row>
    <row r="113" spans="3:40" x14ac:dyDescent="0.3">
      <c r="C113" s="231">
        <v>57</v>
      </c>
      <c r="D113" s="231">
        <v>10</v>
      </c>
      <c r="E113" s="231">
        <v>10</v>
      </c>
      <c r="F113" s="231">
        <v>0</v>
      </c>
      <c r="G113" s="231">
        <v>0</v>
      </c>
      <c r="H113" s="231">
        <v>0</v>
      </c>
      <c r="I113" s="231">
        <v>0</v>
      </c>
      <c r="J113" s="231">
        <v>0</v>
      </c>
      <c r="K113" s="231">
        <v>0</v>
      </c>
      <c r="L113" s="231">
        <v>0</v>
      </c>
      <c r="M113" s="231">
        <v>0</v>
      </c>
      <c r="N113" s="231">
        <v>0</v>
      </c>
      <c r="O113" s="231">
        <v>0</v>
      </c>
      <c r="P113" s="231">
        <v>0</v>
      </c>
      <c r="Q113" s="231">
        <v>0</v>
      </c>
      <c r="R113" s="231">
        <v>0</v>
      </c>
      <c r="S113" s="231">
        <v>0</v>
      </c>
      <c r="T113" s="231">
        <v>0</v>
      </c>
      <c r="U113" s="231">
        <v>0</v>
      </c>
      <c r="V113" s="231">
        <v>0</v>
      </c>
      <c r="W113" s="231">
        <v>0</v>
      </c>
      <c r="X113" s="231">
        <v>0</v>
      </c>
      <c r="Y113" s="231">
        <v>0</v>
      </c>
      <c r="Z113" s="231">
        <v>0</v>
      </c>
      <c r="AA113" s="231">
        <v>0</v>
      </c>
      <c r="AB113" s="231">
        <v>0</v>
      </c>
      <c r="AC113" s="231">
        <v>0</v>
      </c>
      <c r="AD113" s="231">
        <v>0</v>
      </c>
      <c r="AE113" s="231">
        <v>0</v>
      </c>
      <c r="AF113" s="231">
        <v>0</v>
      </c>
      <c r="AG113" s="231">
        <v>0</v>
      </c>
      <c r="AH113" s="231">
        <v>0</v>
      </c>
      <c r="AI113" s="231">
        <v>0</v>
      </c>
      <c r="AJ113" s="231">
        <v>0</v>
      </c>
      <c r="AK113" s="231">
        <v>0</v>
      </c>
      <c r="AL113" s="231">
        <v>0</v>
      </c>
      <c r="AM113" s="231">
        <v>0</v>
      </c>
      <c r="AN113" s="231">
        <v>0</v>
      </c>
    </row>
    <row r="114" spans="3:40" x14ac:dyDescent="0.3">
      <c r="C114" s="231">
        <v>57</v>
      </c>
      <c r="D114" s="231">
        <v>10</v>
      </c>
      <c r="E114" s="231">
        <v>11</v>
      </c>
      <c r="F114" s="231">
        <v>0</v>
      </c>
      <c r="G114" s="231">
        <v>0</v>
      </c>
      <c r="H114" s="231">
        <v>0</v>
      </c>
      <c r="I114" s="231">
        <v>0</v>
      </c>
      <c r="J114" s="231">
        <v>0</v>
      </c>
      <c r="K114" s="231">
        <v>0</v>
      </c>
      <c r="L114" s="231">
        <v>0</v>
      </c>
      <c r="M114" s="231">
        <v>0</v>
      </c>
      <c r="N114" s="231">
        <v>0</v>
      </c>
      <c r="O114" s="231">
        <v>0</v>
      </c>
      <c r="P114" s="231">
        <v>0</v>
      </c>
      <c r="Q114" s="231">
        <v>0</v>
      </c>
      <c r="R114" s="231">
        <v>0</v>
      </c>
      <c r="S114" s="231">
        <v>0</v>
      </c>
      <c r="T114" s="231">
        <v>0</v>
      </c>
      <c r="U114" s="231">
        <v>0</v>
      </c>
      <c r="V114" s="231">
        <v>0</v>
      </c>
      <c r="W114" s="231">
        <v>0</v>
      </c>
      <c r="X114" s="231">
        <v>0</v>
      </c>
      <c r="Y114" s="231">
        <v>0</v>
      </c>
      <c r="Z114" s="231">
        <v>0</v>
      </c>
      <c r="AA114" s="231">
        <v>0</v>
      </c>
      <c r="AB114" s="231">
        <v>0</v>
      </c>
      <c r="AC114" s="231">
        <v>0</v>
      </c>
      <c r="AD114" s="231">
        <v>0</v>
      </c>
      <c r="AE114" s="231">
        <v>0</v>
      </c>
      <c r="AF114" s="231">
        <v>0</v>
      </c>
      <c r="AG114" s="231">
        <v>0</v>
      </c>
      <c r="AH114" s="231">
        <v>0</v>
      </c>
      <c r="AI114" s="231">
        <v>0</v>
      </c>
      <c r="AJ114" s="231">
        <v>0</v>
      </c>
      <c r="AK114" s="231">
        <v>0</v>
      </c>
      <c r="AL114" s="231">
        <v>0</v>
      </c>
      <c r="AM114" s="231">
        <v>0</v>
      </c>
      <c r="AN114" s="231">
        <v>0</v>
      </c>
    </row>
    <row r="115" spans="3:40" x14ac:dyDescent="0.3">
      <c r="C115" s="231">
        <v>57</v>
      </c>
      <c r="D115" s="231">
        <v>11</v>
      </c>
      <c r="E115" s="231">
        <v>1</v>
      </c>
      <c r="F115" s="231">
        <v>0</v>
      </c>
      <c r="G115" s="231">
        <v>0</v>
      </c>
      <c r="H115" s="231">
        <v>0</v>
      </c>
      <c r="I115" s="231">
        <v>0</v>
      </c>
      <c r="J115" s="231">
        <v>0</v>
      </c>
      <c r="K115" s="231">
        <v>0</v>
      </c>
      <c r="L115" s="231">
        <v>0</v>
      </c>
      <c r="M115" s="231">
        <v>0</v>
      </c>
      <c r="N115" s="231">
        <v>0</v>
      </c>
      <c r="O115" s="231">
        <v>0</v>
      </c>
      <c r="P115" s="231">
        <v>0</v>
      </c>
      <c r="Q115" s="231">
        <v>0</v>
      </c>
      <c r="R115" s="231">
        <v>0</v>
      </c>
      <c r="S115" s="231">
        <v>0</v>
      </c>
      <c r="T115" s="231">
        <v>0</v>
      </c>
      <c r="U115" s="231">
        <v>0</v>
      </c>
      <c r="V115" s="231">
        <v>0</v>
      </c>
      <c r="W115" s="231">
        <v>0</v>
      </c>
      <c r="X115" s="231">
        <v>0</v>
      </c>
      <c r="Y115" s="231">
        <v>0</v>
      </c>
      <c r="Z115" s="231">
        <v>0</v>
      </c>
      <c r="AA115" s="231">
        <v>0</v>
      </c>
      <c r="AB115" s="231">
        <v>0</v>
      </c>
      <c r="AC115" s="231">
        <v>0</v>
      </c>
      <c r="AD115" s="231">
        <v>0</v>
      </c>
      <c r="AE115" s="231">
        <v>0</v>
      </c>
      <c r="AF115" s="231">
        <v>0</v>
      </c>
      <c r="AG115" s="231">
        <v>0</v>
      </c>
      <c r="AH115" s="231">
        <v>0</v>
      </c>
      <c r="AI115" s="231">
        <v>0</v>
      </c>
      <c r="AJ115" s="231">
        <v>0</v>
      </c>
      <c r="AK115" s="231">
        <v>0</v>
      </c>
      <c r="AL115" s="231">
        <v>0</v>
      </c>
      <c r="AM115" s="231">
        <v>0</v>
      </c>
      <c r="AN115" s="231">
        <v>0</v>
      </c>
    </row>
    <row r="116" spans="3:40" x14ac:dyDescent="0.3">
      <c r="C116" s="231">
        <v>57</v>
      </c>
      <c r="D116" s="231">
        <v>11</v>
      </c>
      <c r="E116" s="231">
        <v>2</v>
      </c>
      <c r="F116" s="231">
        <v>0</v>
      </c>
      <c r="G116" s="231">
        <v>0</v>
      </c>
      <c r="H116" s="231">
        <v>0</v>
      </c>
      <c r="I116" s="231">
        <v>0</v>
      </c>
      <c r="J116" s="231">
        <v>0</v>
      </c>
      <c r="K116" s="231">
        <v>0</v>
      </c>
      <c r="L116" s="231">
        <v>0</v>
      </c>
      <c r="M116" s="231">
        <v>0</v>
      </c>
      <c r="N116" s="231">
        <v>0</v>
      </c>
      <c r="O116" s="231">
        <v>0</v>
      </c>
      <c r="P116" s="231">
        <v>0</v>
      </c>
      <c r="Q116" s="231">
        <v>0</v>
      </c>
      <c r="R116" s="231">
        <v>0</v>
      </c>
      <c r="S116" s="231">
        <v>0</v>
      </c>
      <c r="T116" s="231">
        <v>0</v>
      </c>
      <c r="U116" s="231">
        <v>0</v>
      </c>
      <c r="V116" s="231">
        <v>0</v>
      </c>
      <c r="W116" s="231">
        <v>0</v>
      </c>
      <c r="X116" s="231">
        <v>0</v>
      </c>
      <c r="Y116" s="231">
        <v>0</v>
      </c>
      <c r="Z116" s="231">
        <v>0</v>
      </c>
      <c r="AA116" s="231">
        <v>0</v>
      </c>
      <c r="AB116" s="231">
        <v>0</v>
      </c>
      <c r="AC116" s="231">
        <v>0</v>
      </c>
      <c r="AD116" s="231">
        <v>0</v>
      </c>
      <c r="AE116" s="231">
        <v>0</v>
      </c>
      <c r="AF116" s="231">
        <v>0</v>
      </c>
      <c r="AG116" s="231">
        <v>0</v>
      </c>
      <c r="AH116" s="231">
        <v>0</v>
      </c>
      <c r="AI116" s="231">
        <v>0</v>
      </c>
      <c r="AJ116" s="231">
        <v>0</v>
      </c>
      <c r="AK116" s="231">
        <v>0</v>
      </c>
      <c r="AL116" s="231">
        <v>0</v>
      </c>
      <c r="AM116" s="231">
        <v>0</v>
      </c>
      <c r="AN116" s="231">
        <v>0</v>
      </c>
    </row>
    <row r="117" spans="3:40" x14ac:dyDescent="0.3">
      <c r="C117" s="231">
        <v>57</v>
      </c>
      <c r="D117" s="231">
        <v>11</v>
      </c>
      <c r="E117" s="231">
        <v>3</v>
      </c>
      <c r="F117" s="231">
        <v>0</v>
      </c>
      <c r="G117" s="231">
        <v>0</v>
      </c>
      <c r="H117" s="231">
        <v>0</v>
      </c>
      <c r="I117" s="231">
        <v>0</v>
      </c>
      <c r="J117" s="231">
        <v>0</v>
      </c>
      <c r="K117" s="231">
        <v>0</v>
      </c>
      <c r="L117" s="231">
        <v>0</v>
      </c>
      <c r="M117" s="231">
        <v>0</v>
      </c>
      <c r="N117" s="231">
        <v>0</v>
      </c>
      <c r="O117" s="231">
        <v>0</v>
      </c>
      <c r="P117" s="231">
        <v>0</v>
      </c>
      <c r="Q117" s="231">
        <v>0</v>
      </c>
      <c r="R117" s="231">
        <v>0</v>
      </c>
      <c r="S117" s="231">
        <v>0</v>
      </c>
      <c r="T117" s="231">
        <v>0</v>
      </c>
      <c r="U117" s="231">
        <v>0</v>
      </c>
      <c r="V117" s="231">
        <v>0</v>
      </c>
      <c r="W117" s="231">
        <v>0</v>
      </c>
      <c r="X117" s="231">
        <v>0</v>
      </c>
      <c r="Y117" s="231">
        <v>0</v>
      </c>
      <c r="Z117" s="231">
        <v>0</v>
      </c>
      <c r="AA117" s="231">
        <v>0</v>
      </c>
      <c r="AB117" s="231">
        <v>0</v>
      </c>
      <c r="AC117" s="231">
        <v>0</v>
      </c>
      <c r="AD117" s="231">
        <v>0</v>
      </c>
      <c r="AE117" s="231">
        <v>0</v>
      </c>
      <c r="AF117" s="231">
        <v>0</v>
      </c>
      <c r="AG117" s="231">
        <v>0</v>
      </c>
      <c r="AH117" s="231">
        <v>0</v>
      </c>
      <c r="AI117" s="231">
        <v>0</v>
      </c>
      <c r="AJ117" s="231">
        <v>0</v>
      </c>
      <c r="AK117" s="231">
        <v>0</v>
      </c>
      <c r="AL117" s="231">
        <v>0</v>
      </c>
      <c r="AM117" s="231">
        <v>0</v>
      </c>
      <c r="AN117" s="231">
        <v>0</v>
      </c>
    </row>
    <row r="118" spans="3:40" x14ac:dyDescent="0.3">
      <c r="C118" s="231">
        <v>57</v>
      </c>
      <c r="D118" s="231">
        <v>11</v>
      </c>
      <c r="E118" s="231">
        <v>4</v>
      </c>
      <c r="F118" s="231">
        <v>0</v>
      </c>
      <c r="G118" s="231">
        <v>0</v>
      </c>
      <c r="H118" s="231">
        <v>0</v>
      </c>
      <c r="I118" s="231">
        <v>0</v>
      </c>
      <c r="J118" s="231">
        <v>0</v>
      </c>
      <c r="K118" s="231">
        <v>0</v>
      </c>
      <c r="L118" s="231">
        <v>0</v>
      </c>
      <c r="M118" s="231">
        <v>0</v>
      </c>
      <c r="N118" s="231">
        <v>0</v>
      </c>
      <c r="O118" s="231">
        <v>0</v>
      </c>
      <c r="P118" s="231">
        <v>0</v>
      </c>
      <c r="Q118" s="231">
        <v>0</v>
      </c>
      <c r="R118" s="231">
        <v>0</v>
      </c>
      <c r="S118" s="231">
        <v>0</v>
      </c>
      <c r="T118" s="231">
        <v>0</v>
      </c>
      <c r="U118" s="231">
        <v>0</v>
      </c>
      <c r="V118" s="231">
        <v>0</v>
      </c>
      <c r="W118" s="231">
        <v>0</v>
      </c>
      <c r="X118" s="231">
        <v>0</v>
      </c>
      <c r="Y118" s="231">
        <v>0</v>
      </c>
      <c r="Z118" s="231">
        <v>0</v>
      </c>
      <c r="AA118" s="231">
        <v>0</v>
      </c>
      <c r="AB118" s="231">
        <v>0</v>
      </c>
      <c r="AC118" s="231">
        <v>0</v>
      </c>
      <c r="AD118" s="231">
        <v>0</v>
      </c>
      <c r="AE118" s="231">
        <v>0</v>
      </c>
      <c r="AF118" s="231">
        <v>0</v>
      </c>
      <c r="AG118" s="231">
        <v>0</v>
      </c>
      <c r="AH118" s="231">
        <v>0</v>
      </c>
      <c r="AI118" s="231">
        <v>0</v>
      </c>
      <c r="AJ118" s="231">
        <v>0</v>
      </c>
      <c r="AK118" s="231">
        <v>0</v>
      </c>
      <c r="AL118" s="231">
        <v>0</v>
      </c>
      <c r="AM118" s="231">
        <v>0</v>
      </c>
      <c r="AN118" s="231">
        <v>0</v>
      </c>
    </row>
    <row r="119" spans="3:40" x14ac:dyDescent="0.3">
      <c r="C119" s="231">
        <v>57</v>
      </c>
      <c r="D119" s="231">
        <v>11</v>
      </c>
      <c r="E119" s="231">
        <v>5</v>
      </c>
      <c r="F119" s="231">
        <v>0</v>
      </c>
      <c r="G119" s="231">
        <v>0</v>
      </c>
      <c r="H119" s="231">
        <v>0</v>
      </c>
      <c r="I119" s="231">
        <v>0</v>
      </c>
      <c r="J119" s="231">
        <v>0</v>
      </c>
      <c r="K119" s="231">
        <v>0</v>
      </c>
      <c r="L119" s="231">
        <v>0</v>
      </c>
      <c r="M119" s="231">
        <v>0</v>
      </c>
      <c r="N119" s="231">
        <v>0</v>
      </c>
      <c r="O119" s="231">
        <v>0</v>
      </c>
      <c r="P119" s="231">
        <v>0</v>
      </c>
      <c r="Q119" s="231">
        <v>0</v>
      </c>
      <c r="R119" s="231">
        <v>0</v>
      </c>
      <c r="S119" s="231">
        <v>0</v>
      </c>
      <c r="T119" s="231">
        <v>0</v>
      </c>
      <c r="U119" s="231">
        <v>0</v>
      </c>
      <c r="V119" s="231">
        <v>0</v>
      </c>
      <c r="W119" s="231">
        <v>0</v>
      </c>
      <c r="X119" s="231">
        <v>0</v>
      </c>
      <c r="Y119" s="231">
        <v>0</v>
      </c>
      <c r="Z119" s="231">
        <v>0</v>
      </c>
      <c r="AA119" s="231">
        <v>0</v>
      </c>
      <c r="AB119" s="231">
        <v>0</v>
      </c>
      <c r="AC119" s="231">
        <v>0</v>
      </c>
      <c r="AD119" s="231">
        <v>0</v>
      </c>
      <c r="AE119" s="231">
        <v>0</v>
      </c>
      <c r="AF119" s="231">
        <v>0</v>
      </c>
      <c r="AG119" s="231">
        <v>0</v>
      </c>
      <c r="AH119" s="231">
        <v>0</v>
      </c>
      <c r="AI119" s="231">
        <v>0</v>
      </c>
      <c r="AJ119" s="231">
        <v>0</v>
      </c>
      <c r="AK119" s="231">
        <v>0</v>
      </c>
      <c r="AL119" s="231">
        <v>0</v>
      </c>
      <c r="AM119" s="231">
        <v>0</v>
      </c>
      <c r="AN119" s="231">
        <v>0</v>
      </c>
    </row>
    <row r="120" spans="3:40" x14ac:dyDescent="0.3">
      <c r="C120" s="231">
        <v>57</v>
      </c>
      <c r="D120" s="231">
        <v>11</v>
      </c>
      <c r="E120" s="231">
        <v>6</v>
      </c>
      <c r="F120" s="231">
        <v>0</v>
      </c>
      <c r="G120" s="231">
        <v>0</v>
      </c>
      <c r="H120" s="231">
        <v>0</v>
      </c>
      <c r="I120" s="231">
        <v>0</v>
      </c>
      <c r="J120" s="231">
        <v>0</v>
      </c>
      <c r="K120" s="231">
        <v>0</v>
      </c>
      <c r="L120" s="231">
        <v>0</v>
      </c>
      <c r="M120" s="231">
        <v>0</v>
      </c>
      <c r="N120" s="231">
        <v>0</v>
      </c>
      <c r="O120" s="231">
        <v>0</v>
      </c>
      <c r="P120" s="231">
        <v>0</v>
      </c>
      <c r="Q120" s="231">
        <v>0</v>
      </c>
      <c r="R120" s="231">
        <v>0</v>
      </c>
      <c r="S120" s="231">
        <v>0</v>
      </c>
      <c r="T120" s="231">
        <v>0</v>
      </c>
      <c r="U120" s="231">
        <v>0</v>
      </c>
      <c r="V120" s="231">
        <v>0</v>
      </c>
      <c r="W120" s="231">
        <v>0</v>
      </c>
      <c r="X120" s="231">
        <v>0</v>
      </c>
      <c r="Y120" s="231">
        <v>0</v>
      </c>
      <c r="Z120" s="231">
        <v>0</v>
      </c>
      <c r="AA120" s="231">
        <v>0</v>
      </c>
      <c r="AB120" s="231">
        <v>0</v>
      </c>
      <c r="AC120" s="231">
        <v>0</v>
      </c>
      <c r="AD120" s="231">
        <v>0</v>
      </c>
      <c r="AE120" s="231">
        <v>0</v>
      </c>
      <c r="AF120" s="231">
        <v>0</v>
      </c>
      <c r="AG120" s="231">
        <v>0</v>
      </c>
      <c r="AH120" s="231">
        <v>0</v>
      </c>
      <c r="AI120" s="231">
        <v>0</v>
      </c>
      <c r="AJ120" s="231">
        <v>0</v>
      </c>
      <c r="AK120" s="231">
        <v>0</v>
      </c>
      <c r="AL120" s="231">
        <v>0</v>
      </c>
      <c r="AM120" s="231">
        <v>0</v>
      </c>
      <c r="AN120" s="231">
        <v>0</v>
      </c>
    </row>
    <row r="121" spans="3:40" x14ac:dyDescent="0.3">
      <c r="C121" s="231">
        <v>57</v>
      </c>
      <c r="D121" s="231">
        <v>11</v>
      </c>
      <c r="E121" s="231">
        <v>7</v>
      </c>
      <c r="F121" s="231">
        <v>0</v>
      </c>
      <c r="G121" s="231">
        <v>0</v>
      </c>
      <c r="H121" s="231">
        <v>0</v>
      </c>
      <c r="I121" s="231">
        <v>0</v>
      </c>
      <c r="J121" s="231">
        <v>0</v>
      </c>
      <c r="K121" s="231">
        <v>0</v>
      </c>
      <c r="L121" s="231">
        <v>0</v>
      </c>
      <c r="M121" s="231">
        <v>0</v>
      </c>
      <c r="N121" s="231">
        <v>0</v>
      </c>
      <c r="O121" s="231">
        <v>0</v>
      </c>
      <c r="P121" s="231">
        <v>0</v>
      </c>
      <c r="Q121" s="231">
        <v>0</v>
      </c>
      <c r="R121" s="231">
        <v>0</v>
      </c>
      <c r="S121" s="231">
        <v>0</v>
      </c>
      <c r="T121" s="231">
        <v>0</v>
      </c>
      <c r="U121" s="231">
        <v>0</v>
      </c>
      <c r="V121" s="231">
        <v>0</v>
      </c>
      <c r="W121" s="231">
        <v>0</v>
      </c>
      <c r="X121" s="231">
        <v>0</v>
      </c>
      <c r="Y121" s="231">
        <v>0</v>
      </c>
      <c r="Z121" s="231">
        <v>0</v>
      </c>
      <c r="AA121" s="231">
        <v>0</v>
      </c>
      <c r="AB121" s="231">
        <v>0</v>
      </c>
      <c r="AC121" s="231">
        <v>0</v>
      </c>
      <c r="AD121" s="231">
        <v>0</v>
      </c>
      <c r="AE121" s="231">
        <v>0</v>
      </c>
      <c r="AF121" s="231">
        <v>0</v>
      </c>
      <c r="AG121" s="231">
        <v>0</v>
      </c>
      <c r="AH121" s="231">
        <v>0</v>
      </c>
      <c r="AI121" s="231">
        <v>0</v>
      </c>
      <c r="AJ121" s="231">
        <v>0</v>
      </c>
      <c r="AK121" s="231">
        <v>0</v>
      </c>
      <c r="AL121" s="231">
        <v>0</v>
      </c>
      <c r="AM121" s="231">
        <v>0</v>
      </c>
      <c r="AN121" s="231">
        <v>0</v>
      </c>
    </row>
    <row r="122" spans="3:40" x14ac:dyDescent="0.3">
      <c r="C122" s="231">
        <v>57</v>
      </c>
      <c r="D122" s="231">
        <v>11</v>
      </c>
      <c r="E122" s="231">
        <v>8</v>
      </c>
      <c r="F122" s="231">
        <v>0</v>
      </c>
      <c r="G122" s="231">
        <v>0</v>
      </c>
      <c r="H122" s="231">
        <v>0</v>
      </c>
      <c r="I122" s="231">
        <v>0</v>
      </c>
      <c r="J122" s="231">
        <v>0</v>
      </c>
      <c r="K122" s="231">
        <v>0</v>
      </c>
      <c r="L122" s="231">
        <v>0</v>
      </c>
      <c r="M122" s="231">
        <v>0</v>
      </c>
      <c r="N122" s="231">
        <v>0</v>
      </c>
      <c r="O122" s="231">
        <v>0</v>
      </c>
      <c r="P122" s="231">
        <v>0</v>
      </c>
      <c r="Q122" s="231">
        <v>0</v>
      </c>
      <c r="R122" s="231">
        <v>0</v>
      </c>
      <c r="S122" s="231">
        <v>0</v>
      </c>
      <c r="T122" s="231">
        <v>0</v>
      </c>
      <c r="U122" s="231">
        <v>0</v>
      </c>
      <c r="V122" s="231">
        <v>0</v>
      </c>
      <c r="W122" s="231">
        <v>0</v>
      </c>
      <c r="X122" s="231">
        <v>0</v>
      </c>
      <c r="Y122" s="231">
        <v>0</v>
      </c>
      <c r="Z122" s="231">
        <v>0</v>
      </c>
      <c r="AA122" s="231">
        <v>0</v>
      </c>
      <c r="AB122" s="231">
        <v>0</v>
      </c>
      <c r="AC122" s="231">
        <v>0</v>
      </c>
      <c r="AD122" s="231">
        <v>0</v>
      </c>
      <c r="AE122" s="231">
        <v>0</v>
      </c>
      <c r="AF122" s="231">
        <v>0</v>
      </c>
      <c r="AG122" s="231">
        <v>0</v>
      </c>
      <c r="AH122" s="231">
        <v>0</v>
      </c>
      <c r="AI122" s="231">
        <v>0</v>
      </c>
      <c r="AJ122" s="231">
        <v>0</v>
      </c>
      <c r="AK122" s="231">
        <v>0</v>
      </c>
      <c r="AL122" s="231">
        <v>0</v>
      </c>
      <c r="AM122" s="231">
        <v>0</v>
      </c>
      <c r="AN122" s="231">
        <v>0</v>
      </c>
    </row>
    <row r="123" spans="3:40" x14ac:dyDescent="0.3">
      <c r="C123" s="231">
        <v>57</v>
      </c>
      <c r="D123" s="231">
        <v>11</v>
      </c>
      <c r="E123" s="231">
        <v>9</v>
      </c>
      <c r="F123" s="231">
        <v>0</v>
      </c>
      <c r="G123" s="231">
        <v>0</v>
      </c>
      <c r="H123" s="231">
        <v>0</v>
      </c>
      <c r="I123" s="231">
        <v>0</v>
      </c>
      <c r="J123" s="231">
        <v>0</v>
      </c>
      <c r="K123" s="231">
        <v>0</v>
      </c>
      <c r="L123" s="231">
        <v>0</v>
      </c>
      <c r="M123" s="231">
        <v>0</v>
      </c>
      <c r="N123" s="231">
        <v>0</v>
      </c>
      <c r="O123" s="231">
        <v>0</v>
      </c>
      <c r="P123" s="231">
        <v>0</v>
      </c>
      <c r="Q123" s="231">
        <v>0</v>
      </c>
      <c r="R123" s="231">
        <v>0</v>
      </c>
      <c r="S123" s="231">
        <v>0</v>
      </c>
      <c r="T123" s="231">
        <v>0</v>
      </c>
      <c r="U123" s="231">
        <v>0</v>
      </c>
      <c r="V123" s="231">
        <v>0</v>
      </c>
      <c r="W123" s="231">
        <v>0</v>
      </c>
      <c r="X123" s="231">
        <v>0</v>
      </c>
      <c r="Y123" s="231">
        <v>0</v>
      </c>
      <c r="Z123" s="231">
        <v>0</v>
      </c>
      <c r="AA123" s="231">
        <v>0</v>
      </c>
      <c r="AB123" s="231">
        <v>0</v>
      </c>
      <c r="AC123" s="231">
        <v>0</v>
      </c>
      <c r="AD123" s="231">
        <v>0</v>
      </c>
      <c r="AE123" s="231">
        <v>0</v>
      </c>
      <c r="AF123" s="231">
        <v>0</v>
      </c>
      <c r="AG123" s="231">
        <v>0</v>
      </c>
      <c r="AH123" s="231">
        <v>0</v>
      </c>
      <c r="AI123" s="231">
        <v>0</v>
      </c>
      <c r="AJ123" s="231">
        <v>0</v>
      </c>
      <c r="AK123" s="231">
        <v>0</v>
      </c>
      <c r="AL123" s="231">
        <v>0</v>
      </c>
      <c r="AM123" s="231">
        <v>0</v>
      </c>
      <c r="AN123" s="231">
        <v>0</v>
      </c>
    </row>
    <row r="124" spans="3:40" x14ac:dyDescent="0.3">
      <c r="C124" s="231">
        <v>57</v>
      </c>
      <c r="D124" s="231">
        <v>11</v>
      </c>
      <c r="E124" s="231">
        <v>10</v>
      </c>
      <c r="F124" s="231">
        <v>0</v>
      </c>
      <c r="G124" s="231">
        <v>0</v>
      </c>
      <c r="H124" s="231">
        <v>0</v>
      </c>
      <c r="I124" s="231">
        <v>0</v>
      </c>
      <c r="J124" s="231">
        <v>0</v>
      </c>
      <c r="K124" s="231">
        <v>0</v>
      </c>
      <c r="L124" s="231">
        <v>0</v>
      </c>
      <c r="M124" s="231">
        <v>0</v>
      </c>
      <c r="N124" s="231">
        <v>0</v>
      </c>
      <c r="O124" s="231">
        <v>0</v>
      </c>
      <c r="P124" s="231">
        <v>0</v>
      </c>
      <c r="Q124" s="231">
        <v>0</v>
      </c>
      <c r="R124" s="231">
        <v>0</v>
      </c>
      <c r="S124" s="231">
        <v>0</v>
      </c>
      <c r="T124" s="231">
        <v>0</v>
      </c>
      <c r="U124" s="231">
        <v>0</v>
      </c>
      <c r="V124" s="231">
        <v>0</v>
      </c>
      <c r="W124" s="231">
        <v>0</v>
      </c>
      <c r="X124" s="231">
        <v>0</v>
      </c>
      <c r="Y124" s="231">
        <v>0</v>
      </c>
      <c r="Z124" s="231">
        <v>0</v>
      </c>
      <c r="AA124" s="231">
        <v>0</v>
      </c>
      <c r="AB124" s="231">
        <v>0</v>
      </c>
      <c r="AC124" s="231">
        <v>0</v>
      </c>
      <c r="AD124" s="231">
        <v>0</v>
      </c>
      <c r="AE124" s="231">
        <v>0</v>
      </c>
      <c r="AF124" s="231">
        <v>0</v>
      </c>
      <c r="AG124" s="231">
        <v>0</v>
      </c>
      <c r="AH124" s="231">
        <v>0</v>
      </c>
      <c r="AI124" s="231">
        <v>0</v>
      </c>
      <c r="AJ124" s="231">
        <v>0</v>
      </c>
      <c r="AK124" s="231">
        <v>0</v>
      </c>
      <c r="AL124" s="231">
        <v>0</v>
      </c>
      <c r="AM124" s="231">
        <v>0</v>
      </c>
      <c r="AN124" s="231">
        <v>0</v>
      </c>
    </row>
    <row r="125" spans="3:40" x14ac:dyDescent="0.3">
      <c r="C125" s="231">
        <v>57</v>
      </c>
      <c r="D125" s="231">
        <v>11</v>
      </c>
      <c r="E125" s="231">
        <v>11</v>
      </c>
      <c r="F125" s="231">
        <v>0</v>
      </c>
      <c r="G125" s="231">
        <v>0</v>
      </c>
      <c r="H125" s="231">
        <v>0</v>
      </c>
      <c r="I125" s="231">
        <v>0</v>
      </c>
      <c r="J125" s="231">
        <v>0</v>
      </c>
      <c r="K125" s="231">
        <v>0</v>
      </c>
      <c r="L125" s="231">
        <v>0</v>
      </c>
      <c r="M125" s="231">
        <v>0</v>
      </c>
      <c r="N125" s="231">
        <v>0</v>
      </c>
      <c r="O125" s="231">
        <v>0</v>
      </c>
      <c r="P125" s="231">
        <v>0</v>
      </c>
      <c r="Q125" s="231">
        <v>0</v>
      </c>
      <c r="R125" s="231">
        <v>0</v>
      </c>
      <c r="S125" s="231">
        <v>0</v>
      </c>
      <c r="T125" s="231">
        <v>0</v>
      </c>
      <c r="U125" s="231">
        <v>0</v>
      </c>
      <c r="V125" s="231">
        <v>0</v>
      </c>
      <c r="W125" s="231">
        <v>0</v>
      </c>
      <c r="X125" s="231">
        <v>0</v>
      </c>
      <c r="Y125" s="231">
        <v>0</v>
      </c>
      <c r="Z125" s="231">
        <v>0</v>
      </c>
      <c r="AA125" s="231">
        <v>0</v>
      </c>
      <c r="AB125" s="231">
        <v>0</v>
      </c>
      <c r="AC125" s="231">
        <v>0</v>
      </c>
      <c r="AD125" s="231">
        <v>0</v>
      </c>
      <c r="AE125" s="231">
        <v>0</v>
      </c>
      <c r="AF125" s="231">
        <v>0</v>
      </c>
      <c r="AG125" s="231">
        <v>0</v>
      </c>
      <c r="AH125" s="231">
        <v>0</v>
      </c>
      <c r="AI125" s="231">
        <v>0</v>
      </c>
      <c r="AJ125" s="231">
        <v>0</v>
      </c>
      <c r="AK125" s="231">
        <v>0</v>
      </c>
      <c r="AL125" s="231">
        <v>0</v>
      </c>
      <c r="AM125" s="231">
        <v>0</v>
      </c>
      <c r="AN125" s="231">
        <v>0</v>
      </c>
    </row>
    <row r="126" spans="3:40" x14ac:dyDescent="0.3">
      <c r="C126" s="231">
        <v>57</v>
      </c>
      <c r="D126" s="231">
        <v>12</v>
      </c>
      <c r="E126" s="231">
        <v>1</v>
      </c>
      <c r="F126" s="231">
        <v>0</v>
      </c>
      <c r="G126" s="231">
        <v>0</v>
      </c>
      <c r="H126" s="231">
        <v>0</v>
      </c>
      <c r="I126" s="231">
        <v>0</v>
      </c>
      <c r="J126" s="231">
        <v>0</v>
      </c>
      <c r="K126" s="231">
        <v>0</v>
      </c>
      <c r="L126" s="231">
        <v>0</v>
      </c>
      <c r="M126" s="231">
        <v>0</v>
      </c>
      <c r="N126" s="231">
        <v>0</v>
      </c>
      <c r="O126" s="231">
        <v>0</v>
      </c>
      <c r="P126" s="231">
        <v>0</v>
      </c>
      <c r="Q126" s="231">
        <v>0</v>
      </c>
      <c r="R126" s="231">
        <v>0</v>
      </c>
      <c r="S126" s="231">
        <v>0</v>
      </c>
      <c r="T126" s="231">
        <v>0</v>
      </c>
      <c r="U126" s="231">
        <v>0</v>
      </c>
      <c r="V126" s="231">
        <v>0</v>
      </c>
      <c r="W126" s="231">
        <v>0</v>
      </c>
      <c r="X126" s="231">
        <v>0</v>
      </c>
      <c r="Y126" s="231">
        <v>0</v>
      </c>
      <c r="Z126" s="231">
        <v>0</v>
      </c>
      <c r="AA126" s="231">
        <v>0</v>
      </c>
      <c r="AB126" s="231">
        <v>0</v>
      </c>
      <c r="AC126" s="231">
        <v>0</v>
      </c>
      <c r="AD126" s="231">
        <v>0</v>
      </c>
      <c r="AE126" s="231">
        <v>0</v>
      </c>
      <c r="AF126" s="231">
        <v>0</v>
      </c>
      <c r="AG126" s="231">
        <v>0</v>
      </c>
      <c r="AH126" s="231">
        <v>0</v>
      </c>
      <c r="AI126" s="231">
        <v>0</v>
      </c>
      <c r="AJ126" s="231">
        <v>0</v>
      </c>
      <c r="AK126" s="231">
        <v>0</v>
      </c>
      <c r="AL126" s="231">
        <v>0</v>
      </c>
      <c r="AM126" s="231">
        <v>0</v>
      </c>
      <c r="AN126" s="231">
        <v>0</v>
      </c>
    </row>
    <row r="127" spans="3:40" x14ac:dyDescent="0.3">
      <c r="C127" s="231">
        <v>57</v>
      </c>
      <c r="D127" s="231">
        <v>12</v>
      </c>
      <c r="E127" s="231">
        <v>2</v>
      </c>
      <c r="F127" s="231">
        <v>0</v>
      </c>
      <c r="G127" s="231">
        <v>0</v>
      </c>
      <c r="H127" s="231">
        <v>0</v>
      </c>
      <c r="I127" s="231">
        <v>0</v>
      </c>
      <c r="J127" s="231">
        <v>0</v>
      </c>
      <c r="K127" s="231">
        <v>0</v>
      </c>
      <c r="L127" s="231">
        <v>0</v>
      </c>
      <c r="M127" s="231">
        <v>0</v>
      </c>
      <c r="N127" s="231">
        <v>0</v>
      </c>
      <c r="O127" s="231">
        <v>0</v>
      </c>
      <c r="P127" s="231">
        <v>0</v>
      </c>
      <c r="Q127" s="231">
        <v>0</v>
      </c>
      <c r="R127" s="231">
        <v>0</v>
      </c>
      <c r="S127" s="231">
        <v>0</v>
      </c>
      <c r="T127" s="231">
        <v>0</v>
      </c>
      <c r="U127" s="231">
        <v>0</v>
      </c>
      <c r="V127" s="231">
        <v>0</v>
      </c>
      <c r="W127" s="231">
        <v>0</v>
      </c>
      <c r="X127" s="231">
        <v>0</v>
      </c>
      <c r="Y127" s="231">
        <v>0</v>
      </c>
      <c r="Z127" s="231">
        <v>0</v>
      </c>
      <c r="AA127" s="231">
        <v>0</v>
      </c>
      <c r="AB127" s="231">
        <v>0</v>
      </c>
      <c r="AC127" s="231">
        <v>0</v>
      </c>
      <c r="AD127" s="231">
        <v>0</v>
      </c>
      <c r="AE127" s="231">
        <v>0</v>
      </c>
      <c r="AF127" s="231">
        <v>0</v>
      </c>
      <c r="AG127" s="231">
        <v>0</v>
      </c>
      <c r="AH127" s="231">
        <v>0</v>
      </c>
      <c r="AI127" s="231">
        <v>0</v>
      </c>
      <c r="AJ127" s="231">
        <v>0</v>
      </c>
      <c r="AK127" s="231">
        <v>0</v>
      </c>
      <c r="AL127" s="231">
        <v>0</v>
      </c>
      <c r="AM127" s="231">
        <v>0</v>
      </c>
      <c r="AN127" s="231">
        <v>0</v>
      </c>
    </row>
    <row r="128" spans="3:40" x14ac:dyDescent="0.3">
      <c r="C128" s="231">
        <v>57</v>
      </c>
      <c r="D128" s="231">
        <v>12</v>
      </c>
      <c r="E128" s="231">
        <v>3</v>
      </c>
      <c r="F128" s="231">
        <v>0</v>
      </c>
      <c r="G128" s="231">
        <v>0</v>
      </c>
      <c r="H128" s="231">
        <v>0</v>
      </c>
      <c r="I128" s="231">
        <v>0</v>
      </c>
      <c r="J128" s="231">
        <v>0</v>
      </c>
      <c r="K128" s="231">
        <v>0</v>
      </c>
      <c r="L128" s="231">
        <v>0</v>
      </c>
      <c r="M128" s="231">
        <v>0</v>
      </c>
      <c r="N128" s="231">
        <v>0</v>
      </c>
      <c r="O128" s="231">
        <v>0</v>
      </c>
      <c r="P128" s="231">
        <v>0</v>
      </c>
      <c r="Q128" s="231">
        <v>0</v>
      </c>
      <c r="R128" s="231">
        <v>0</v>
      </c>
      <c r="S128" s="231">
        <v>0</v>
      </c>
      <c r="T128" s="231">
        <v>0</v>
      </c>
      <c r="U128" s="231">
        <v>0</v>
      </c>
      <c r="V128" s="231">
        <v>0</v>
      </c>
      <c r="W128" s="231">
        <v>0</v>
      </c>
      <c r="X128" s="231">
        <v>0</v>
      </c>
      <c r="Y128" s="231">
        <v>0</v>
      </c>
      <c r="Z128" s="231">
        <v>0</v>
      </c>
      <c r="AA128" s="231">
        <v>0</v>
      </c>
      <c r="AB128" s="231">
        <v>0</v>
      </c>
      <c r="AC128" s="231">
        <v>0</v>
      </c>
      <c r="AD128" s="231">
        <v>0</v>
      </c>
      <c r="AE128" s="231">
        <v>0</v>
      </c>
      <c r="AF128" s="231">
        <v>0</v>
      </c>
      <c r="AG128" s="231">
        <v>0</v>
      </c>
      <c r="AH128" s="231">
        <v>0</v>
      </c>
      <c r="AI128" s="231">
        <v>0</v>
      </c>
      <c r="AJ128" s="231">
        <v>0</v>
      </c>
      <c r="AK128" s="231">
        <v>0</v>
      </c>
      <c r="AL128" s="231">
        <v>0</v>
      </c>
      <c r="AM128" s="231">
        <v>0</v>
      </c>
      <c r="AN128" s="231">
        <v>0</v>
      </c>
    </row>
    <row r="129" spans="3:40" x14ac:dyDescent="0.3">
      <c r="C129" s="231">
        <v>57</v>
      </c>
      <c r="D129" s="231">
        <v>12</v>
      </c>
      <c r="E129" s="231">
        <v>4</v>
      </c>
      <c r="F129" s="231">
        <v>0</v>
      </c>
      <c r="G129" s="231">
        <v>0</v>
      </c>
      <c r="H129" s="231">
        <v>0</v>
      </c>
      <c r="I129" s="231">
        <v>0</v>
      </c>
      <c r="J129" s="231">
        <v>0</v>
      </c>
      <c r="K129" s="231">
        <v>0</v>
      </c>
      <c r="L129" s="231">
        <v>0</v>
      </c>
      <c r="M129" s="231">
        <v>0</v>
      </c>
      <c r="N129" s="231">
        <v>0</v>
      </c>
      <c r="O129" s="231">
        <v>0</v>
      </c>
      <c r="P129" s="231">
        <v>0</v>
      </c>
      <c r="Q129" s="231">
        <v>0</v>
      </c>
      <c r="R129" s="231">
        <v>0</v>
      </c>
      <c r="S129" s="231">
        <v>0</v>
      </c>
      <c r="T129" s="231">
        <v>0</v>
      </c>
      <c r="U129" s="231">
        <v>0</v>
      </c>
      <c r="V129" s="231">
        <v>0</v>
      </c>
      <c r="W129" s="231">
        <v>0</v>
      </c>
      <c r="X129" s="231">
        <v>0</v>
      </c>
      <c r="Y129" s="231">
        <v>0</v>
      </c>
      <c r="Z129" s="231">
        <v>0</v>
      </c>
      <c r="AA129" s="231">
        <v>0</v>
      </c>
      <c r="AB129" s="231">
        <v>0</v>
      </c>
      <c r="AC129" s="231">
        <v>0</v>
      </c>
      <c r="AD129" s="231">
        <v>0</v>
      </c>
      <c r="AE129" s="231">
        <v>0</v>
      </c>
      <c r="AF129" s="231">
        <v>0</v>
      </c>
      <c r="AG129" s="231">
        <v>0</v>
      </c>
      <c r="AH129" s="231">
        <v>0</v>
      </c>
      <c r="AI129" s="231">
        <v>0</v>
      </c>
      <c r="AJ129" s="231">
        <v>0</v>
      </c>
      <c r="AK129" s="231">
        <v>0</v>
      </c>
      <c r="AL129" s="231">
        <v>0</v>
      </c>
      <c r="AM129" s="231">
        <v>0</v>
      </c>
      <c r="AN129" s="231">
        <v>0</v>
      </c>
    </row>
    <row r="130" spans="3:40" x14ac:dyDescent="0.3">
      <c r="C130" s="231">
        <v>57</v>
      </c>
      <c r="D130" s="231">
        <v>12</v>
      </c>
      <c r="E130" s="231">
        <v>5</v>
      </c>
      <c r="F130" s="231">
        <v>0</v>
      </c>
      <c r="G130" s="231">
        <v>0</v>
      </c>
      <c r="H130" s="231">
        <v>0</v>
      </c>
      <c r="I130" s="231">
        <v>0</v>
      </c>
      <c r="J130" s="231">
        <v>0</v>
      </c>
      <c r="K130" s="231">
        <v>0</v>
      </c>
      <c r="L130" s="231">
        <v>0</v>
      </c>
      <c r="M130" s="231">
        <v>0</v>
      </c>
      <c r="N130" s="231">
        <v>0</v>
      </c>
      <c r="O130" s="231">
        <v>0</v>
      </c>
      <c r="P130" s="231">
        <v>0</v>
      </c>
      <c r="Q130" s="231">
        <v>0</v>
      </c>
      <c r="R130" s="231">
        <v>0</v>
      </c>
      <c r="S130" s="231">
        <v>0</v>
      </c>
      <c r="T130" s="231">
        <v>0</v>
      </c>
      <c r="U130" s="231">
        <v>0</v>
      </c>
      <c r="V130" s="231">
        <v>0</v>
      </c>
      <c r="W130" s="231">
        <v>0</v>
      </c>
      <c r="X130" s="231">
        <v>0</v>
      </c>
      <c r="Y130" s="231">
        <v>0</v>
      </c>
      <c r="Z130" s="231">
        <v>0</v>
      </c>
      <c r="AA130" s="231">
        <v>0</v>
      </c>
      <c r="AB130" s="231">
        <v>0</v>
      </c>
      <c r="AC130" s="231">
        <v>0</v>
      </c>
      <c r="AD130" s="231">
        <v>0</v>
      </c>
      <c r="AE130" s="231">
        <v>0</v>
      </c>
      <c r="AF130" s="231">
        <v>0</v>
      </c>
      <c r="AG130" s="231">
        <v>0</v>
      </c>
      <c r="AH130" s="231">
        <v>0</v>
      </c>
      <c r="AI130" s="231">
        <v>0</v>
      </c>
      <c r="AJ130" s="231">
        <v>0</v>
      </c>
      <c r="AK130" s="231">
        <v>0</v>
      </c>
      <c r="AL130" s="231">
        <v>0</v>
      </c>
      <c r="AM130" s="231">
        <v>0</v>
      </c>
      <c r="AN130" s="231">
        <v>0</v>
      </c>
    </row>
    <row r="131" spans="3:40" x14ac:dyDescent="0.3">
      <c r="C131" s="231">
        <v>57</v>
      </c>
      <c r="D131" s="231">
        <v>12</v>
      </c>
      <c r="E131" s="231">
        <v>6</v>
      </c>
      <c r="F131" s="231">
        <v>0</v>
      </c>
      <c r="G131" s="231">
        <v>0</v>
      </c>
      <c r="H131" s="231">
        <v>0</v>
      </c>
      <c r="I131" s="231">
        <v>0</v>
      </c>
      <c r="J131" s="231">
        <v>0</v>
      </c>
      <c r="K131" s="231">
        <v>0</v>
      </c>
      <c r="L131" s="231">
        <v>0</v>
      </c>
      <c r="M131" s="231">
        <v>0</v>
      </c>
      <c r="N131" s="231">
        <v>0</v>
      </c>
      <c r="O131" s="231">
        <v>0</v>
      </c>
      <c r="P131" s="231">
        <v>0</v>
      </c>
      <c r="Q131" s="231">
        <v>0</v>
      </c>
      <c r="R131" s="231">
        <v>0</v>
      </c>
      <c r="S131" s="231">
        <v>0</v>
      </c>
      <c r="T131" s="231">
        <v>0</v>
      </c>
      <c r="U131" s="231">
        <v>0</v>
      </c>
      <c r="V131" s="231">
        <v>0</v>
      </c>
      <c r="W131" s="231">
        <v>0</v>
      </c>
      <c r="X131" s="231">
        <v>0</v>
      </c>
      <c r="Y131" s="231">
        <v>0</v>
      </c>
      <c r="Z131" s="231">
        <v>0</v>
      </c>
      <c r="AA131" s="231">
        <v>0</v>
      </c>
      <c r="AB131" s="231">
        <v>0</v>
      </c>
      <c r="AC131" s="231">
        <v>0</v>
      </c>
      <c r="AD131" s="231">
        <v>0</v>
      </c>
      <c r="AE131" s="231">
        <v>0</v>
      </c>
      <c r="AF131" s="231">
        <v>0</v>
      </c>
      <c r="AG131" s="231">
        <v>0</v>
      </c>
      <c r="AH131" s="231">
        <v>0</v>
      </c>
      <c r="AI131" s="231">
        <v>0</v>
      </c>
      <c r="AJ131" s="231">
        <v>0</v>
      </c>
      <c r="AK131" s="231">
        <v>0</v>
      </c>
      <c r="AL131" s="231">
        <v>0</v>
      </c>
      <c r="AM131" s="231">
        <v>0</v>
      </c>
      <c r="AN131" s="231">
        <v>0</v>
      </c>
    </row>
    <row r="132" spans="3:40" x14ac:dyDescent="0.3">
      <c r="C132" s="231">
        <v>57</v>
      </c>
      <c r="D132" s="231">
        <v>12</v>
      </c>
      <c r="E132" s="231">
        <v>7</v>
      </c>
      <c r="F132" s="231">
        <v>0</v>
      </c>
      <c r="G132" s="231">
        <v>0</v>
      </c>
      <c r="H132" s="231">
        <v>0</v>
      </c>
      <c r="I132" s="231">
        <v>0</v>
      </c>
      <c r="J132" s="231">
        <v>0</v>
      </c>
      <c r="K132" s="231">
        <v>0</v>
      </c>
      <c r="L132" s="231">
        <v>0</v>
      </c>
      <c r="M132" s="231">
        <v>0</v>
      </c>
      <c r="N132" s="231">
        <v>0</v>
      </c>
      <c r="O132" s="231">
        <v>0</v>
      </c>
      <c r="P132" s="231">
        <v>0</v>
      </c>
      <c r="Q132" s="231">
        <v>0</v>
      </c>
      <c r="R132" s="231">
        <v>0</v>
      </c>
      <c r="S132" s="231">
        <v>0</v>
      </c>
      <c r="T132" s="231">
        <v>0</v>
      </c>
      <c r="U132" s="231">
        <v>0</v>
      </c>
      <c r="V132" s="231">
        <v>0</v>
      </c>
      <c r="W132" s="231">
        <v>0</v>
      </c>
      <c r="X132" s="231">
        <v>0</v>
      </c>
      <c r="Y132" s="231">
        <v>0</v>
      </c>
      <c r="Z132" s="231">
        <v>0</v>
      </c>
      <c r="AA132" s="231">
        <v>0</v>
      </c>
      <c r="AB132" s="231">
        <v>0</v>
      </c>
      <c r="AC132" s="231">
        <v>0</v>
      </c>
      <c r="AD132" s="231">
        <v>0</v>
      </c>
      <c r="AE132" s="231">
        <v>0</v>
      </c>
      <c r="AF132" s="231">
        <v>0</v>
      </c>
      <c r="AG132" s="231">
        <v>0</v>
      </c>
      <c r="AH132" s="231">
        <v>0</v>
      </c>
      <c r="AI132" s="231">
        <v>0</v>
      </c>
      <c r="AJ132" s="231">
        <v>0</v>
      </c>
      <c r="AK132" s="231">
        <v>0</v>
      </c>
      <c r="AL132" s="231">
        <v>0</v>
      </c>
      <c r="AM132" s="231">
        <v>0</v>
      </c>
      <c r="AN132" s="231">
        <v>0</v>
      </c>
    </row>
    <row r="133" spans="3:40" x14ac:dyDescent="0.3">
      <c r="C133" s="231">
        <v>57</v>
      </c>
      <c r="D133" s="231">
        <v>12</v>
      </c>
      <c r="E133" s="231">
        <v>8</v>
      </c>
      <c r="F133" s="231">
        <v>0</v>
      </c>
      <c r="G133" s="231">
        <v>0</v>
      </c>
      <c r="H133" s="231">
        <v>0</v>
      </c>
      <c r="I133" s="231">
        <v>0</v>
      </c>
      <c r="J133" s="231">
        <v>0</v>
      </c>
      <c r="K133" s="231">
        <v>0</v>
      </c>
      <c r="L133" s="231">
        <v>0</v>
      </c>
      <c r="M133" s="231">
        <v>0</v>
      </c>
      <c r="N133" s="231">
        <v>0</v>
      </c>
      <c r="O133" s="231">
        <v>0</v>
      </c>
      <c r="P133" s="231">
        <v>0</v>
      </c>
      <c r="Q133" s="231">
        <v>0</v>
      </c>
      <c r="R133" s="231">
        <v>0</v>
      </c>
      <c r="S133" s="231">
        <v>0</v>
      </c>
      <c r="T133" s="231">
        <v>0</v>
      </c>
      <c r="U133" s="231">
        <v>0</v>
      </c>
      <c r="V133" s="231">
        <v>0</v>
      </c>
      <c r="W133" s="231">
        <v>0</v>
      </c>
      <c r="X133" s="231">
        <v>0</v>
      </c>
      <c r="Y133" s="231">
        <v>0</v>
      </c>
      <c r="Z133" s="231">
        <v>0</v>
      </c>
      <c r="AA133" s="231">
        <v>0</v>
      </c>
      <c r="AB133" s="231">
        <v>0</v>
      </c>
      <c r="AC133" s="231">
        <v>0</v>
      </c>
      <c r="AD133" s="231">
        <v>0</v>
      </c>
      <c r="AE133" s="231">
        <v>0</v>
      </c>
      <c r="AF133" s="231">
        <v>0</v>
      </c>
      <c r="AG133" s="231">
        <v>0</v>
      </c>
      <c r="AH133" s="231">
        <v>0</v>
      </c>
      <c r="AI133" s="231">
        <v>0</v>
      </c>
      <c r="AJ133" s="231">
        <v>0</v>
      </c>
      <c r="AK133" s="231">
        <v>0</v>
      </c>
      <c r="AL133" s="231">
        <v>0</v>
      </c>
      <c r="AM133" s="231">
        <v>0</v>
      </c>
      <c r="AN133" s="231">
        <v>0</v>
      </c>
    </row>
    <row r="134" spans="3:40" x14ac:dyDescent="0.3">
      <c r="C134" s="231">
        <v>57</v>
      </c>
      <c r="D134" s="231">
        <v>12</v>
      </c>
      <c r="E134" s="231">
        <v>9</v>
      </c>
      <c r="F134" s="231">
        <v>0</v>
      </c>
      <c r="G134" s="231">
        <v>0</v>
      </c>
      <c r="H134" s="231">
        <v>0</v>
      </c>
      <c r="I134" s="231">
        <v>0</v>
      </c>
      <c r="J134" s="231">
        <v>0</v>
      </c>
      <c r="K134" s="231">
        <v>0</v>
      </c>
      <c r="L134" s="231">
        <v>0</v>
      </c>
      <c r="M134" s="231">
        <v>0</v>
      </c>
      <c r="N134" s="231">
        <v>0</v>
      </c>
      <c r="O134" s="231">
        <v>0</v>
      </c>
      <c r="P134" s="231">
        <v>0</v>
      </c>
      <c r="Q134" s="231">
        <v>0</v>
      </c>
      <c r="R134" s="231">
        <v>0</v>
      </c>
      <c r="S134" s="231">
        <v>0</v>
      </c>
      <c r="T134" s="231">
        <v>0</v>
      </c>
      <c r="U134" s="231">
        <v>0</v>
      </c>
      <c r="V134" s="231">
        <v>0</v>
      </c>
      <c r="W134" s="231">
        <v>0</v>
      </c>
      <c r="X134" s="231">
        <v>0</v>
      </c>
      <c r="Y134" s="231">
        <v>0</v>
      </c>
      <c r="Z134" s="231">
        <v>0</v>
      </c>
      <c r="AA134" s="231">
        <v>0</v>
      </c>
      <c r="AB134" s="231">
        <v>0</v>
      </c>
      <c r="AC134" s="231">
        <v>0</v>
      </c>
      <c r="AD134" s="231">
        <v>0</v>
      </c>
      <c r="AE134" s="231">
        <v>0</v>
      </c>
      <c r="AF134" s="231">
        <v>0</v>
      </c>
      <c r="AG134" s="231">
        <v>0</v>
      </c>
      <c r="AH134" s="231">
        <v>0</v>
      </c>
      <c r="AI134" s="231">
        <v>0</v>
      </c>
      <c r="AJ134" s="231">
        <v>0</v>
      </c>
      <c r="AK134" s="231">
        <v>0</v>
      </c>
      <c r="AL134" s="231">
        <v>0</v>
      </c>
      <c r="AM134" s="231">
        <v>0</v>
      </c>
      <c r="AN134" s="231">
        <v>0</v>
      </c>
    </row>
    <row r="135" spans="3:40" x14ac:dyDescent="0.3">
      <c r="C135" s="231">
        <v>57</v>
      </c>
      <c r="D135" s="231">
        <v>12</v>
      </c>
      <c r="E135" s="231">
        <v>10</v>
      </c>
      <c r="F135" s="231">
        <v>0</v>
      </c>
      <c r="G135" s="231">
        <v>0</v>
      </c>
      <c r="H135" s="231">
        <v>0</v>
      </c>
      <c r="I135" s="231">
        <v>0</v>
      </c>
      <c r="J135" s="231">
        <v>0</v>
      </c>
      <c r="K135" s="231">
        <v>0</v>
      </c>
      <c r="L135" s="231">
        <v>0</v>
      </c>
      <c r="M135" s="231">
        <v>0</v>
      </c>
      <c r="N135" s="231">
        <v>0</v>
      </c>
      <c r="O135" s="231">
        <v>0</v>
      </c>
      <c r="P135" s="231">
        <v>0</v>
      </c>
      <c r="Q135" s="231">
        <v>0</v>
      </c>
      <c r="R135" s="231">
        <v>0</v>
      </c>
      <c r="S135" s="231">
        <v>0</v>
      </c>
      <c r="T135" s="231">
        <v>0</v>
      </c>
      <c r="U135" s="231">
        <v>0</v>
      </c>
      <c r="V135" s="231">
        <v>0</v>
      </c>
      <c r="W135" s="231">
        <v>0</v>
      </c>
      <c r="X135" s="231">
        <v>0</v>
      </c>
      <c r="Y135" s="231">
        <v>0</v>
      </c>
      <c r="Z135" s="231">
        <v>0</v>
      </c>
      <c r="AA135" s="231">
        <v>0</v>
      </c>
      <c r="AB135" s="231">
        <v>0</v>
      </c>
      <c r="AC135" s="231">
        <v>0</v>
      </c>
      <c r="AD135" s="231">
        <v>0</v>
      </c>
      <c r="AE135" s="231">
        <v>0</v>
      </c>
      <c r="AF135" s="231">
        <v>0</v>
      </c>
      <c r="AG135" s="231">
        <v>0</v>
      </c>
      <c r="AH135" s="231">
        <v>0</v>
      </c>
      <c r="AI135" s="231">
        <v>0</v>
      </c>
      <c r="AJ135" s="231">
        <v>0</v>
      </c>
      <c r="AK135" s="231">
        <v>0</v>
      </c>
      <c r="AL135" s="231">
        <v>0</v>
      </c>
      <c r="AM135" s="231">
        <v>0</v>
      </c>
      <c r="AN135" s="231">
        <v>0</v>
      </c>
    </row>
    <row r="136" spans="3:40" x14ac:dyDescent="0.3">
      <c r="C136" s="231">
        <v>57</v>
      </c>
      <c r="D136" s="231">
        <v>12</v>
      </c>
      <c r="E136" s="231">
        <v>11</v>
      </c>
      <c r="F136" s="231">
        <v>0</v>
      </c>
      <c r="G136" s="231">
        <v>0</v>
      </c>
      <c r="H136" s="231">
        <v>0</v>
      </c>
      <c r="I136" s="231">
        <v>0</v>
      </c>
      <c r="J136" s="231">
        <v>0</v>
      </c>
      <c r="K136" s="231">
        <v>0</v>
      </c>
      <c r="L136" s="231">
        <v>0</v>
      </c>
      <c r="M136" s="231">
        <v>0</v>
      </c>
      <c r="N136" s="231">
        <v>0</v>
      </c>
      <c r="O136" s="231">
        <v>0</v>
      </c>
      <c r="P136" s="231">
        <v>0</v>
      </c>
      <c r="Q136" s="231">
        <v>0</v>
      </c>
      <c r="R136" s="231">
        <v>0</v>
      </c>
      <c r="S136" s="231">
        <v>0</v>
      </c>
      <c r="T136" s="231">
        <v>0</v>
      </c>
      <c r="U136" s="231">
        <v>0</v>
      </c>
      <c r="V136" s="231">
        <v>0</v>
      </c>
      <c r="W136" s="231">
        <v>0</v>
      </c>
      <c r="X136" s="231">
        <v>0</v>
      </c>
      <c r="Y136" s="231">
        <v>0</v>
      </c>
      <c r="Z136" s="231">
        <v>0</v>
      </c>
      <c r="AA136" s="231">
        <v>0</v>
      </c>
      <c r="AB136" s="231">
        <v>0</v>
      </c>
      <c r="AC136" s="231">
        <v>0</v>
      </c>
      <c r="AD136" s="231">
        <v>0</v>
      </c>
      <c r="AE136" s="231">
        <v>0</v>
      </c>
      <c r="AF136" s="231">
        <v>0</v>
      </c>
      <c r="AG136" s="231">
        <v>0</v>
      </c>
      <c r="AH136" s="231">
        <v>0</v>
      </c>
      <c r="AI136" s="231">
        <v>0</v>
      </c>
      <c r="AJ136" s="231">
        <v>0</v>
      </c>
      <c r="AK136" s="231">
        <v>0</v>
      </c>
      <c r="AL136" s="231">
        <v>0</v>
      </c>
      <c r="AM136" s="231">
        <v>0</v>
      </c>
      <c r="AN136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78" t="s">
        <v>648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126</v>
      </c>
      <c r="B3" s="222">
        <f>SUBTOTAL(9,B6:B1048576)</f>
        <v>737263</v>
      </c>
      <c r="C3" s="223">
        <f t="shared" ref="C3:R3" si="0">SUBTOTAL(9,C6:C1048576)</f>
        <v>1</v>
      </c>
      <c r="D3" s="223">
        <f t="shared" si="0"/>
        <v>864019</v>
      </c>
      <c r="E3" s="223">
        <f t="shared" si="0"/>
        <v>1.1719277923888762</v>
      </c>
      <c r="F3" s="223">
        <f t="shared" si="0"/>
        <v>1473628</v>
      </c>
      <c r="G3" s="224">
        <f>IF(B3&lt;&gt;0,F3/B3,"")</f>
        <v>1.9987819814638739</v>
      </c>
      <c r="H3" s="225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6" t="str">
        <f>IF(H3&lt;&gt;0,L3/H3,"")</f>
        <v/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9" t="s">
        <v>98</v>
      </c>
      <c r="B4" s="380" t="s">
        <v>99</v>
      </c>
      <c r="C4" s="381"/>
      <c r="D4" s="381"/>
      <c r="E4" s="381"/>
      <c r="F4" s="381"/>
      <c r="G4" s="382"/>
      <c r="H4" s="380" t="s">
        <v>100</v>
      </c>
      <c r="I4" s="381"/>
      <c r="J4" s="381"/>
      <c r="K4" s="381"/>
      <c r="L4" s="381"/>
      <c r="M4" s="382"/>
      <c r="N4" s="380" t="s">
        <v>101</v>
      </c>
      <c r="O4" s="381"/>
      <c r="P4" s="381"/>
      <c r="Q4" s="381"/>
      <c r="R4" s="381"/>
      <c r="S4" s="382"/>
    </row>
    <row r="5" spans="1:19" ht="14.4" customHeight="1" thickBot="1" x14ac:dyDescent="0.35">
      <c r="A5" s="542"/>
      <c r="B5" s="543">
        <v>2012</v>
      </c>
      <c r="C5" s="544"/>
      <c r="D5" s="544">
        <v>2013</v>
      </c>
      <c r="E5" s="544"/>
      <c r="F5" s="544">
        <v>2014</v>
      </c>
      <c r="G5" s="545" t="s">
        <v>2</v>
      </c>
      <c r="H5" s="543">
        <v>2012</v>
      </c>
      <c r="I5" s="544"/>
      <c r="J5" s="544">
        <v>2013</v>
      </c>
      <c r="K5" s="544"/>
      <c r="L5" s="544">
        <v>2014</v>
      </c>
      <c r="M5" s="545" t="s">
        <v>2</v>
      </c>
      <c r="N5" s="543">
        <v>2012</v>
      </c>
      <c r="O5" s="544"/>
      <c r="P5" s="544">
        <v>2013</v>
      </c>
      <c r="Q5" s="544"/>
      <c r="R5" s="544">
        <v>2014</v>
      </c>
      <c r="S5" s="545" t="s">
        <v>2</v>
      </c>
    </row>
    <row r="6" spans="1:19" ht="14.4" customHeight="1" thickBot="1" x14ac:dyDescent="0.35">
      <c r="A6" s="548" t="s">
        <v>644</v>
      </c>
      <c r="B6" s="546">
        <v>737263</v>
      </c>
      <c r="C6" s="547">
        <v>1</v>
      </c>
      <c r="D6" s="546">
        <v>864019</v>
      </c>
      <c r="E6" s="547">
        <v>1.1719277923888762</v>
      </c>
      <c r="F6" s="546">
        <v>1473628</v>
      </c>
      <c r="G6" s="301">
        <v>1.9987819814638739</v>
      </c>
      <c r="H6" s="546"/>
      <c r="I6" s="547"/>
      <c r="J6" s="546"/>
      <c r="K6" s="547"/>
      <c r="L6" s="546"/>
      <c r="M6" s="301"/>
      <c r="N6" s="546"/>
      <c r="O6" s="547"/>
      <c r="P6" s="546"/>
      <c r="Q6" s="547"/>
      <c r="R6" s="546"/>
      <c r="S6" s="302"/>
    </row>
    <row r="7" spans="1:19" ht="14.4" customHeight="1" x14ac:dyDescent="0.3">
      <c r="A7" s="549" t="s">
        <v>645</v>
      </c>
    </row>
    <row r="8" spans="1:19" ht="14.4" customHeight="1" x14ac:dyDescent="0.3">
      <c r="A8" s="550" t="s">
        <v>646</v>
      </c>
    </row>
    <row r="9" spans="1:19" ht="14.4" customHeight="1" x14ac:dyDescent="0.3">
      <c r="A9" s="549" t="s">
        <v>647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78" t="s">
        <v>653</v>
      </c>
      <c r="B1" s="314"/>
      <c r="C1" s="314"/>
      <c r="D1" s="314"/>
      <c r="E1" s="314"/>
      <c r="F1" s="314"/>
      <c r="G1" s="314"/>
    </row>
    <row r="2" spans="1:7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126</v>
      </c>
      <c r="B3" s="304">
        <f t="shared" ref="B3:G3" si="0">SUBTOTAL(9,B6:B1048576)</f>
        <v>1242</v>
      </c>
      <c r="C3" s="305">
        <f t="shared" si="0"/>
        <v>1595</v>
      </c>
      <c r="D3" s="305">
        <f t="shared" si="0"/>
        <v>3159</v>
      </c>
      <c r="E3" s="225">
        <f t="shared" si="0"/>
        <v>737263</v>
      </c>
      <c r="F3" s="223">
        <f t="shared" si="0"/>
        <v>864019</v>
      </c>
      <c r="G3" s="306">
        <f t="shared" si="0"/>
        <v>1473628</v>
      </c>
    </row>
    <row r="4" spans="1:7" ht="14.4" customHeight="1" x14ac:dyDescent="0.3">
      <c r="A4" s="379" t="s">
        <v>133</v>
      </c>
      <c r="B4" s="380" t="s">
        <v>258</v>
      </c>
      <c r="C4" s="381"/>
      <c r="D4" s="381"/>
      <c r="E4" s="383" t="s">
        <v>99</v>
      </c>
      <c r="F4" s="384"/>
      <c r="G4" s="385"/>
    </row>
    <row r="5" spans="1:7" ht="14.4" customHeight="1" thickBot="1" x14ac:dyDescent="0.35">
      <c r="A5" s="542"/>
      <c r="B5" s="543">
        <v>2012</v>
      </c>
      <c r="C5" s="544">
        <v>2013</v>
      </c>
      <c r="D5" s="544">
        <v>2014</v>
      </c>
      <c r="E5" s="543">
        <v>2012</v>
      </c>
      <c r="F5" s="544">
        <v>2013</v>
      </c>
      <c r="G5" s="551">
        <v>2014</v>
      </c>
    </row>
    <row r="6" spans="1:7" ht="14.4" customHeight="1" x14ac:dyDescent="0.3">
      <c r="A6" s="495" t="s">
        <v>649</v>
      </c>
      <c r="B6" s="116">
        <v>1</v>
      </c>
      <c r="C6" s="116"/>
      <c r="D6" s="116"/>
      <c r="E6" s="552">
        <v>231</v>
      </c>
      <c r="F6" s="552"/>
      <c r="G6" s="553"/>
    </row>
    <row r="7" spans="1:7" ht="14.4" customHeight="1" x14ac:dyDescent="0.3">
      <c r="A7" s="496" t="s">
        <v>650</v>
      </c>
      <c r="B7" s="438">
        <v>297</v>
      </c>
      <c r="C7" s="438">
        <v>153</v>
      </c>
      <c r="D7" s="438">
        <v>293</v>
      </c>
      <c r="E7" s="554">
        <v>89644</v>
      </c>
      <c r="F7" s="554">
        <v>37533</v>
      </c>
      <c r="G7" s="555">
        <v>65892</v>
      </c>
    </row>
    <row r="8" spans="1:7" ht="14.4" customHeight="1" x14ac:dyDescent="0.3">
      <c r="A8" s="496" t="s">
        <v>315</v>
      </c>
      <c r="B8" s="438">
        <v>12</v>
      </c>
      <c r="C8" s="438">
        <v>5</v>
      </c>
      <c r="D8" s="438">
        <v>6</v>
      </c>
      <c r="E8" s="554">
        <v>2079</v>
      </c>
      <c r="F8" s="554">
        <v>1160</v>
      </c>
      <c r="G8" s="555">
        <v>1170</v>
      </c>
    </row>
    <row r="9" spans="1:7" ht="14.4" customHeight="1" x14ac:dyDescent="0.3">
      <c r="A9" s="496" t="s">
        <v>316</v>
      </c>
      <c r="B9" s="438">
        <v>133</v>
      </c>
      <c r="C9" s="438">
        <v>115</v>
      </c>
      <c r="D9" s="438">
        <v>197</v>
      </c>
      <c r="E9" s="554">
        <v>25872</v>
      </c>
      <c r="F9" s="554">
        <v>25056</v>
      </c>
      <c r="G9" s="555">
        <v>42986</v>
      </c>
    </row>
    <row r="10" spans="1:7" ht="14.4" customHeight="1" x14ac:dyDescent="0.3">
      <c r="A10" s="496" t="s">
        <v>317</v>
      </c>
      <c r="B10" s="438">
        <v>267</v>
      </c>
      <c r="C10" s="438">
        <v>457</v>
      </c>
      <c r="D10" s="438">
        <v>1431</v>
      </c>
      <c r="E10" s="554">
        <v>271052</v>
      </c>
      <c r="F10" s="554">
        <v>320818</v>
      </c>
      <c r="G10" s="555">
        <v>692606</v>
      </c>
    </row>
    <row r="11" spans="1:7" ht="14.4" customHeight="1" x14ac:dyDescent="0.3">
      <c r="A11" s="496" t="s">
        <v>318</v>
      </c>
      <c r="B11" s="438">
        <v>8</v>
      </c>
      <c r="C11" s="438">
        <v>3</v>
      </c>
      <c r="D11" s="438"/>
      <c r="E11" s="554">
        <v>1386</v>
      </c>
      <c r="F11" s="554">
        <v>696</v>
      </c>
      <c r="G11" s="555"/>
    </row>
    <row r="12" spans="1:7" ht="14.4" customHeight="1" x14ac:dyDescent="0.3">
      <c r="A12" s="496" t="s">
        <v>651</v>
      </c>
      <c r="B12" s="438">
        <v>1</v>
      </c>
      <c r="C12" s="438"/>
      <c r="D12" s="438"/>
      <c r="E12" s="554">
        <v>231</v>
      </c>
      <c r="F12" s="554"/>
      <c r="G12" s="555"/>
    </row>
    <row r="13" spans="1:7" ht="14.4" customHeight="1" x14ac:dyDescent="0.3">
      <c r="A13" s="496" t="s">
        <v>319</v>
      </c>
      <c r="B13" s="438">
        <v>523</v>
      </c>
      <c r="C13" s="438">
        <v>799</v>
      </c>
      <c r="D13" s="438">
        <v>1232</v>
      </c>
      <c r="E13" s="554">
        <v>346768</v>
      </c>
      <c r="F13" s="554">
        <v>462250</v>
      </c>
      <c r="G13" s="555">
        <v>670974</v>
      </c>
    </row>
    <row r="14" spans="1:7" ht="14.4" customHeight="1" thickBot="1" x14ac:dyDescent="0.35">
      <c r="A14" s="558" t="s">
        <v>652</v>
      </c>
      <c r="B14" s="441"/>
      <c r="C14" s="441">
        <v>63</v>
      </c>
      <c r="D14" s="441"/>
      <c r="E14" s="556"/>
      <c r="F14" s="556">
        <v>16506</v>
      </c>
      <c r="G14" s="557"/>
    </row>
    <row r="15" spans="1:7" ht="14.4" customHeight="1" x14ac:dyDescent="0.3">
      <c r="A15" s="549" t="s">
        <v>645</v>
      </c>
    </row>
    <row r="16" spans="1:7" ht="14.4" customHeight="1" x14ac:dyDescent="0.3">
      <c r="A16" s="550" t="s">
        <v>646</v>
      </c>
    </row>
    <row r="17" spans="1:1" ht="14.4" customHeight="1" x14ac:dyDescent="0.3">
      <c r="A17" s="549" t="s">
        <v>647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14" t="s">
        <v>670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</row>
    <row r="2" spans="1:16" ht="14.4" customHeight="1" thickBot="1" x14ac:dyDescent="0.35">
      <c r="A2" s="235" t="s">
        <v>260</v>
      </c>
      <c r="B2" s="131"/>
      <c r="C2" s="303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126</v>
      </c>
      <c r="E3" s="102">
        <f t="shared" ref="E3:N3" si="0">SUBTOTAL(9,E6:E1048576)</f>
        <v>1242</v>
      </c>
      <c r="F3" s="103">
        <f t="shared" si="0"/>
        <v>737263</v>
      </c>
      <c r="G3" s="74"/>
      <c r="H3" s="74"/>
      <c r="I3" s="103">
        <f t="shared" si="0"/>
        <v>1595</v>
      </c>
      <c r="J3" s="103">
        <f t="shared" si="0"/>
        <v>864019</v>
      </c>
      <c r="K3" s="74"/>
      <c r="L3" s="74"/>
      <c r="M3" s="103">
        <f t="shared" si="0"/>
        <v>3159</v>
      </c>
      <c r="N3" s="103">
        <f t="shared" si="0"/>
        <v>1473628</v>
      </c>
      <c r="O3" s="75">
        <f>IF(F3=0,0,N3/F3)</f>
        <v>1.9987819814638739</v>
      </c>
      <c r="P3" s="104">
        <f>IF(M3=0,0,N3/M3)</f>
        <v>466.48559670781896</v>
      </c>
    </row>
    <row r="4" spans="1:16" ht="14.4" customHeight="1" x14ac:dyDescent="0.3">
      <c r="A4" s="387" t="s">
        <v>94</v>
      </c>
      <c r="B4" s="388" t="s">
        <v>95</v>
      </c>
      <c r="C4" s="393" t="s">
        <v>70</v>
      </c>
      <c r="D4" s="389" t="s">
        <v>69</v>
      </c>
      <c r="E4" s="390">
        <v>2012</v>
      </c>
      <c r="F4" s="391"/>
      <c r="G4" s="101"/>
      <c r="H4" s="101"/>
      <c r="I4" s="390">
        <v>2013</v>
      </c>
      <c r="J4" s="391"/>
      <c r="K4" s="101"/>
      <c r="L4" s="101"/>
      <c r="M4" s="390">
        <v>2014</v>
      </c>
      <c r="N4" s="391"/>
      <c r="O4" s="392" t="s">
        <v>2</v>
      </c>
      <c r="P4" s="386" t="s">
        <v>97</v>
      </c>
    </row>
    <row r="5" spans="1:16" ht="14.4" customHeight="1" thickBot="1" x14ac:dyDescent="0.35">
      <c r="A5" s="559"/>
      <c r="B5" s="560"/>
      <c r="C5" s="561"/>
      <c r="D5" s="562"/>
      <c r="E5" s="563" t="s">
        <v>71</v>
      </c>
      <c r="F5" s="564" t="s">
        <v>13</v>
      </c>
      <c r="G5" s="565"/>
      <c r="H5" s="565"/>
      <c r="I5" s="563" t="s">
        <v>71</v>
      </c>
      <c r="J5" s="564" t="s">
        <v>13</v>
      </c>
      <c r="K5" s="565"/>
      <c r="L5" s="565"/>
      <c r="M5" s="563" t="s">
        <v>71</v>
      </c>
      <c r="N5" s="564" t="s">
        <v>13</v>
      </c>
      <c r="O5" s="566"/>
      <c r="P5" s="567"/>
    </row>
    <row r="6" spans="1:16" ht="14.4" customHeight="1" x14ac:dyDescent="0.3">
      <c r="A6" s="466" t="s">
        <v>654</v>
      </c>
      <c r="B6" s="467" t="s">
        <v>655</v>
      </c>
      <c r="C6" s="467" t="s">
        <v>656</v>
      </c>
      <c r="D6" s="467" t="s">
        <v>657</v>
      </c>
      <c r="E6" s="116">
        <v>132</v>
      </c>
      <c r="F6" s="116">
        <v>43824</v>
      </c>
      <c r="G6" s="467">
        <v>1</v>
      </c>
      <c r="H6" s="467">
        <v>332</v>
      </c>
      <c r="I6" s="116">
        <v>71</v>
      </c>
      <c r="J6" s="116">
        <v>23785</v>
      </c>
      <c r="K6" s="467">
        <v>0.54273913837166854</v>
      </c>
      <c r="L6" s="467">
        <v>335</v>
      </c>
      <c r="M6" s="116">
        <v>154</v>
      </c>
      <c r="N6" s="116">
        <v>52260</v>
      </c>
      <c r="O6" s="472">
        <v>1.1924972617743701</v>
      </c>
      <c r="P6" s="485">
        <v>339.35064935064935</v>
      </c>
    </row>
    <row r="7" spans="1:16" ht="14.4" customHeight="1" x14ac:dyDescent="0.3">
      <c r="A7" s="447" t="s">
        <v>654</v>
      </c>
      <c r="B7" s="437" t="s">
        <v>655</v>
      </c>
      <c r="C7" s="437" t="s">
        <v>658</v>
      </c>
      <c r="D7" s="437" t="s">
        <v>659</v>
      </c>
      <c r="E7" s="438">
        <v>82</v>
      </c>
      <c r="F7" s="438">
        <v>2788</v>
      </c>
      <c r="G7" s="437">
        <v>1</v>
      </c>
      <c r="H7" s="437">
        <v>34</v>
      </c>
      <c r="I7" s="438">
        <v>18</v>
      </c>
      <c r="J7" s="438">
        <v>612</v>
      </c>
      <c r="K7" s="437">
        <v>0.21951219512195122</v>
      </c>
      <c r="L7" s="437">
        <v>34</v>
      </c>
      <c r="M7" s="438">
        <v>4</v>
      </c>
      <c r="N7" s="438">
        <v>140</v>
      </c>
      <c r="O7" s="451">
        <v>5.0215208034433287E-2</v>
      </c>
      <c r="P7" s="486">
        <v>35</v>
      </c>
    </row>
    <row r="8" spans="1:16" ht="14.4" customHeight="1" x14ac:dyDescent="0.3">
      <c r="A8" s="447" t="s">
        <v>654</v>
      </c>
      <c r="B8" s="437" t="s">
        <v>655</v>
      </c>
      <c r="C8" s="437" t="s">
        <v>660</v>
      </c>
      <c r="D8" s="437" t="s">
        <v>661</v>
      </c>
      <c r="E8" s="438">
        <v>448</v>
      </c>
      <c r="F8" s="438">
        <v>103488</v>
      </c>
      <c r="G8" s="437">
        <v>1</v>
      </c>
      <c r="H8" s="437">
        <v>231</v>
      </c>
      <c r="I8" s="438">
        <v>409</v>
      </c>
      <c r="J8" s="438">
        <v>94888</v>
      </c>
      <c r="K8" s="437">
        <v>0.91689857761286331</v>
      </c>
      <c r="L8" s="437">
        <v>232</v>
      </c>
      <c r="M8" s="438">
        <v>298</v>
      </c>
      <c r="N8" s="438">
        <v>69588</v>
      </c>
      <c r="O8" s="451">
        <v>0.67242578849721701</v>
      </c>
      <c r="P8" s="486">
        <v>233.51677852348993</v>
      </c>
    </row>
    <row r="9" spans="1:16" ht="14.4" customHeight="1" x14ac:dyDescent="0.3">
      <c r="A9" s="447" t="s">
        <v>654</v>
      </c>
      <c r="B9" s="437" t="s">
        <v>655</v>
      </c>
      <c r="C9" s="437" t="s">
        <v>662</v>
      </c>
      <c r="D9" s="437" t="s">
        <v>663</v>
      </c>
      <c r="E9" s="438">
        <v>128</v>
      </c>
      <c r="F9" s="438">
        <v>0</v>
      </c>
      <c r="G9" s="437"/>
      <c r="H9" s="437">
        <v>0</v>
      </c>
      <c r="I9" s="438">
        <v>91</v>
      </c>
      <c r="J9" s="438">
        <v>0</v>
      </c>
      <c r="K9" s="437"/>
      <c r="L9" s="437">
        <v>0</v>
      </c>
      <c r="M9" s="438">
        <v>96</v>
      </c>
      <c r="N9" s="438">
        <v>0</v>
      </c>
      <c r="O9" s="451"/>
      <c r="P9" s="486">
        <v>0</v>
      </c>
    </row>
    <row r="10" spans="1:16" ht="14.4" customHeight="1" x14ac:dyDescent="0.3">
      <c r="A10" s="447" t="s">
        <v>654</v>
      </c>
      <c r="B10" s="437" t="s">
        <v>655</v>
      </c>
      <c r="C10" s="437" t="s">
        <v>664</v>
      </c>
      <c r="D10" s="437" t="s">
        <v>665</v>
      </c>
      <c r="E10" s="438">
        <v>139</v>
      </c>
      <c r="F10" s="438">
        <v>13205</v>
      </c>
      <c r="G10" s="437">
        <v>1</v>
      </c>
      <c r="H10" s="437">
        <v>95</v>
      </c>
      <c r="I10" s="438">
        <v>65</v>
      </c>
      <c r="J10" s="438">
        <v>6240</v>
      </c>
      <c r="K10" s="437">
        <v>0.47254827716773951</v>
      </c>
      <c r="L10" s="437">
        <v>96</v>
      </c>
      <c r="M10" s="438">
        <v>138</v>
      </c>
      <c r="N10" s="438">
        <v>13370</v>
      </c>
      <c r="O10" s="451">
        <v>1.0124952669443392</v>
      </c>
      <c r="P10" s="486">
        <v>96.884057971014499</v>
      </c>
    </row>
    <row r="11" spans="1:16" ht="14.4" customHeight="1" x14ac:dyDescent="0.3">
      <c r="A11" s="447" t="s">
        <v>654</v>
      </c>
      <c r="B11" s="437" t="s">
        <v>655</v>
      </c>
      <c r="C11" s="437" t="s">
        <v>666</v>
      </c>
      <c r="D11" s="437" t="s">
        <v>667</v>
      </c>
      <c r="E11" s="438">
        <v>165</v>
      </c>
      <c r="F11" s="438">
        <v>43230</v>
      </c>
      <c r="G11" s="437">
        <v>1</v>
      </c>
      <c r="H11" s="437">
        <v>262</v>
      </c>
      <c r="I11" s="438">
        <v>793</v>
      </c>
      <c r="J11" s="438">
        <v>207766</v>
      </c>
      <c r="K11" s="437">
        <v>4.8060606060606057</v>
      </c>
      <c r="L11" s="437">
        <v>262</v>
      </c>
      <c r="M11" s="438">
        <v>2261</v>
      </c>
      <c r="N11" s="438">
        <v>592382</v>
      </c>
      <c r="O11" s="451">
        <v>13.703030303030303</v>
      </c>
      <c r="P11" s="486">
        <v>262</v>
      </c>
    </row>
    <row r="12" spans="1:16" ht="14.4" customHeight="1" thickBot="1" x14ac:dyDescent="0.35">
      <c r="A12" s="448" t="s">
        <v>654</v>
      </c>
      <c r="B12" s="440" t="s">
        <v>655</v>
      </c>
      <c r="C12" s="440" t="s">
        <v>668</v>
      </c>
      <c r="D12" s="440" t="s">
        <v>669</v>
      </c>
      <c r="E12" s="441">
        <v>148</v>
      </c>
      <c r="F12" s="441">
        <v>530728</v>
      </c>
      <c r="G12" s="440">
        <v>1</v>
      </c>
      <c r="H12" s="440">
        <v>3586</v>
      </c>
      <c r="I12" s="441">
        <v>148</v>
      </c>
      <c r="J12" s="441">
        <v>530728</v>
      </c>
      <c r="K12" s="440">
        <v>1</v>
      </c>
      <c r="L12" s="440">
        <v>3586</v>
      </c>
      <c r="M12" s="441">
        <v>208</v>
      </c>
      <c r="N12" s="441">
        <v>745888</v>
      </c>
      <c r="O12" s="453">
        <v>1.4054054054054055</v>
      </c>
      <c r="P12" s="487">
        <v>3586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23" t="s">
        <v>125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35" t="s">
        <v>260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126</v>
      </c>
      <c r="B3" s="222">
        <f>SUBTOTAL(9,B6:B1048576)</f>
        <v>12046</v>
      </c>
      <c r="C3" s="223">
        <f t="shared" ref="C3:R3" si="0">SUBTOTAL(9,C6:C1048576)</f>
        <v>12</v>
      </c>
      <c r="D3" s="223">
        <f t="shared" si="0"/>
        <v>16240</v>
      </c>
      <c r="E3" s="223">
        <f t="shared" si="0"/>
        <v>15.854994629430719</v>
      </c>
      <c r="F3" s="223">
        <f t="shared" si="0"/>
        <v>15646</v>
      </c>
      <c r="G3" s="226">
        <f>IF(B3&lt;&gt;0,F3/B3,"")</f>
        <v>1.298854391499253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9" t="s">
        <v>105</v>
      </c>
      <c r="B4" s="380" t="s">
        <v>99</v>
      </c>
      <c r="C4" s="381"/>
      <c r="D4" s="381"/>
      <c r="E4" s="381"/>
      <c r="F4" s="381"/>
      <c r="G4" s="382"/>
      <c r="H4" s="380" t="s">
        <v>100</v>
      </c>
      <c r="I4" s="381"/>
      <c r="J4" s="381"/>
      <c r="K4" s="381"/>
      <c r="L4" s="381"/>
      <c r="M4" s="382"/>
      <c r="N4" s="380" t="s">
        <v>101</v>
      </c>
      <c r="O4" s="381"/>
      <c r="P4" s="381"/>
      <c r="Q4" s="381"/>
      <c r="R4" s="381"/>
      <c r="S4" s="382"/>
    </row>
    <row r="5" spans="1:19" ht="14.4" customHeight="1" thickBot="1" x14ac:dyDescent="0.35">
      <c r="A5" s="542"/>
      <c r="B5" s="543">
        <v>2012</v>
      </c>
      <c r="C5" s="544"/>
      <c r="D5" s="544">
        <v>2013</v>
      </c>
      <c r="E5" s="544"/>
      <c r="F5" s="544">
        <v>2014</v>
      </c>
      <c r="G5" s="545" t="s">
        <v>2</v>
      </c>
      <c r="H5" s="543">
        <v>2012</v>
      </c>
      <c r="I5" s="544"/>
      <c r="J5" s="544">
        <v>2013</v>
      </c>
      <c r="K5" s="544"/>
      <c r="L5" s="544">
        <v>2014</v>
      </c>
      <c r="M5" s="545" t="s">
        <v>2</v>
      </c>
      <c r="N5" s="543">
        <v>2012</v>
      </c>
      <c r="O5" s="544"/>
      <c r="P5" s="544">
        <v>2013</v>
      </c>
      <c r="Q5" s="544"/>
      <c r="R5" s="544">
        <v>2014</v>
      </c>
      <c r="S5" s="545" t="s">
        <v>2</v>
      </c>
    </row>
    <row r="6" spans="1:19" ht="14.4" customHeight="1" x14ac:dyDescent="0.3">
      <c r="A6" s="495" t="s">
        <v>671</v>
      </c>
      <c r="B6" s="552">
        <v>462</v>
      </c>
      <c r="C6" s="467">
        <v>1</v>
      </c>
      <c r="D6" s="552">
        <v>696</v>
      </c>
      <c r="E6" s="467">
        <v>1.5064935064935066</v>
      </c>
      <c r="F6" s="552"/>
      <c r="G6" s="472"/>
      <c r="H6" s="552"/>
      <c r="I6" s="467"/>
      <c r="J6" s="552"/>
      <c r="K6" s="467"/>
      <c r="L6" s="552"/>
      <c r="M6" s="472"/>
      <c r="N6" s="552"/>
      <c r="O6" s="467"/>
      <c r="P6" s="552"/>
      <c r="Q6" s="467"/>
      <c r="R6" s="552"/>
      <c r="S6" s="122"/>
    </row>
    <row r="7" spans="1:19" ht="14.4" customHeight="1" x14ac:dyDescent="0.3">
      <c r="A7" s="496" t="s">
        <v>672</v>
      </c>
      <c r="B7" s="554">
        <v>1848</v>
      </c>
      <c r="C7" s="437">
        <v>1</v>
      </c>
      <c r="D7" s="554">
        <v>4872</v>
      </c>
      <c r="E7" s="437">
        <v>2.6363636363636362</v>
      </c>
      <c r="F7" s="554">
        <v>934</v>
      </c>
      <c r="G7" s="451">
        <v>0.50541125541125542</v>
      </c>
      <c r="H7" s="554"/>
      <c r="I7" s="437"/>
      <c r="J7" s="554"/>
      <c r="K7" s="437"/>
      <c r="L7" s="554"/>
      <c r="M7" s="451"/>
      <c r="N7" s="554"/>
      <c r="O7" s="437"/>
      <c r="P7" s="554"/>
      <c r="Q7" s="437"/>
      <c r="R7" s="554"/>
      <c r="S7" s="452"/>
    </row>
    <row r="8" spans="1:19" ht="14.4" customHeight="1" x14ac:dyDescent="0.3">
      <c r="A8" s="496" t="s">
        <v>673</v>
      </c>
      <c r="B8" s="554"/>
      <c r="C8" s="437"/>
      <c r="D8" s="554">
        <v>1392</v>
      </c>
      <c r="E8" s="437"/>
      <c r="F8" s="554">
        <v>698</v>
      </c>
      <c r="G8" s="451"/>
      <c r="H8" s="554"/>
      <c r="I8" s="437"/>
      <c r="J8" s="554"/>
      <c r="K8" s="437"/>
      <c r="L8" s="554"/>
      <c r="M8" s="451"/>
      <c r="N8" s="554"/>
      <c r="O8" s="437"/>
      <c r="P8" s="554"/>
      <c r="Q8" s="437"/>
      <c r="R8" s="554"/>
      <c r="S8" s="452"/>
    </row>
    <row r="9" spans="1:19" ht="14.4" customHeight="1" x14ac:dyDescent="0.3">
      <c r="A9" s="496" t="s">
        <v>674</v>
      </c>
      <c r="B9" s="554">
        <v>4389</v>
      </c>
      <c r="C9" s="437">
        <v>1</v>
      </c>
      <c r="D9" s="554">
        <v>4176</v>
      </c>
      <c r="E9" s="437">
        <v>0.95146958304853047</v>
      </c>
      <c r="F9" s="554">
        <v>5602</v>
      </c>
      <c r="G9" s="451">
        <v>1.2763727500569606</v>
      </c>
      <c r="H9" s="554"/>
      <c r="I9" s="437"/>
      <c r="J9" s="554"/>
      <c r="K9" s="437"/>
      <c r="L9" s="554"/>
      <c r="M9" s="451"/>
      <c r="N9" s="554"/>
      <c r="O9" s="437"/>
      <c r="P9" s="554"/>
      <c r="Q9" s="437"/>
      <c r="R9" s="554"/>
      <c r="S9" s="452"/>
    </row>
    <row r="10" spans="1:19" ht="14.4" customHeight="1" x14ac:dyDescent="0.3">
      <c r="A10" s="496" t="s">
        <v>675</v>
      </c>
      <c r="B10" s="554"/>
      <c r="C10" s="437"/>
      <c r="D10" s="554">
        <v>232</v>
      </c>
      <c r="E10" s="437"/>
      <c r="F10" s="554"/>
      <c r="G10" s="451"/>
      <c r="H10" s="554"/>
      <c r="I10" s="437"/>
      <c r="J10" s="554"/>
      <c r="K10" s="437"/>
      <c r="L10" s="554"/>
      <c r="M10" s="451"/>
      <c r="N10" s="554"/>
      <c r="O10" s="437"/>
      <c r="P10" s="554"/>
      <c r="Q10" s="437"/>
      <c r="R10" s="554"/>
      <c r="S10" s="452"/>
    </row>
    <row r="11" spans="1:19" ht="14.4" customHeight="1" x14ac:dyDescent="0.3">
      <c r="A11" s="496" t="s">
        <v>676</v>
      </c>
      <c r="B11" s="554">
        <v>231</v>
      </c>
      <c r="C11" s="437">
        <v>1</v>
      </c>
      <c r="D11" s="554"/>
      <c r="E11" s="437"/>
      <c r="F11" s="554"/>
      <c r="G11" s="451"/>
      <c r="H11" s="554"/>
      <c r="I11" s="437"/>
      <c r="J11" s="554"/>
      <c r="K11" s="437"/>
      <c r="L11" s="554"/>
      <c r="M11" s="451"/>
      <c r="N11" s="554"/>
      <c r="O11" s="437"/>
      <c r="P11" s="554"/>
      <c r="Q11" s="437"/>
      <c r="R11" s="554"/>
      <c r="S11" s="452"/>
    </row>
    <row r="12" spans="1:19" ht="14.4" customHeight="1" x14ac:dyDescent="0.3">
      <c r="A12" s="496" t="s">
        <v>677</v>
      </c>
      <c r="B12" s="554"/>
      <c r="C12" s="437"/>
      <c r="D12" s="554">
        <v>232</v>
      </c>
      <c r="E12" s="437"/>
      <c r="F12" s="554">
        <v>232</v>
      </c>
      <c r="G12" s="451"/>
      <c r="H12" s="554"/>
      <c r="I12" s="437"/>
      <c r="J12" s="554"/>
      <c r="K12" s="437"/>
      <c r="L12" s="554"/>
      <c r="M12" s="451"/>
      <c r="N12" s="554"/>
      <c r="O12" s="437"/>
      <c r="P12" s="554"/>
      <c r="Q12" s="437"/>
      <c r="R12" s="554"/>
      <c r="S12" s="452"/>
    </row>
    <row r="13" spans="1:19" ht="14.4" customHeight="1" x14ac:dyDescent="0.3">
      <c r="A13" s="496" t="s">
        <v>678</v>
      </c>
      <c r="B13" s="554"/>
      <c r="C13" s="437"/>
      <c r="D13" s="554"/>
      <c r="E13" s="437"/>
      <c r="F13" s="554">
        <v>234</v>
      </c>
      <c r="G13" s="451"/>
      <c r="H13" s="554"/>
      <c r="I13" s="437"/>
      <c r="J13" s="554"/>
      <c r="K13" s="437"/>
      <c r="L13" s="554"/>
      <c r="M13" s="451"/>
      <c r="N13" s="554"/>
      <c r="O13" s="437"/>
      <c r="P13" s="554"/>
      <c r="Q13" s="437"/>
      <c r="R13" s="554"/>
      <c r="S13" s="452"/>
    </row>
    <row r="14" spans="1:19" ht="14.4" customHeight="1" x14ac:dyDescent="0.3">
      <c r="A14" s="496" t="s">
        <v>679</v>
      </c>
      <c r="B14" s="554"/>
      <c r="C14" s="437"/>
      <c r="D14" s="554">
        <v>232</v>
      </c>
      <c r="E14" s="437"/>
      <c r="F14" s="554"/>
      <c r="G14" s="451"/>
      <c r="H14" s="554"/>
      <c r="I14" s="437"/>
      <c r="J14" s="554"/>
      <c r="K14" s="437"/>
      <c r="L14" s="554"/>
      <c r="M14" s="451"/>
      <c r="N14" s="554"/>
      <c r="O14" s="437"/>
      <c r="P14" s="554"/>
      <c r="Q14" s="437"/>
      <c r="R14" s="554"/>
      <c r="S14" s="452"/>
    </row>
    <row r="15" spans="1:19" ht="14.4" customHeight="1" x14ac:dyDescent="0.3">
      <c r="A15" s="496" t="s">
        <v>680</v>
      </c>
      <c r="B15" s="554">
        <v>231</v>
      </c>
      <c r="C15" s="437">
        <v>1</v>
      </c>
      <c r="D15" s="554"/>
      <c r="E15" s="437"/>
      <c r="F15" s="554">
        <v>1404</v>
      </c>
      <c r="G15" s="451">
        <v>6.0779220779220777</v>
      </c>
      <c r="H15" s="554"/>
      <c r="I15" s="437"/>
      <c r="J15" s="554"/>
      <c r="K15" s="437"/>
      <c r="L15" s="554"/>
      <c r="M15" s="451"/>
      <c r="N15" s="554"/>
      <c r="O15" s="437"/>
      <c r="P15" s="554"/>
      <c r="Q15" s="437"/>
      <c r="R15" s="554"/>
      <c r="S15" s="452"/>
    </row>
    <row r="16" spans="1:19" ht="14.4" customHeight="1" x14ac:dyDescent="0.3">
      <c r="A16" s="496" t="s">
        <v>681</v>
      </c>
      <c r="B16" s="554">
        <v>462</v>
      </c>
      <c r="C16" s="437">
        <v>1</v>
      </c>
      <c r="D16" s="554">
        <v>464</v>
      </c>
      <c r="E16" s="437">
        <v>1.0043290043290043</v>
      </c>
      <c r="F16" s="554">
        <v>468</v>
      </c>
      <c r="G16" s="451">
        <v>1.0129870129870129</v>
      </c>
      <c r="H16" s="554"/>
      <c r="I16" s="437"/>
      <c r="J16" s="554"/>
      <c r="K16" s="437"/>
      <c r="L16" s="554"/>
      <c r="M16" s="451"/>
      <c r="N16" s="554"/>
      <c r="O16" s="437"/>
      <c r="P16" s="554"/>
      <c r="Q16" s="437"/>
      <c r="R16" s="554"/>
      <c r="S16" s="452"/>
    </row>
    <row r="17" spans="1:19" ht="14.4" customHeight="1" x14ac:dyDescent="0.3">
      <c r="A17" s="496" t="s">
        <v>682</v>
      </c>
      <c r="B17" s="554">
        <v>462</v>
      </c>
      <c r="C17" s="437">
        <v>1</v>
      </c>
      <c r="D17" s="554"/>
      <c r="E17" s="437"/>
      <c r="F17" s="554">
        <v>234</v>
      </c>
      <c r="G17" s="451">
        <v>0.50649350649350644</v>
      </c>
      <c r="H17" s="554"/>
      <c r="I17" s="437"/>
      <c r="J17" s="554"/>
      <c r="K17" s="437"/>
      <c r="L17" s="554"/>
      <c r="M17" s="451"/>
      <c r="N17" s="554"/>
      <c r="O17" s="437"/>
      <c r="P17" s="554"/>
      <c r="Q17" s="437"/>
      <c r="R17" s="554"/>
      <c r="S17" s="452"/>
    </row>
    <row r="18" spans="1:19" ht="14.4" customHeight="1" x14ac:dyDescent="0.3">
      <c r="A18" s="496" t="s">
        <v>683</v>
      </c>
      <c r="B18" s="554"/>
      <c r="C18" s="437"/>
      <c r="D18" s="554"/>
      <c r="E18" s="437"/>
      <c r="F18" s="554">
        <v>234</v>
      </c>
      <c r="G18" s="451"/>
      <c r="H18" s="554"/>
      <c r="I18" s="437"/>
      <c r="J18" s="554"/>
      <c r="K18" s="437"/>
      <c r="L18" s="554"/>
      <c r="M18" s="451"/>
      <c r="N18" s="554"/>
      <c r="O18" s="437"/>
      <c r="P18" s="554"/>
      <c r="Q18" s="437"/>
      <c r="R18" s="554"/>
      <c r="S18" s="452"/>
    </row>
    <row r="19" spans="1:19" ht="14.4" customHeight="1" x14ac:dyDescent="0.3">
      <c r="A19" s="496" t="s">
        <v>684</v>
      </c>
      <c r="B19" s="554">
        <v>1420</v>
      </c>
      <c r="C19" s="437">
        <v>1</v>
      </c>
      <c r="D19" s="554"/>
      <c r="E19" s="437"/>
      <c r="F19" s="554">
        <v>468</v>
      </c>
      <c r="G19" s="451">
        <v>0.3295774647887324</v>
      </c>
      <c r="H19" s="554"/>
      <c r="I19" s="437"/>
      <c r="J19" s="554"/>
      <c r="K19" s="437"/>
      <c r="L19" s="554"/>
      <c r="M19" s="451"/>
      <c r="N19" s="554"/>
      <c r="O19" s="437"/>
      <c r="P19" s="554"/>
      <c r="Q19" s="437"/>
      <c r="R19" s="554"/>
      <c r="S19" s="452"/>
    </row>
    <row r="20" spans="1:19" ht="14.4" customHeight="1" x14ac:dyDescent="0.3">
      <c r="A20" s="496" t="s">
        <v>685</v>
      </c>
      <c r="B20" s="554">
        <v>231</v>
      </c>
      <c r="C20" s="437">
        <v>1</v>
      </c>
      <c r="D20" s="554">
        <v>1856</v>
      </c>
      <c r="E20" s="437">
        <v>8.0346320346320343</v>
      </c>
      <c r="F20" s="554">
        <v>4202</v>
      </c>
      <c r="G20" s="451">
        <v>18.19047619047619</v>
      </c>
      <c r="H20" s="554"/>
      <c r="I20" s="437"/>
      <c r="J20" s="554"/>
      <c r="K20" s="437"/>
      <c r="L20" s="554"/>
      <c r="M20" s="451"/>
      <c r="N20" s="554"/>
      <c r="O20" s="437"/>
      <c r="P20" s="554"/>
      <c r="Q20" s="437"/>
      <c r="R20" s="554"/>
      <c r="S20" s="452"/>
    </row>
    <row r="21" spans="1:19" ht="14.4" customHeight="1" x14ac:dyDescent="0.3">
      <c r="A21" s="496" t="s">
        <v>686</v>
      </c>
      <c r="B21" s="554"/>
      <c r="C21" s="437"/>
      <c r="D21" s="554">
        <v>464</v>
      </c>
      <c r="E21" s="437"/>
      <c r="F21" s="554">
        <v>468</v>
      </c>
      <c r="G21" s="451"/>
      <c r="H21" s="554"/>
      <c r="I21" s="437"/>
      <c r="J21" s="554"/>
      <c r="K21" s="437"/>
      <c r="L21" s="554"/>
      <c r="M21" s="451"/>
      <c r="N21" s="554"/>
      <c r="O21" s="437"/>
      <c r="P21" s="554"/>
      <c r="Q21" s="437"/>
      <c r="R21" s="554"/>
      <c r="S21" s="452"/>
    </row>
    <row r="22" spans="1:19" ht="14.4" customHeight="1" x14ac:dyDescent="0.3">
      <c r="A22" s="496" t="s">
        <v>687</v>
      </c>
      <c r="B22" s="554">
        <v>1617</v>
      </c>
      <c r="C22" s="437">
        <v>1</v>
      </c>
      <c r="D22" s="554">
        <v>1160</v>
      </c>
      <c r="E22" s="437">
        <v>0.71737786023500305</v>
      </c>
      <c r="F22" s="554"/>
      <c r="G22" s="451"/>
      <c r="H22" s="554"/>
      <c r="I22" s="437"/>
      <c r="J22" s="554"/>
      <c r="K22" s="437"/>
      <c r="L22" s="554"/>
      <c r="M22" s="451"/>
      <c r="N22" s="554"/>
      <c r="O22" s="437"/>
      <c r="P22" s="554"/>
      <c r="Q22" s="437"/>
      <c r="R22" s="554"/>
      <c r="S22" s="452"/>
    </row>
    <row r="23" spans="1:19" ht="14.4" customHeight="1" x14ac:dyDescent="0.3">
      <c r="A23" s="496" t="s">
        <v>688</v>
      </c>
      <c r="B23" s="554">
        <v>462</v>
      </c>
      <c r="C23" s="437">
        <v>1</v>
      </c>
      <c r="D23" s="554"/>
      <c r="E23" s="437"/>
      <c r="F23" s="554">
        <v>468</v>
      </c>
      <c r="G23" s="451">
        <v>1.0129870129870129</v>
      </c>
      <c r="H23" s="554"/>
      <c r="I23" s="437"/>
      <c r="J23" s="554"/>
      <c r="K23" s="437"/>
      <c r="L23" s="554"/>
      <c r="M23" s="451"/>
      <c r="N23" s="554"/>
      <c r="O23" s="437"/>
      <c r="P23" s="554"/>
      <c r="Q23" s="437"/>
      <c r="R23" s="554"/>
      <c r="S23" s="452"/>
    </row>
    <row r="24" spans="1:19" ht="14.4" customHeight="1" x14ac:dyDescent="0.3">
      <c r="A24" s="496" t="s">
        <v>689</v>
      </c>
      <c r="B24" s="554">
        <v>231</v>
      </c>
      <c r="C24" s="437">
        <v>1</v>
      </c>
      <c r="D24" s="554">
        <v>232</v>
      </c>
      <c r="E24" s="437">
        <v>1.0043290043290043</v>
      </c>
      <c r="F24" s="554"/>
      <c r="G24" s="451"/>
      <c r="H24" s="554"/>
      <c r="I24" s="437"/>
      <c r="J24" s="554"/>
      <c r="K24" s="437"/>
      <c r="L24" s="554"/>
      <c r="M24" s="451"/>
      <c r="N24" s="554"/>
      <c r="O24" s="437"/>
      <c r="P24" s="554"/>
      <c r="Q24" s="437"/>
      <c r="R24" s="554"/>
      <c r="S24" s="452"/>
    </row>
    <row r="25" spans="1:19" ht="14.4" customHeight="1" thickBot="1" x14ac:dyDescent="0.35">
      <c r="A25" s="558" t="s">
        <v>690</v>
      </c>
      <c r="B25" s="556"/>
      <c r="C25" s="440"/>
      <c r="D25" s="556">
        <v>232</v>
      </c>
      <c r="E25" s="440"/>
      <c r="F25" s="556"/>
      <c r="G25" s="453"/>
      <c r="H25" s="556"/>
      <c r="I25" s="440"/>
      <c r="J25" s="556"/>
      <c r="K25" s="440"/>
      <c r="L25" s="556"/>
      <c r="M25" s="453"/>
      <c r="N25" s="556"/>
      <c r="O25" s="440"/>
      <c r="P25" s="556"/>
      <c r="Q25" s="440"/>
      <c r="R25" s="556"/>
      <c r="S25" s="4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4" t="s">
        <v>119</v>
      </c>
      <c r="B1" s="314"/>
      <c r="C1" s="315"/>
      <c r="D1" s="315"/>
      <c r="E1" s="315"/>
    </row>
    <row r="2" spans="1:5" ht="14.4" customHeight="1" thickBot="1" x14ac:dyDescent="0.35">
      <c r="A2" s="235" t="s">
        <v>260</v>
      </c>
      <c r="B2" s="152"/>
    </row>
    <row r="3" spans="1:5" ht="14.4" customHeight="1" thickBot="1" x14ac:dyDescent="0.35">
      <c r="A3" s="155"/>
      <c r="C3" s="156" t="s">
        <v>107</v>
      </c>
      <c r="D3" s="157" t="s">
        <v>72</v>
      </c>
      <c r="E3" s="158" t="s">
        <v>74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470.14179244643202</v>
      </c>
      <c r="D4" s="161">
        <f ca="1">IF(ISERROR(VLOOKUP("Náklady celkem",INDIRECT("HI!$A:$G"),5,0)),0,VLOOKUP("Náklady celkem",INDIRECT("HI!$A:$G"),5,0))</f>
        <v>478.4668200000001</v>
      </c>
      <c r="E4" s="162">
        <f ca="1">IF(C4=0,0,D4/C4)</f>
        <v>1.017707482481504</v>
      </c>
    </row>
    <row r="5" spans="1:5" ht="14.4" customHeight="1" x14ac:dyDescent="0.3">
      <c r="A5" s="163" t="s">
        <v>146</v>
      </c>
      <c r="B5" s="164"/>
      <c r="C5" s="165"/>
      <c r="D5" s="165"/>
      <c r="E5" s="166"/>
    </row>
    <row r="6" spans="1:5" ht="14.4" customHeight="1" x14ac:dyDescent="0.3">
      <c r="A6" s="167" t="s">
        <v>151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2" t="s">
        <v>147</v>
      </c>
      <c r="B8" s="168"/>
      <c r="C8" s="169"/>
      <c r="D8" s="169"/>
      <c r="E8" s="166"/>
    </row>
    <row r="9" spans="1:5" ht="14.4" customHeight="1" x14ac:dyDescent="0.3">
      <c r="A9" s="170" t="str">
        <f>HYPERLINK("#'Léky Recepty'!A1","% záchytu v lékárně (Úhrada Kč)")</f>
        <v>% záchytu v lékárně (Úhrada Kč)</v>
      </c>
      <c r="B9" s="168" t="s">
        <v>114</v>
      </c>
      <c r="C9" s="171">
        <v>0.6</v>
      </c>
      <c r="D9" s="171">
        <f>IF(ISERROR(VLOOKUP("Celkem",'Léky Recepty'!B:H,5,0)),0,VLOOKUP("Celkem",'Léky Recepty'!B:H,5,0))</f>
        <v>0.62920250093470331</v>
      </c>
      <c r="E9" s="166">
        <f t="shared" si="0"/>
        <v>1.0486708348911722</v>
      </c>
    </row>
    <row r="10" spans="1:5" ht="14.4" customHeight="1" x14ac:dyDescent="0.3">
      <c r="A10" s="170" t="str">
        <f>HYPERLINK("#'LRp PL'!A1","% plnění pozitivního listu")</f>
        <v>% plnění pozitivního listu</v>
      </c>
      <c r="B10" s="168" t="s">
        <v>140</v>
      </c>
      <c r="C10" s="171">
        <v>0.8</v>
      </c>
      <c r="D10" s="171">
        <f>IF(ISERROR(VLOOKUP("Celkem",'LRp PL'!A:F,5,0)),0,VLOOKUP("Celkem",'LRp PL'!A:F,5,0))</f>
        <v>0.95488976949969107</v>
      </c>
      <c r="E10" s="166">
        <f t="shared" si="0"/>
        <v>1.1936122118746137</v>
      </c>
    </row>
    <row r="11" spans="1:5" ht="14.4" customHeight="1" x14ac:dyDescent="0.3">
      <c r="A11" s="172" t="s">
        <v>148</v>
      </c>
      <c r="B11" s="168"/>
      <c r="C11" s="169"/>
      <c r="D11" s="169"/>
      <c r="E11" s="166"/>
    </row>
    <row r="12" spans="1:5" ht="14.4" customHeight="1" x14ac:dyDescent="0.3">
      <c r="A12" s="173" t="s">
        <v>152</v>
      </c>
      <c r="B12" s="168"/>
      <c r="C12" s="165"/>
      <c r="D12" s="165"/>
      <c r="E12" s="166"/>
    </row>
    <row r="13" spans="1:5" ht="14.4" customHeight="1" x14ac:dyDescent="0.3">
      <c r="A13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111</v>
      </c>
      <c r="C13" s="169">
        <f>IF(ISERROR(HI!F6),"",HI!F6)</f>
        <v>444.81310161143398</v>
      </c>
      <c r="D13" s="169">
        <f>IF(ISERROR(HI!E6),"",HI!E6)</f>
        <v>451.73370999999997</v>
      </c>
      <c r="E13" s="166">
        <f t="shared" si="0"/>
        <v>1.0155584634613832</v>
      </c>
    </row>
    <row r="14" spans="1:5" ht="14.4" customHeight="1" thickBot="1" x14ac:dyDescent="0.35">
      <c r="A14" s="175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9"/>
      <c r="B15" s="180"/>
      <c r="C15" s="181"/>
      <c r="D15" s="181"/>
      <c r="E15" s="182"/>
    </row>
    <row r="16" spans="1:5" ht="14.4" customHeight="1" thickBot="1" x14ac:dyDescent="0.35">
      <c r="A16" s="183" t="str">
        <f>HYPERLINK("#HI!A1","VÝNOSY CELKEM (v tisících)")</f>
        <v>VÝNOSY CELKEM (v tisících)</v>
      </c>
      <c r="B16" s="184"/>
      <c r="C16" s="185">
        <f ca="1">IF(ISERROR(VLOOKUP("Výnosy celkem",INDIRECT("HI!$A:$G"),6,0)),0,VLOOKUP("Výnosy celkem",INDIRECT("HI!$A:$G"),6,0))</f>
        <v>737.26300000000003</v>
      </c>
      <c r="D16" s="185">
        <f ca="1">IF(ISERROR(VLOOKUP("Výnosy celkem",INDIRECT("HI!$A:$G"),5,0)),0,VLOOKUP("Výnosy celkem",INDIRECT("HI!$A:$G"),5,0))</f>
        <v>1473.6279999999999</v>
      </c>
      <c r="E16" s="186">
        <f t="shared" ref="E16:E19" ca="1" si="1">IF(C16=0,0,D16/C16)</f>
        <v>1.9987819814638736</v>
      </c>
    </row>
    <row r="17" spans="1:5" ht="14.4" customHeight="1" x14ac:dyDescent="0.3">
      <c r="A17" s="187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737.26300000000003</v>
      </c>
      <c r="D17" s="165">
        <f ca="1">IF(ISERROR(VLOOKUP("Ambulance *",INDIRECT("HI!$A:$G"),5,0)),0,VLOOKUP("Ambulance *",INDIRECT("HI!$A:$G"),5,0))</f>
        <v>1473.6279999999999</v>
      </c>
      <c r="E17" s="166">
        <f t="shared" ca="1" si="1"/>
        <v>1.9987819814638736</v>
      </c>
    </row>
    <row r="18" spans="1:5" ht="14.4" customHeight="1" x14ac:dyDescent="0.3">
      <c r="A18" s="188" t="str">
        <f>HYPERLINK("#'ZV Vykáz.-A'!A1","Zdravotní výkony vykázané u ambulantních pacientů (min. 100 %)")</f>
        <v>Zdravotní výkony vykázané u ambulantních pacientů (min. 100 %)</v>
      </c>
      <c r="B18" s="151" t="s">
        <v>121</v>
      </c>
      <c r="C18" s="171">
        <v>1</v>
      </c>
      <c r="D18" s="171">
        <f>IF(ISERROR(VLOOKUP("Celkem:",'ZV Vykáz.-A'!$A:$S,7,0)),"",VLOOKUP("Celkem:",'ZV Vykáz.-A'!$A:$S,7,0))</f>
        <v>1.9987819814638739</v>
      </c>
      <c r="E18" s="166">
        <f t="shared" si="1"/>
        <v>1.9987819814638739</v>
      </c>
    </row>
    <row r="19" spans="1:5" ht="14.4" customHeight="1" x14ac:dyDescent="0.3">
      <c r="A19" s="188" t="str">
        <f>HYPERLINK("#'ZV Vykáz.-H'!A1","Zdravotní výkony vykázané u hospitalizovaných pacientů (max. 85 %)")</f>
        <v>Zdravotní výkony vykázané u hospitalizovaných pacientů (max. 85 %)</v>
      </c>
      <c r="B19" s="151" t="s">
        <v>123</v>
      </c>
      <c r="C19" s="171">
        <v>0.85</v>
      </c>
      <c r="D19" s="171">
        <f>IF(ISERROR(VLOOKUP("Celkem:",'ZV Vykáz.-H'!$A:$S,7,0)),"",VLOOKUP("Celkem:",'ZV Vykáz.-H'!$A:$S,7,0))</f>
        <v>1.298854391499253</v>
      </c>
      <c r="E19" s="166">
        <f t="shared" si="1"/>
        <v>1.5280639899991211</v>
      </c>
    </row>
    <row r="20" spans="1:5" ht="14.4" customHeight="1" x14ac:dyDescent="0.3">
      <c r="A20" s="189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90" t="s">
        <v>149</v>
      </c>
      <c r="B21" s="176"/>
      <c r="C21" s="177"/>
      <c r="D21" s="177"/>
      <c r="E21" s="178"/>
    </row>
    <row r="22" spans="1:5" ht="14.4" customHeight="1" thickBot="1" x14ac:dyDescent="0.35">
      <c r="A22" s="191"/>
      <c r="B22" s="192"/>
      <c r="C22" s="193"/>
      <c r="D22" s="193"/>
      <c r="E22" s="194"/>
    </row>
    <row r="23" spans="1:5" ht="14.4" customHeight="1" thickBot="1" x14ac:dyDescent="0.35">
      <c r="A23" s="195" t="s">
        <v>150</v>
      </c>
      <c r="B23" s="196"/>
      <c r="C23" s="197"/>
      <c r="D23" s="197"/>
      <c r="E23" s="198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1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0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14" t="s">
        <v>711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14.4" customHeight="1" thickBot="1" x14ac:dyDescent="0.35">
      <c r="A2" s="235" t="s">
        <v>260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126</v>
      </c>
      <c r="F3" s="102">
        <f t="shared" ref="F3:O3" si="0">SUBTOTAL(9,F6:F1048576)</f>
        <v>54</v>
      </c>
      <c r="G3" s="103">
        <f t="shared" si="0"/>
        <v>12046</v>
      </c>
      <c r="H3" s="103"/>
      <c r="I3" s="103"/>
      <c r="J3" s="103">
        <f t="shared" si="0"/>
        <v>70</v>
      </c>
      <c r="K3" s="103">
        <f t="shared" si="0"/>
        <v>16240</v>
      </c>
      <c r="L3" s="103"/>
      <c r="M3" s="103"/>
      <c r="N3" s="103">
        <f t="shared" si="0"/>
        <v>67</v>
      </c>
      <c r="O3" s="103">
        <f t="shared" si="0"/>
        <v>15646</v>
      </c>
      <c r="P3" s="75">
        <f>IF(G3=0,0,O3/G3)</f>
        <v>1.298854391499253</v>
      </c>
      <c r="Q3" s="104">
        <f>IF(N3=0,0,O3/N3)</f>
        <v>233.52238805970148</v>
      </c>
    </row>
    <row r="4" spans="1:17" ht="14.4" customHeight="1" x14ac:dyDescent="0.3">
      <c r="A4" s="388" t="s">
        <v>68</v>
      </c>
      <c r="B4" s="387" t="s">
        <v>94</v>
      </c>
      <c r="C4" s="388" t="s">
        <v>95</v>
      </c>
      <c r="D4" s="396" t="s">
        <v>96</v>
      </c>
      <c r="E4" s="389" t="s">
        <v>69</v>
      </c>
      <c r="F4" s="394">
        <v>2012</v>
      </c>
      <c r="G4" s="395"/>
      <c r="H4" s="105"/>
      <c r="I4" s="105"/>
      <c r="J4" s="394">
        <v>2013</v>
      </c>
      <c r="K4" s="395"/>
      <c r="L4" s="105"/>
      <c r="M4" s="105"/>
      <c r="N4" s="394">
        <v>2014</v>
      </c>
      <c r="O4" s="395"/>
      <c r="P4" s="397" t="s">
        <v>2</v>
      </c>
      <c r="Q4" s="386" t="s">
        <v>97</v>
      </c>
    </row>
    <row r="5" spans="1:17" ht="14.4" customHeight="1" thickBot="1" x14ac:dyDescent="0.35">
      <c r="A5" s="560"/>
      <c r="B5" s="559"/>
      <c r="C5" s="560"/>
      <c r="D5" s="568"/>
      <c r="E5" s="562"/>
      <c r="F5" s="569" t="s">
        <v>71</v>
      </c>
      <c r="G5" s="570" t="s">
        <v>13</v>
      </c>
      <c r="H5" s="571"/>
      <c r="I5" s="571"/>
      <c r="J5" s="569" t="s">
        <v>71</v>
      </c>
      <c r="K5" s="570" t="s">
        <v>13</v>
      </c>
      <c r="L5" s="571"/>
      <c r="M5" s="571"/>
      <c r="N5" s="569" t="s">
        <v>71</v>
      </c>
      <c r="O5" s="570" t="s">
        <v>13</v>
      </c>
      <c r="P5" s="572"/>
      <c r="Q5" s="567"/>
    </row>
    <row r="6" spans="1:17" ht="14.4" customHeight="1" x14ac:dyDescent="0.3">
      <c r="A6" s="466" t="s">
        <v>691</v>
      </c>
      <c r="B6" s="467" t="s">
        <v>654</v>
      </c>
      <c r="C6" s="467" t="s">
        <v>655</v>
      </c>
      <c r="D6" s="467" t="s">
        <v>660</v>
      </c>
      <c r="E6" s="467" t="s">
        <v>661</v>
      </c>
      <c r="F6" s="116">
        <v>2</v>
      </c>
      <c r="G6" s="116">
        <v>462</v>
      </c>
      <c r="H6" s="116">
        <v>1</v>
      </c>
      <c r="I6" s="116">
        <v>231</v>
      </c>
      <c r="J6" s="116">
        <v>3</v>
      </c>
      <c r="K6" s="116">
        <v>696</v>
      </c>
      <c r="L6" s="116">
        <v>1.5064935064935066</v>
      </c>
      <c r="M6" s="116">
        <v>232</v>
      </c>
      <c r="N6" s="116"/>
      <c r="O6" s="116"/>
      <c r="P6" s="472"/>
      <c r="Q6" s="485"/>
    </row>
    <row r="7" spans="1:17" ht="14.4" customHeight="1" x14ac:dyDescent="0.3">
      <c r="A7" s="447" t="s">
        <v>692</v>
      </c>
      <c r="B7" s="437" t="s">
        <v>654</v>
      </c>
      <c r="C7" s="437" t="s">
        <v>655</v>
      </c>
      <c r="D7" s="437" t="s">
        <v>660</v>
      </c>
      <c r="E7" s="437" t="s">
        <v>661</v>
      </c>
      <c r="F7" s="438">
        <v>8</v>
      </c>
      <c r="G7" s="438">
        <v>1848</v>
      </c>
      <c r="H7" s="438">
        <v>1</v>
      </c>
      <c r="I7" s="438">
        <v>231</v>
      </c>
      <c r="J7" s="438">
        <v>21</v>
      </c>
      <c r="K7" s="438">
        <v>4872</v>
      </c>
      <c r="L7" s="438">
        <v>2.6363636363636362</v>
      </c>
      <c r="M7" s="438">
        <v>232</v>
      </c>
      <c r="N7" s="438">
        <v>4</v>
      </c>
      <c r="O7" s="438">
        <v>934</v>
      </c>
      <c r="P7" s="451">
        <v>0.50541125541125542</v>
      </c>
      <c r="Q7" s="486">
        <v>233.5</v>
      </c>
    </row>
    <row r="8" spans="1:17" ht="14.4" customHeight="1" x14ac:dyDescent="0.3">
      <c r="A8" s="447" t="s">
        <v>692</v>
      </c>
      <c r="B8" s="437" t="s">
        <v>654</v>
      </c>
      <c r="C8" s="437" t="s">
        <v>655</v>
      </c>
      <c r="D8" s="437" t="s">
        <v>662</v>
      </c>
      <c r="E8" s="437" t="s">
        <v>663</v>
      </c>
      <c r="F8" s="438">
        <v>1</v>
      </c>
      <c r="G8" s="438">
        <v>0</v>
      </c>
      <c r="H8" s="438"/>
      <c r="I8" s="438">
        <v>0</v>
      </c>
      <c r="J8" s="438"/>
      <c r="K8" s="438"/>
      <c r="L8" s="438"/>
      <c r="M8" s="438"/>
      <c r="N8" s="438"/>
      <c r="O8" s="438"/>
      <c r="P8" s="451"/>
      <c r="Q8" s="486"/>
    </row>
    <row r="9" spans="1:17" ht="14.4" customHeight="1" x14ac:dyDescent="0.3">
      <c r="A9" s="447" t="s">
        <v>693</v>
      </c>
      <c r="B9" s="437" t="s">
        <v>654</v>
      </c>
      <c r="C9" s="437" t="s">
        <v>655</v>
      </c>
      <c r="D9" s="437" t="s">
        <v>660</v>
      </c>
      <c r="E9" s="437" t="s">
        <v>661</v>
      </c>
      <c r="F9" s="438"/>
      <c r="G9" s="438"/>
      <c r="H9" s="438"/>
      <c r="I9" s="438"/>
      <c r="J9" s="438">
        <v>6</v>
      </c>
      <c r="K9" s="438">
        <v>1392</v>
      </c>
      <c r="L9" s="438"/>
      <c r="M9" s="438">
        <v>232</v>
      </c>
      <c r="N9" s="438">
        <v>3</v>
      </c>
      <c r="O9" s="438">
        <v>698</v>
      </c>
      <c r="P9" s="451"/>
      <c r="Q9" s="486">
        <v>232.66666666666666</v>
      </c>
    </row>
    <row r="10" spans="1:17" ht="14.4" customHeight="1" x14ac:dyDescent="0.3">
      <c r="A10" s="447" t="s">
        <v>694</v>
      </c>
      <c r="B10" s="437" t="s">
        <v>654</v>
      </c>
      <c r="C10" s="437" t="s">
        <v>655</v>
      </c>
      <c r="D10" s="437" t="s">
        <v>660</v>
      </c>
      <c r="E10" s="437" t="s">
        <v>661</v>
      </c>
      <c r="F10" s="438">
        <v>19</v>
      </c>
      <c r="G10" s="438">
        <v>4389</v>
      </c>
      <c r="H10" s="438">
        <v>1</v>
      </c>
      <c r="I10" s="438">
        <v>231</v>
      </c>
      <c r="J10" s="438">
        <v>18</v>
      </c>
      <c r="K10" s="438">
        <v>4176</v>
      </c>
      <c r="L10" s="438">
        <v>0.95146958304853047</v>
      </c>
      <c r="M10" s="438">
        <v>232</v>
      </c>
      <c r="N10" s="438">
        <v>24</v>
      </c>
      <c r="O10" s="438">
        <v>5602</v>
      </c>
      <c r="P10" s="451">
        <v>1.2763727500569606</v>
      </c>
      <c r="Q10" s="486">
        <v>233.41666666666666</v>
      </c>
    </row>
    <row r="11" spans="1:17" ht="14.4" customHeight="1" x14ac:dyDescent="0.3">
      <c r="A11" s="447" t="s">
        <v>695</v>
      </c>
      <c r="B11" s="437" t="s">
        <v>654</v>
      </c>
      <c r="C11" s="437" t="s">
        <v>655</v>
      </c>
      <c r="D11" s="437" t="s">
        <v>660</v>
      </c>
      <c r="E11" s="437" t="s">
        <v>661</v>
      </c>
      <c r="F11" s="438"/>
      <c r="G11" s="438"/>
      <c r="H11" s="438"/>
      <c r="I11" s="438"/>
      <c r="J11" s="438">
        <v>1</v>
      </c>
      <c r="K11" s="438">
        <v>232</v>
      </c>
      <c r="L11" s="438"/>
      <c r="M11" s="438">
        <v>232</v>
      </c>
      <c r="N11" s="438"/>
      <c r="O11" s="438"/>
      <c r="P11" s="451"/>
      <c r="Q11" s="486"/>
    </row>
    <row r="12" spans="1:17" ht="14.4" customHeight="1" x14ac:dyDescent="0.3">
      <c r="A12" s="447" t="s">
        <v>696</v>
      </c>
      <c r="B12" s="437" t="s">
        <v>654</v>
      </c>
      <c r="C12" s="437" t="s">
        <v>655</v>
      </c>
      <c r="D12" s="437" t="s">
        <v>660</v>
      </c>
      <c r="E12" s="437" t="s">
        <v>661</v>
      </c>
      <c r="F12" s="438">
        <v>1</v>
      </c>
      <c r="G12" s="438">
        <v>231</v>
      </c>
      <c r="H12" s="438">
        <v>1</v>
      </c>
      <c r="I12" s="438">
        <v>231</v>
      </c>
      <c r="J12" s="438"/>
      <c r="K12" s="438"/>
      <c r="L12" s="438"/>
      <c r="M12" s="438"/>
      <c r="N12" s="438"/>
      <c r="O12" s="438"/>
      <c r="P12" s="451"/>
      <c r="Q12" s="486"/>
    </row>
    <row r="13" spans="1:17" ht="14.4" customHeight="1" x14ac:dyDescent="0.3">
      <c r="A13" s="447" t="s">
        <v>697</v>
      </c>
      <c r="B13" s="437" t="s">
        <v>654</v>
      </c>
      <c r="C13" s="437" t="s">
        <v>655</v>
      </c>
      <c r="D13" s="437" t="s">
        <v>660</v>
      </c>
      <c r="E13" s="437" t="s">
        <v>661</v>
      </c>
      <c r="F13" s="438"/>
      <c r="G13" s="438"/>
      <c r="H13" s="438"/>
      <c r="I13" s="438"/>
      <c r="J13" s="438">
        <v>1</v>
      </c>
      <c r="K13" s="438">
        <v>232</v>
      </c>
      <c r="L13" s="438"/>
      <c r="M13" s="438">
        <v>232</v>
      </c>
      <c r="N13" s="438">
        <v>1</v>
      </c>
      <c r="O13" s="438">
        <v>232</v>
      </c>
      <c r="P13" s="451"/>
      <c r="Q13" s="486">
        <v>232</v>
      </c>
    </row>
    <row r="14" spans="1:17" ht="14.4" customHeight="1" x14ac:dyDescent="0.3">
      <c r="A14" s="447" t="s">
        <v>698</v>
      </c>
      <c r="B14" s="437" t="s">
        <v>654</v>
      </c>
      <c r="C14" s="437" t="s">
        <v>655</v>
      </c>
      <c r="D14" s="437" t="s">
        <v>660</v>
      </c>
      <c r="E14" s="437" t="s">
        <v>661</v>
      </c>
      <c r="F14" s="438"/>
      <c r="G14" s="438"/>
      <c r="H14" s="438"/>
      <c r="I14" s="438"/>
      <c r="J14" s="438"/>
      <c r="K14" s="438"/>
      <c r="L14" s="438"/>
      <c r="M14" s="438"/>
      <c r="N14" s="438">
        <v>1</v>
      </c>
      <c r="O14" s="438">
        <v>234</v>
      </c>
      <c r="P14" s="451"/>
      <c r="Q14" s="486">
        <v>234</v>
      </c>
    </row>
    <row r="15" spans="1:17" ht="14.4" customHeight="1" x14ac:dyDescent="0.3">
      <c r="A15" s="447" t="s">
        <v>699</v>
      </c>
      <c r="B15" s="437" t="s">
        <v>654</v>
      </c>
      <c r="C15" s="437" t="s">
        <v>655</v>
      </c>
      <c r="D15" s="437" t="s">
        <v>660</v>
      </c>
      <c r="E15" s="437" t="s">
        <v>661</v>
      </c>
      <c r="F15" s="438"/>
      <c r="G15" s="438"/>
      <c r="H15" s="438"/>
      <c r="I15" s="438"/>
      <c r="J15" s="438">
        <v>1</v>
      </c>
      <c r="K15" s="438">
        <v>232</v>
      </c>
      <c r="L15" s="438"/>
      <c r="M15" s="438">
        <v>232</v>
      </c>
      <c r="N15" s="438"/>
      <c r="O15" s="438"/>
      <c r="P15" s="451"/>
      <c r="Q15" s="486"/>
    </row>
    <row r="16" spans="1:17" ht="14.4" customHeight="1" x14ac:dyDescent="0.3">
      <c r="A16" s="447" t="s">
        <v>700</v>
      </c>
      <c r="B16" s="437" t="s">
        <v>654</v>
      </c>
      <c r="C16" s="437" t="s">
        <v>655</v>
      </c>
      <c r="D16" s="437" t="s">
        <v>660</v>
      </c>
      <c r="E16" s="437" t="s">
        <v>661</v>
      </c>
      <c r="F16" s="438">
        <v>1</v>
      </c>
      <c r="G16" s="438">
        <v>231</v>
      </c>
      <c r="H16" s="438">
        <v>1</v>
      </c>
      <c r="I16" s="438">
        <v>231</v>
      </c>
      <c r="J16" s="438"/>
      <c r="K16" s="438"/>
      <c r="L16" s="438"/>
      <c r="M16" s="438"/>
      <c r="N16" s="438">
        <v>6</v>
      </c>
      <c r="O16" s="438">
        <v>1404</v>
      </c>
      <c r="P16" s="451">
        <v>6.0779220779220777</v>
      </c>
      <c r="Q16" s="486">
        <v>234</v>
      </c>
    </row>
    <row r="17" spans="1:17" ht="14.4" customHeight="1" x14ac:dyDescent="0.3">
      <c r="A17" s="447" t="s">
        <v>701</v>
      </c>
      <c r="B17" s="437" t="s">
        <v>654</v>
      </c>
      <c r="C17" s="437" t="s">
        <v>655</v>
      </c>
      <c r="D17" s="437" t="s">
        <v>660</v>
      </c>
      <c r="E17" s="437" t="s">
        <v>661</v>
      </c>
      <c r="F17" s="438">
        <v>2</v>
      </c>
      <c r="G17" s="438">
        <v>462</v>
      </c>
      <c r="H17" s="438">
        <v>1</v>
      </c>
      <c r="I17" s="438">
        <v>231</v>
      </c>
      <c r="J17" s="438">
        <v>2</v>
      </c>
      <c r="K17" s="438">
        <v>464</v>
      </c>
      <c r="L17" s="438">
        <v>1.0043290043290043</v>
      </c>
      <c r="M17" s="438">
        <v>232</v>
      </c>
      <c r="N17" s="438">
        <v>2</v>
      </c>
      <c r="O17" s="438">
        <v>468</v>
      </c>
      <c r="P17" s="451">
        <v>1.0129870129870129</v>
      </c>
      <c r="Q17" s="486">
        <v>234</v>
      </c>
    </row>
    <row r="18" spans="1:17" ht="14.4" customHeight="1" x14ac:dyDescent="0.3">
      <c r="A18" s="447" t="s">
        <v>702</v>
      </c>
      <c r="B18" s="437" t="s">
        <v>654</v>
      </c>
      <c r="C18" s="437" t="s">
        <v>655</v>
      </c>
      <c r="D18" s="437" t="s">
        <v>660</v>
      </c>
      <c r="E18" s="437" t="s">
        <v>661</v>
      </c>
      <c r="F18" s="438">
        <v>2</v>
      </c>
      <c r="G18" s="438">
        <v>462</v>
      </c>
      <c r="H18" s="438">
        <v>1</v>
      </c>
      <c r="I18" s="438">
        <v>231</v>
      </c>
      <c r="J18" s="438"/>
      <c r="K18" s="438"/>
      <c r="L18" s="438"/>
      <c r="M18" s="438"/>
      <c r="N18" s="438">
        <v>1</v>
      </c>
      <c r="O18" s="438">
        <v>234</v>
      </c>
      <c r="P18" s="451">
        <v>0.50649350649350644</v>
      </c>
      <c r="Q18" s="486">
        <v>234</v>
      </c>
    </row>
    <row r="19" spans="1:17" ht="14.4" customHeight="1" x14ac:dyDescent="0.3">
      <c r="A19" s="447" t="s">
        <v>703</v>
      </c>
      <c r="B19" s="437" t="s">
        <v>654</v>
      </c>
      <c r="C19" s="437" t="s">
        <v>655</v>
      </c>
      <c r="D19" s="437" t="s">
        <v>660</v>
      </c>
      <c r="E19" s="437" t="s">
        <v>661</v>
      </c>
      <c r="F19" s="438"/>
      <c r="G19" s="438"/>
      <c r="H19" s="438"/>
      <c r="I19" s="438"/>
      <c r="J19" s="438"/>
      <c r="K19" s="438"/>
      <c r="L19" s="438"/>
      <c r="M19" s="438"/>
      <c r="N19" s="438">
        <v>1</v>
      </c>
      <c r="O19" s="438">
        <v>234</v>
      </c>
      <c r="P19" s="451"/>
      <c r="Q19" s="486">
        <v>234</v>
      </c>
    </row>
    <row r="20" spans="1:17" ht="14.4" customHeight="1" x14ac:dyDescent="0.3">
      <c r="A20" s="447" t="s">
        <v>704</v>
      </c>
      <c r="B20" s="437" t="s">
        <v>654</v>
      </c>
      <c r="C20" s="437" t="s">
        <v>655</v>
      </c>
      <c r="D20" s="437" t="s">
        <v>658</v>
      </c>
      <c r="E20" s="437" t="s">
        <v>659</v>
      </c>
      <c r="F20" s="438">
        <v>1</v>
      </c>
      <c r="G20" s="438">
        <v>34</v>
      </c>
      <c r="H20" s="438">
        <v>1</v>
      </c>
      <c r="I20" s="438">
        <v>34</v>
      </c>
      <c r="J20" s="438"/>
      <c r="K20" s="438"/>
      <c r="L20" s="438"/>
      <c r="M20" s="438"/>
      <c r="N20" s="438"/>
      <c r="O20" s="438"/>
      <c r="P20" s="451"/>
      <c r="Q20" s="486"/>
    </row>
    <row r="21" spans="1:17" ht="14.4" customHeight="1" x14ac:dyDescent="0.3">
      <c r="A21" s="447" t="s">
        <v>704</v>
      </c>
      <c r="B21" s="437" t="s">
        <v>654</v>
      </c>
      <c r="C21" s="437" t="s">
        <v>655</v>
      </c>
      <c r="D21" s="437" t="s">
        <v>660</v>
      </c>
      <c r="E21" s="437" t="s">
        <v>661</v>
      </c>
      <c r="F21" s="438">
        <v>6</v>
      </c>
      <c r="G21" s="438">
        <v>1386</v>
      </c>
      <c r="H21" s="438">
        <v>1</v>
      </c>
      <c r="I21" s="438">
        <v>231</v>
      </c>
      <c r="J21" s="438"/>
      <c r="K21" s="438"/>
      <c r="L21" s="438"/>
      <c r="M21" s="438"/>
      <c r="N21" s="438">
        <v>2</v>
      </c>
      <c r="O21" s="438">
        <v>468</v>
      </c>
      <c r="P21" s="451">
        <v>0.33766233766233766</v>
      </c>
      <c r="Q21" s="486">
        <v>234</v>
      </c>
    </row>
    <row r="22" spans="1:17" ht="14.4" customHeight="1" x14ac:dyDescent="0.3">
      <c r="A22" s="447" t="s">
        <v>705</v>
      </c>
      <c r="B22" s="437" t="s">
        <v>654</v>
      </c>
      <c r="C22" s="437" t="s">
        <v>655</v>
      </c>
      <c r="D22" s="437" t="s">
        <v>660</v>
      </c>
      <c r="E22" s="437" t="s">
        <v>661</v>
      </c>
      <c r="F22" s="438">
        <v>1</v>
      </c>
      <c r="G22" s="438">
        <v>231</v>
      </c>
      <c r="H22" s="438">
        <v>1</v>
      </c>
      <c r="I22" s="438">
        <v>231</v>
      </c>
      <c r="J22" s="438">
        <v>8</v>
      </c>
      <c r="K22" s="438">
        <v>1856</v>
      </c>
      <c r="L22" s="438">
        <v>8.0346320346320343</v>
      </c>
      <c r="M22" s="438">
        <v>232</v>
      </c>
      <c r="N22" s="438">
        <v>18</v>
      </c>
      <c r="O22" s="438">
        <v>4202</v>
      </c>
      <c r="P22" s="451">
        <v>18.19047619047619</v>
      </c>
      <c r="Q22" s="486">
        <v>233.44444444444446</v>
      </c>
    </row>
    <row r="23" spans="1:17" ht="14.4" customHeight="1" x14ac:dyDescent="0.3">
      <c r="A23" s="447" t="s">
        <v>706</v>
      </c>
      <c r="B23" s="437" t="s">
        <v>654</v>
      </c>
      <c r="C23" s="437" t="s">
        <v>655</v>
      </c>
      <c r="D23" s="437" t="s">
        <v>660</v>
      </c>
      <c r="E23" s="437" t="s">
        <v>661</v>
      </c>
      <c r="F23" s="438"/>
      <c r="G23" s="438"/>
      <c r="H23" s="438"/>
      <c r="I23" s="438"/>
      <c r="J23" s="438">
        <v>2</v>
      </c>
      <c r="K23" s="438">
        <v>464</v>
      </c>
      <c r="L23" s="438"/>
      <c r="M23" s="438">
        <v>232</v>
      </c>
      <c r="N23" s="438">
        <v>2</v>
      </c>
      <c r="O23" s="438">
        <v>468</v>
      </c>
      <c r="P23" s="451"/>
      <c r="Q23" s="486">
        <v>234</v>
      </c>
    </row>
    <row r="24" spans="1:17" ht="14.4" customHeight="1" x14ac:dyDescent="0.3">
      <c r="A24" s="447" t="s">
        <v>707</v>
      </c>
      <c r="B24" s="437" t="s">
        <v>654</v>
      </c>
      <c r="C24" s="437" t="s">
        <v>655</v>
      </c>
      <c r="D24" s="437" t="s">
        <v>660</v>
      </c>
      <c r="E24" s="437" t="s">
        <v>661</v>
      </c>
      <c r="F24" s="438">
        <v>7</v>
      </c>
      <c r="G24" s="438">
        <v>1617</v>
      </c>
      <c r="H24" s="438">
        <v>1</v>
      </c>
      <c r="I24" s="438">
        <v>231</v>
      </c>
      <c r="J24" s="438">
        <v>5</v>
      </c>
      <c r="K24" s="438">
        <v>1160</v>
      </c>
      <c r="L24" s="438">
        <v>0.71737786023500305</v>
      </c>
      <c r="M24" s="438">
        <v>232</v>
      </c>
      <c r="N24" s="438"/>
      <c r="O24" s="438"/>
      <c r="P24" s="451"/>
      <c r="Q24" s="486"/>
    </row>
    <row r="25" spans="1:17" ht="14.4" customHeight="1" x14ac:dyDescent="0.3">
      <c r="A25" s="447" t="s">
        <v>708</v>
      </c>
      <c r="B25" s="437" t="s">
        <v>654</v>
      </c>
      <c r="C25" s="437" t="s">
        <v>655</v>
      </c>
      <c r="D25" s="437" t="s">
        <v>660</v>
      </c>
      <c r="E25" s="437" t="s">
        <v>661</v>
      </c>
      <c r="F25" s="438">
        <v>2</v>
      </c>
      <c r="G25" s="438">
        <v>462</v>
      </c>
      <c r="H25" s="438">
        <v>1</v>
      </c>
      <c r="I25" s="438">
        <v>231</v>
      </c>
      <c r="J25" s="438"/>
      <c r="K25" s="438"/>
      <c r="L25" s="438"/>
      <c r="M25" s="438"/>
      <c r="N25" s="438">
        <v>2</v>
      </c>
      <c r="O25" s="438">
        <v>468</v>
      </c>
      <c r="P25" s="451">
        <v>1.0129870129870129</v>
      </c>
      <c r="Q25" s="486">
        <v>234</v>
      </c>
    </row>
    <row r="26" spans="1:17" ht="14.4" customHeight="1" x14ac:dyDescent="0.3">
      <c r="A26" s="447" t="s">
        <v>709</v>
      </c>
      <c r="B26" s="437" t="s">
        <v>654</v>
      </c>
      <c r="C26" s="437" t="s">
        <v>655</v>
      </c>
      <c r="D26" s="437" t="s">
        <v>660</v>
      </c>
      <c r="E26" s="437" t="s">
        <v>661</v>
      </c>
      <c r="F26" s="438">
        <v>1</v>
      </c>
      <c r="G26" s="438">
        <v>231</v>
      </c>
      <c r="H26" s="438">
        <v>1</v>
      </c>
      <c r="I26" s="438">
        <v>231</v>
      </c>
      <c r="J26" s="438">
        <v>1</v>
      </c>
      <c r="K26" s="438">
        <v>232</v>
      </c>
      <c r="L26" s="438">
        <v>1.0043290043290043</v>
      </c>
      <c r="M26" s="438">
        <v>232</v>
      </c>
      <c r="N26" s="438"/>
      <c r="O26" s="438"/>
      <c r="P26" s="451"/>
      <c r="Q26" s="486"/>
    </row>
    <row r="27" spans="1:17" ht="14.4" customHeight="1" thickBot="1" x14ac:dyDescent="0.35">
      <c r="A27" s="448" t="s">
        <v>710</v>
      </c>
      <c r="B27" s="440" t="s">
        <v>654</v>
      </c>
      <c r="C27" s="440" t="s">
        <v>655</v>
      </c>
      <c r="D27" s="440" t="s">
        <v>660</v>
      </c>
      <c r="E27" s="440" t="s">
        <v>661</v>
      </c>
      <c r="F27" s="441"/>
      <c r="G27" s="441"/>
      <c r="H27" s="441"/>
      <c r="I27" s="441"/>
      <c r="J27" s="441">
        <v>1</v>
      </c>
      <c r="K27" s="441">
        <v>232</v>
      </c>
      <c r="L27" s="441"/>
      <c r="M27" s="441">
        <v>232</v>
      </c>
      <c r="N27" s="441"/>
      <c r="O27" s="441"/>
      <c r="P27" s="453"/>
      <c r="Q27" s="48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4" t="s">
        <v>134</v>
      </c>
      <c r="B1" s="314"/>
      <c r="C1" s="314"/>
      <c r="D1" s="314"/>
      <c r="E1" s="314"/>
      <c r="F1" s="314"/>
      <c r="G1" s="315"/>
      <c r="H1" s="315"/>
    </row>
    <row r="2" spans="1:8" ht="14.4" customHeight="1" thickBot="1" x14ac:dyDescent="0.35">
      <c r="A2" s="235" t="s">
        <v>260</v>
      </c>
      <c r="B2" s="111"/>
      <c r="C2" s="111"/>
      <c r="D2" s="111"/>
      <c r="E2" s="111"/>
      <c r="F2" s="111"/>
    </row>
    <row r="3" spans="1:8" ht="14.4" customHeight="1" x14ac:dyDescent="0.3">
      <c r="A3" s="316"/>
      <c r="B3" s="107">
        <v>2012</v>
      </c>
      <c r="C3" s="40">
        <v>2013</v>
      </c>
      <c r="D3" s="7"/>
      <c r="E3" s="320">
        <v>2014</v>
      </c>
      <c r="F3" s="321"/>
      <c r="G3" s="321"/>
      <c r="H3" s="322"/>
    </row>
    <row r="4" spans="1:8" ht="14.4" customHeight="1" thickBot="1" x14ac:dyDescent="0.35">
      <c r="A4" s="317"/>
      <c r="B4" s="318" t="s">
        <v>72</v>
      </c>
      <c r="C4" s="319"/>
      <c r="D4" s="7"/>
      <c r="E4" s="128" t="s">
        <v>72</v>
      </c>
      <c r="F4" s="109" t="s">
        <v>73</v>
      </c>
      <c r="G4" s="109" t="s">
        <v>67</v>
      </c>
      <c r="H4" s="110" t="s">
        <v>74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69.584699999999998</v>
      </c>
      <c r="C6" s="31">
        <v>295.09154999999998</v>
      </c>
      <c r="D6" s="8"/>
      <c r="E6" s="118">
        <v>451.73370999999997</v>
      </c>
      <c r="F6" s="30">
        <v>444.81310161143398</v>
      </c>
      <c r="G6" s="119">
        <f>E6-F6</f>
        <v>6.920608388565995</v>
      </c>
      <c r="H6" s="123">
        <f>IF(F6&lt;0.00000001,"",E6/F6)</f>
        <v>1.0155584634613832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75</v>
      </c>
      <c r="B8" s="11">
        <v>27.349310000000017</v>
      </c>
      <c r="C8" s="33">
        <v>335.43186000000014</v>
      </c>
      <c r="D8" s="8"/>
      <c r="E8" s="120">
        <v>26.733110000000124</v>
      </c>
      <c r="F8" s="32">
        <v>25.328690834998042</v>
      </c>
      <c r="G8" s="121">
        <f>E8-F8</f>
        <v>1.4044191650020821</v>
      </c>
      <c r="H8" s="124">
        <f>IF(F8&lt;0.00000001,"",E8/F8)</f>
        <v>1.0554477597816274</v>
      </c>
    </row>
    <row r="9" spans="1:8" ht="14.4" customHeight="1" thickBot="1" x14ac:dyDescent="0.35">
      <c r="A9" s="2" t="s">
        <v>76</v>
      </c>
      <c r="B9" s="3">
        <v>96.934010000000015</v>
      </c>
      <c r="C9" s="35">
        <v>630.52341000000013</v>
      </c>
      <c r="D9" s="8"/>
      <c r="E9" s="3">
        <v>478.4668200000001</v>
      </c>
      <c r="F9" s="34">
        <v>470.14179244643202</v>
      </c>
      <c r="G9" s="34">
        <f>E9-F9</f>
        <v>8.3250275535680771</v>
      </c>
      <c r="H9" s="125">
        <f>IF(F9&lt;0.00000001,"",E9/F9)</f>
        <v>1.017707482481504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737.26300000000003</v>
      </c>
      <c r="C11" s="29">
        <f>IF(ISERROR(VLOOKUP("Celkem:",'ZV Vykáz.-A'!A:F,4,0)),0,VLOOKUP("Celkem:",'ZV Vykáz.-A'!A:F,4,0)/1000)</f>
        <v>864.01900000000001</v>
      </c>
      <c r="D11" s="8"/>
      <c r="E11" s="117">
        <f>IF(ISERROR(VLOOKUP("Celkem:",'ZV Vykáz.-A'!A:F,6,0)),0,VLOOKUP("Celkem:",'ZV Vykáz.-A'!A:F,6,0)/1000)</f>
        <v>1473.6279999999999</v>
      </c>
      <c r="F11" s="28">
        <f>B11</f>
        <v>737.26300000000003</v>
      </c>
      <c r="G11" s="116">
        <f>E11-F11</f>
        <v>736.3649999999999</v>
      </c>
      <c r="H11" s="122">
        <f>IF(F11&lt;0.00000001,"",E11/F11)</f>
        <v>1.9987819814638736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79</v>
      </c>
      <c r="B13" s="5">
        <f>SUM(B11:B12)</f>
        <v>737.26300000000003</v>
      </c>
      <c r="C13" s="37">
        <f>SUM(C11:C12)</f>
        <v>864.01900000000001</v>
      </c>
      <c r="D13" s="8"/>
      <c r="E13" s="5">
        <f>SUM(E11:E12)</f>
        <v>1473.6279999999999</v>
      </c>
      <c r="F13" s="36">
        <f>SUM(F11:F12)</f>
        <v>737.26300000000003</v>
      </c>
      <c r="G13" s="36">
        <f>E13-F13</f>
        <v>736.3649999999999</v>
      </c>
      <c r="H13" s="126">
        <f>IF(F13&lt;0.00000001,"",E13/F13)</f>
        <v>1.9987819814638736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7.6058237970347031</v>
      </c>
      <c r="C15" s="39">
        <f>IF(C9=0,"",C13/C9)</f>
        <v>1.3703202550401734</v>
      </c>
      <c r="D15" s="8"/>
      <c r="E15" s="6">
        <f>IF(E9=0,"",E13/E9)</f>
        <v>3.0798959058435851</v>
      </c>
      <c r="F15" s="38">
        <f>IF(F9=0,"",F13/F9)</f>
        <v>1.5681715853499747</v>
      </c>
      <c r="G15" s="38">
        <f>IF(ISERROR(F15-E15),"",E15-F15)</f>
        <v>1.5117243204936104</v>
      </c>
      <c r="H15" s="127">
        <f>IF(ISERROR(F15-E15),"",IF(F15&lt;0.00000001,"",E15/F15))</f>
        <v>1.964004407818825</v>
      </c>
    </row>
    <row r="17" spans="1:8" ht="14.4" customHeight="1" x14ac:dyDescent="0.3">
      <c r="A17" s="113" t="s">
        <v>154</v>
      </c>
    </row>
    <row r="18" spans="1:8" ht="14.4" customHeight="1" x14ac:dyDescent="0.3">
      <c r="A18" s="288" t="s">
        <v>214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213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257</v>
      </c>
    </row>
    <row r="21" spans="1:8" ht="14.4" customHeight="1" x14ac:dyDescent="0.3">
      <c r="A21" s="114" t="s">
        <v>155</v>
      </c>
    </row>
    <row r="22" spans="1:8" ht="14.4" customHeight="1" x14ac:dyDescent="0.3">
      <c r="A22" s="115" t="s">
        <v>156</v>
      </c>
    </row>
    <row r="23" spans="1:8" ht="14.4" customHeight="1" x14ac:dyDescent="0.3">
      <c r="A23" s="115" t="s">
        <v>157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4" t="s">
        <v>104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ht="14.4" customHeight="1" x14ac:dyDescent="0.3">
      <c r="A2" s="235" t="s">
        <v>260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81</v>
      </c>
      <c r="C3" s="201" t="s">
        <v>82</v>
      </c>
      <c r="D3" s="201" t="s">
        <v>83</v>
      </c>
      <c r="E3" s="200" t="s">
        <v>84</v>
      </c>
      <c r="F3" s="201" t="s">
        <v>85</v>
      </c>
      <c r="G3" s="201" t="s">
        <v>86</v>
      </c>
      <c r="H3" s="201" t="s">
        <v>87</v>
      </c>
      <c r="I3" s="201" t="s">
        <v>88</v>
      </c>
      <c r="J3" s="201" t="s">
        <v>89</v>
      </c>
      <c r="K3" s="201" t="s">
        <v>90</v>
      </c>
      <c r="L3" s="201" t="s">
        <v>91</v>
      </c>
      <c r="M3" s="201" t="s">
        <v>92</v>
      </c>
    </row>
    <row r="4" spans="1:13" ht="14.4" customHeight="1" x14ac:dyDescent="0.3">
      <c r="A4" s="199" t="s">
        <v>80</v>
      </c>
      <c r="B4" s="202">
        <f>(B10+B8)/B6</f>
        <v>2.6957118229579042</v>
      </c>
      <c r="C4" s="202">
        <f t="shared" ref="C4:M4" si="0">(C10+C8)/C6</f>
        <v>3.1075004313637993</v>
      </c>
      <c r="D4" s="202">
        <f t="shared" si="0"/>
        <v>2.9992676245124694</v>
      </c>
      <c r="E4" s="202">
        <f t="shared" si="0"/>
        <v>3.1247901196023298</v>
      </c>
      <c r="F4" s="202">
        <f t="shared" si="0"/>
        <v>3.1992541470153908</v>
      </c>
      <c r="G4" s="202">
        <f t="shared" si="0"/>
        <v>2.7995271683091092</v>
      </c>
      <c r="H4" s="202">
        <f t="shared" si="0"/>
        <v>2.9782492139645824</v>
      </c>
      <c r="I4" s="202">
        <f t="shared" si="0"/>
        <v>3.0419051565450612</v>
      </c>
      <c r="J4" s="202">
        <f t="shared" si="0"/>
        <v>3.1422924652101156</v>
      </c>
      <c r="K4" s="202">
        <f t="shared" si="0"/>
        <v>3.1856133417825361</v>
      </c>
      <c r="L4" s="202">
        <f t="shared" si="0"/>
        <v>3.3351116825989791</v>
      </c>
      <c r="M4" s="202">
        <f t="shared" si="0"/>
        <v>3.0798959058435855</v>
      </c>
    </row>
    <row r="5" spans="1:13" ht="14.4" customHeight="1" x14ac:dyDescent="0.3">
      <c r="A5" s="203" t="s">
        <v>52</v>
      </c>
      <c r="B5" s="202">
        <f>IF(ISERROR(VLOOKUP($A5,'Man Tab'!$A:$Q,COLUMN()+2,0)),0,VLOOKUP($A5,'Man Tab'!$A:$Q,COLUMN()+2,0))</f>
        <v>41.022559999999999</v>
      </c>
      <c r="C5" s="202">
        <f>IF(ISERROR(VLOOKUP($A5,'Man Tab'!$A:$Q,COLUMN()+2,0)),0,VLOOKUP($A5,'Man Tab'!$A:$Q,COLUMN()+2,0))</f>
        <v>33.334629999999997</v>
      </c>
      <c r="D5" s="202">
        <f>IF(ISERROR(VLOOKUP($A5,'Man Tab'!$A:$Q,COLUMN()+2,0)),0,VLOOKUP($A5,'Man Tab'!$A:$Q,COLUMN()+2,0))</f>
        <v>41.430410000000002</v>
      </c>
      <c r="E5" s="202">
        <f>IF(ISERROR(VLOOKUP($A5,'Man Tab'!$A:$Q,COLUMN()+2,0)),0,VLOOKUP($A5,'Man Tab'!$A:$Q,COLUMN()+2,0))</f>
        <v>38.466920000000002</v>
      </c>
      <c r="F5" s="202">
        <f>IF(ISERROR(VLOOKUP($A5,'Man Tab'!$A:$Q,COLUMN()+2,0)),0,VLOOKUP($A5,'Man Tab'!$A:$Q,COLUMN()+2,0))</f>
        <v>41.633949999999999</v>
      </c>
      <c r="G5" s="202">
        <f>IF(ISERROR(VLOOKUP($A5,'Man Tab'!$A:$Q,COLUMN()+2,0)),0,VLOOKUP($A5,'Man Tab'!$A:$Q,COLUMN()+2,0))</f>
        <v>75.979939999999999</v>
      </c>
      <c r="H5" s="202">
        <f>IF(ISERROR(VLOOKUP($A5,'Man Tab'!$A:$Q,COLUMN()+2,0)),0,VLOOKUP($A5,'Man Tab'!$A:$Q,COLUMN()+2,0))</f>
        <v>27.427900000000001</v>
      </c>
      <c r="I5" s="202">
        <f>IF(ISERROR(VLOOKUP($A5,'Man Tab'!$A:$Q,COLUMN()+2,0)),0,VLOOKUP($A5,'Man Tab'!$A:$Q,COLUMN()+2,0))</f>
        <v>29.538399999999999</v>
      </c>
      <c r="J5" s="202">
        <f>IF(ISERROR(VLOOKUP($A5,'Man Tab'!$A:$Q,COLUMN()+2,0)),0,VLOOKUP($A5,'Man Tab'!$A:$Q,COLUMN()+2,0))</f>
        <v>20.269649999999999</v>
      </c>
      <c r="K5" s="202">
        <f>IF(ISERROR(VLOOKUP($A5,'Man Tab'!$A:$Q,COLUMN()+2,0)),0,VLOOKUP($A5,'Man Tab'!$A:$Q,COLUMN()+2,0))</f>
        <v>30.86046</v>
      </c>
      <c r="L5" s="202">
        <f>IF(ISERROR(VLOOKUP($A5,'Man Tab'!$A:$Q,COLUMN()+2,0)),0,VLOOKUP($A5,'Man Tab'!$A:$Q,COLUMN()+2,0))</f>
        <v>23.255559999999999</v>
      </c>
      <c r="M5" s="202">
        <f>IF(ISERROR(VLOOKUP($A5,'Man Tab'!$A:$Q,COLUMN()+2,0)),0,VLOOKUP($A5,'Man Tab'!$A:$Q,COLUMN()+2,0))</f>
        <v>75.246440000000007</v>
      </c>
    </row>
    <row r="6" spans="1:13" ht="14.4" customHeight="1" x14ac:dyDescent="0.3">
      <c r="A6" s="203" t="s">
        <v>76</v>
      </c>
      <c r="B6" s="204">
        <f>B5</f>
        <v>41.022559999999999</v>
      </c>
      <c r="C6" s="204">
        <f t="shared" ref="C6:M6" si="1">C5+B6</f>
        <v>74.357190000000003</v>
      </c>
      <c r="D6" s="204">
        <f t="shared" si="1"/>
        <v>115.7876</v>
      </c>
      <c r="E6" s="204">
        <f t="shared" si="1"/>
        <v>154.25452000000001</v>
      </c>
      <c r="F6" s="204">
        <f t="shared" si="1"/>
        <v>195.88847000000001</v>
      </c>
      <c r="G6" s="204">
        <f t="shared" si="1"/>
        <v>271.86841000000004</v>
      </c>
      <c r="H6" s="204">
        <f t="shared" si="1"/>
        <v>299.29631000000006</v>
      </c>
      <c r="I6" s="204">
        <f t="shared" si="1"/>
        <v>328.83471000000009</v>
      </c>
      <c r="J6" s="204">
        <f t="shared" si="1"/>
        <v>349.1043600000001</v>
      </c>
      <c r="K6" s="204">
        <f t="shared" si="1"/>
        <v>379.96482000000009</v>
      </c>
      <c r="L6" s="204">
        <f t="shared" si="1"/>
        <v>403.22038000000009</v>
      </c>
      <c r="M6" s="204">
        <f t="shared" si="1"/>
        <v>478.4668200000001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77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110585</v>
      </c>
      <c r="C9" s="203">
        <v>120480</v>
      </c>
      <c r="D9" s="203">
        <v>116213</v>
      </c>
      <c r="E9" s="203">
        <v>134735</v>
      </c>
      <c r="F9" s="203">
        <v>144684</v>
      </c>
      <c r="G9" s="203">
        <v>134406</v>
      </c>
      <c r="H9" s="203">
        <v>130276</v>
      </c>
      <c r="I9" s="203">
        <v>108905</v>
      </c>
      <c r="J9" s="203">
        <v>96704</v>
      </c>
      <c r="K9" s="203">
        <v>113433</v>
      </c>
      <c r="L9" s="203">
        <v>134364</v>
      </c>
      <c r="M9" s="203">
        <v>128843</v>
      </c>
    </row>
    <row r="10" spans="1:13" ht="14.4" customHeight="1" x14ac:dyDescent="0.3">
      <c r="A10" s="203" t="s">
        <v>78</v>
      </c>
      <c r="B10" s="204">
        <f>B9/1000</f>
        <v>110.58499999999999</v>
      </c>
      <c r="C10" s="204">
        <f t="shared" ref="C10:M10" si="3">C9/1000+B10</f>
        <v>231.065</v>
      </c>
      <c r="D10" s="204">
        <f t="shared" si="3"/>
        <v>347.27800000000002</v>
      </c>
      <c r="E10" s="204">
        <f t="shared" si="3"/>
        <v>482.01300000000003</v>
      </c>
      <c r="F10" s="204">
        <f t="shared" si="3"/>
        <v>626.697</v>
      </c>
      <c r="G10" s="204">
        <f t="shared" si="3"/>
        <v>761.10300000000007</v>
      </c>
      <c r="H10" s="204">
        <f t="shared" si="3"/>
        <v>891.37900000000013</v>
      </c>
      <c r="I10" s="204">
        <f t="shared" si="3"/>
        <v>1000.2840000000001</v>
      </c>
      <c r="J10" s="204">
        <f t="shared" si="3"/>
        <v>1096.9880000000001</v>
      </c>
      <c r="K10" s="204">
        <f t="shared" si="3"/>
        <v>1210.421</v>
      </c>
      <c r="L10" s="204">
        <f t="shared" si="3"/>
        <v>1344.7850000000001</v>
      </c>
      <c r="M10" s="204">
        <f t="shared" si="3"/>
        <v>1473.6280000000002</v>
      </c>
    </row>
    <row r="11" spans="1:13" ht="14.4" customHeight="1" x14ac:dyDescent="0.3">
      <c r="A11" s="199"/>
      <c r="B11" s="199" t="s">
        <v>93</v>
      </c>
      <c r="C11" s="199">
        <f ca="1">IF(MONTH(TODAY())=1,12,MONTH(TODAY())-1)</f>
        <v>12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1.5681715853499747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1.5681715853499747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23" t="s">
        <v>262</v>
      </c>
      <c r="B1" s="323"/>
      <c r="C1" s="323"/>
      <c r="D1" s="323"/>
      <c r="E1" s="323"/>
      <c r="F1" s="323"/>
      <c r="G1" s="323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s="205" customFormat="1" ht="14.4" customHeight="1" thickBot="1" x14ac:dyDescent="0.3">
      <c r="A2" s="235" t="s">
        <v>260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24" t="s">
        <v>28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138"/>
      <c r="Q3" s="140"/>
    </row>
    <row r="4" spans="1:17" ht="14.4" customHeight="1" x14ac:dyDescent="0.3">
      <c r="A4" s="77"/>
      <c r="B4" s="20">
        <v>2014</v>
      </c>
      <c r="C4" s="139" t="s">
        <v>29</v>
      </c>
      <c r="D4" s="129" t="s">
        <v>158</v>
      </c>
      <c r="E4" s="129" t="s">
        <v>159</v>
      </c>
      <c r="F4" s="129" t="s">
        <v>160</v>
      </c>
      <c r="G4" s="129" t="s">
        <v>161</v>
      </c>
      <c r="H4" s="129" t="s">
        <v>162</v>
      </c>
      <c r="I4" s="129" t="s">
        <v>163</v>
      </c>
      <c r="J4" s="129" t="s">
        <v>164</v>
      </c>
      <c r="K4" s="129" t="s">
        <v>165</v>
      </c>
      <c r="L4" s="129" t="s">
        <v>166</v>
      </c>
      <c r="M4" s="129" t="s">
        <v>167</v>
      </c>
      <c r="N4" s="129" t="s">
        <v>168</v>
      </c>
      <c r="O4" s="129" t="s">
        <v>169</v>
      </c>
      <c r="P4" s="326" t="s">
        <v>3</v>
      </c>
      <c r="Q4" s="327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261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261</v>
      </c>
    </row>
    <row r="9" spans="1:17" ht="14.4" customHeight="1" x14ac:dyDescent="0.3">
      <c r="A9" s="15" t="s">
        <v>36</v>
      </c>
      <c r="B9" s="51">
        <v>444.81310161143398</v>
      </c>
      <c r="C9" s="52">
        <v>37.067758467619001</v>
      </c>
      <c r="D9" s="52">
        <v>38.325699999999998</v>
      </c>
      <c r="E9" s="52">
        <v>30.810030000000001</v>
      </c>
      <c r="F9" s="52">
        <v>38.677720000000001</v>
      </c>
      <c r="G9" s="52">
        <v>36.784289999999999</v>
      </c>
      <c r="H9" s="52">
        <v>40.630949999999999</v>
      </c>
      <c r="I9" s="52">
        <v>74.881320000000002</v>
      </c>
      <c r="J9" s="52">
        <v>16.68093</v>
      </c>
      <c r="K9" s="52">
        <v>28.950399999999998</v>
      </c>
      <c r="L9" s="52">
        <v>24.059660000000001</v>
      </c>
      <c r="M9" s="52">
        <v>28.788709999999998</v>
      </c>
      <c r="N9" s="52">
        <v>21.129729999999999</v>
      </c>
      <c r="O9" s="52">
        <v>72.014269999999996</v>
      </c>
      <c r="P9" s="53">
        <v>451.73370999999997</v>
      </c>
      <c r="Q9" s="95">
        <v>1.015558463461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261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261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261</v>
      </c>
    </row>
    <row r="13" spans="1:17" ht="14.4" customHeight="1" x14ac:dyDescent="0.3">
      <c r="A13" s="15" t="s">
        <v>40</v>
      </c>
      <c r="B13" s="51">
        <v>6.9999611650729996</v>
      </c>
      <c r="C13" s="52">
        <v>0.58333009708899997</v>
      </c>
      <c r="D13" s="52">
        <v>0.12886</v>
      </c>
      <c r="E13" s="52">
        <v>0.3866</v>
      </c>
      <c r="F13" s="52">
        <v>0.85319</v>
      </c>
      <c r="G13" s="52">
        <v>0.38662999999999997</v>
      </c>
      <c r="H13" s="52">
        <v>0</v>
      </c>
      <c r="I13" s="52">
        <v>0.38662000000000002</v>
      </c>
      <c r="J13" s="52">
        <v>0</v>
      </c>
      <c r="K13" s="52">
        <v>0</v>
      </c>
      <c r="L13" s="52">
        <v>0</v>
      </c>
      <c r="M13" s="52">
        <v>0.63797000000000004</v>
      </c>
      <c r="N13" s="52">
        <v>0.17183000000000001</v>
      </c>
      <c r="O13" s="52">
        <v>0.64017000000000002</v>
      </c>
      <c r="P13" s="53">
        <v>3.5918700000000001</v>
      </c>
      <c r="Q13" s="95">
        <v>0.51312713246399999</v>
      </c>
    </row>
    <row r="14" spans="1:17" ht="14.4" customHeight="1" x14ac:dyDescent="0.3">
      <c r="A14" s="15" t="s">
        <v>41</v>
      </c>
      <c r="B14" s="51">
        <v>18.328729669924002</v>
      </c>
      <c r="C14" s="52">
        <v>1.5273941391600001</v>
      </c>
      <c r="D14" s="52">
        <v>2.5680000000000001</v>
      </c>
      <c r="E14" s="52">
        <v>2.1379999999999999</v>
      </c>
      <c r="F14" s="52">
        <v>1.796</v>
      </c>
      <c r="G14" s="52">
        <v>1.296</v>
      </c>
      <c r="H14" s="52">
        <v>1.0029999999999999</v>
      </c>
      <c r="I14" s="52">
        <v>0.60899999999999999</v>
      </c>
      <c r="J14" s="52">
        <v>0.54700000000000004</v>
      </c>
      <c r="K14" s="52">
        <v>0.58799999999999997</v>
      </c>
      <c r="L14" s="52">
        <v>0.68600000000000005</v>
      </c>
      <c r="M14" s="52">
        <v>1.4339999999999999</v>
      </c>
      <c r="N14" s="52">
        <v>1.85</v>
      </c>
      <c r="O14" s="52">
        <v>2.488</v>
      </c>
      <c r="P14" s="53">
        <v>17.003</v>
      </c>
      <c r="Q14" s="95">
        <v>0.92766930966799999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261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261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261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261</v>
      </c>
    </row>
    <row r="19" spans="1:17" ht="14.4" customHeight="1" x14ac:dyDescent="0.3">
      <c r="A19" s="15" t="s">
        <v>46</v>
      </c>
      <c r="B19" s="51">
        <v>0</v>
      </c>
      <c r="C19" s="52">
        <v>0</v>
      </c>
      <c r="D19" s="52">
        <v>0</v>
      </c>
      <c r="E19" s="52">
        <v>0</v>
      </c>
      <c r="F19" s="52">
        <v>0.10299999999999999</v>
      </c>
      <c r="G19" s="52">
        <v>0</v>
      </c>
      <c r="H19" s="52">
        <v>0</v>
      </c>
      <c r="I19" s="52">
        <v>0.10299999999999999</v>
      </c>
      <c r="J19" s="52">
        <v>1.99197</v>
      </c>
      <c r="K19" s="52">
        <v>0</v>
      </c>
      <c r="L19" s="52">
        <v>0</v>
      </c>
      <c r="M19" s="52">
        <v>0</v>
      </c>
      <c r="N19" s="52">
        <v>0.104</v>
      </c>
      <c r="O19" s="52">
        <v>0.104</v>
      </c>
      <c r="P19" s="53">
        <v>2.4059699999999999</v>
      </c>
      <c r="Q19" s="95" t="s">
        <v>261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261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261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261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261</v>
      </c>
    </row>
    <row r="24" spans="1:17" ht="14.4" customHeight="1" x14ac:dyDescent="0.3">
      <c r="A24" s="16" t="s">
        <v>51</v>
      </c>
      <c r="B24" s="51">
        <v>0</v>
      </c>
      <c r="C24" s="52">
        <v>0</v>
      </c>
      <c r="D24" s="52">
        <v>0</v>
      </c>
      <c r="E24" s="52">
        <v>0</v>
      </c>
      <c r="F24" s="52">
        <v>5.0000000000000001E-4</v>
      </c>
      <c r="G24" s="52">
        <v>0</v>
      </c>
      <c r="H24" s="52">
        <v>0</v>
      </c>
      <c r="I24" s="52">
        <v>0</v>
      </c>
      <c r="J24" s="52">
        <v>8.2080000000000002</v>
      </c>
      <c r="K24" s="52">
        <v>0</v>
      </c>
      <c r="L24" s="52">
        <v>-4.4760099999999996</v>
      </c>
      <c r="M24" s="52">
        <v>-2.2000000000000001E-4</v>
      </c>
      <c r="N24" s="52">
        <v>0</v>
      </c>
      <c r="O24" s="52">
        <v>0</v>
      </c>
      <c r="P24" s="53">
        <v>3.7322700000000002</v>
      </c>
      <c r="Q24" s="95"/>
    </row>
    <row r="25" spans="1:17" ht="14.4" customHeight="1" x14ac:dyDescent="0.3">
      <c r="A25" s="17" t="s">
        <v>52</v>
      </c>
      <c r="B25" s="54">
        <v>470.14179244643202</v>
      </c>
      <c r="C25" s="55">
        <v>39.178482703869001</v>
      </c>
      <c r="D25" s="55">
        <v>41.022559999999999</v>
      </c>
      <c r="E25" s="55">
        <v>33.334629999999997</v>
      </c>
      <c r="F25" s="55">
        <v>41.430410000000002</v>
      </c>
      <c r="G25" s="55">
        <v>38.466920000000002</v>
      </c>
      <c r="H25" s="55">
        <v>41.633949999999999</v>
      </c>
      <c r="I25" s="55">
        <v>75.979939999999999</v>
      </c>
      <c r="J25" s="55">
        <v>27.427900000000001</v>
      </c>
      <c r="K25" s="55">
        <v>29.538399999999999</v>
      </c>
      <c r="L25" s="55">
        <v>20.269649999999999</v>
      </c>
      <c r="M25" s="55">
        <v>30.86046</v>
      </c>
      <c r="N25" s="55">
        <v>23.255559999999999</v>
      </c>
      <c r="O25" s="55">
        <v>75.246440000000007</v>
      </c>
      <c r="P25" s="56">
        <v>478.46681999999998</v>
      </c>
      <c r="Q25" s="96">
        <v>1.017707482481</v>
      </c>
    </row>
    <row r="26" spans="1:17" ht="14.4" customHeight="1" x14ac:dyDescent="0.3">
      <c r="A26" s="15" t="s">
        <v>53</v>
      </c>
      <c r="B26" s="51">
        <v>43</v>
      </c>
      <c r="C26" s="52">
        <v>3.583333333333</v>
      </c>
      <c r="D26" s="52">
        <v>2.7924500000000001</v>
      </c>
      <c r="E26" s="52">
        <v>1.87652</v>
      </c>
      <c r="F26" s="52">
        <v>2.4277899999999999</v>
      </c>
      <c r="G26" s="52">
        <v>3.0412599999999999</v>
      </c>
      <c r="H26" s="52">
        <v>2.8412199999999999</v>
      </c>
      <c r="I26" s="52">
        <v>2.6600299999999999</v>
      </c>
      <c r="J26" s="52">
        <v>6.2210000000000001</v>
      </c>
      <c r="K26" s="52">
        <v>2.8156300000000001</v>
      </c>
      <c r="L26" s="52">
        <v>2.5790799999999998</v>
      </c>
      <c r="M26" s="52">
        <v>3.0734300000000001</v>
      </c>
      <c r="N26" s="52">
        <v>3.0309900000000001</v>
      </c>
      <c r="O26" s="52">
        <v>4.5402500000000003</v>
      </c>
      <c r="P26" s="53">
        <v>37.899650000000001</v>
      </c>
      <c r="Q26" s="95">
        <v>0.88138720930199999</v>
      </c>
    </row>
    <row r="27" spans="1:17" ht="14.4" customHeight="1" x14ac:dyDescent="0.3">
      <c r="A27" s="18" t="s">
        <v>54</v>
      </c>
      <c r="B27" s="54">
        <v>513.14179244643196</v>
      </c>
      <c r="C27" s="55">
        <v>42.761816037202003</v>
      </c>
      <c r="D27" s="55">
        <v>43.815010000000001</v>
      </c>
      <c r="E27" s="55">
        <v>35.211150000000004</v>
      </c>
      <c r="F27" s="55">
        <v>43.858199999999997</v>
      </c>
      <c r="G27" s="55">
        <v>41.508180000000003</v>
      </c>
      <c r="H27" s="55">
        <v>44.475169999999999</v>
      </c>
      <c r="I27" s="55">
        <v>78.639970000000005</v>
      </c>
      <c r="J27" s="55">
        <v>33.648899999999998</v>
      </c>
      <c r="K27" s="55">
        <v>32.354030000000002</v>
      </c>
      <c r="L27" s="55">
        <v>22.84873</v>
      </c>
      <c r="M27" s="55">
        <v>33.933889999999998</v>
      </c>
      <c r="N27" s="55">
        <v>26.286549999999998</v>
      </c>
      <c r="O27" s="55">
        <v>79.786689999999993</v>
      </c>
      <c r="P27" s="56">
        <v>516.36647000000005</v>
      </c>
      <c r="Q27" s="96">
        <v>1.0062841842170001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0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154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178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3" t="s">
        <v>60</v>
      </c>
      <c r="B1" s="323"/>
      <c r="C1" s="323"/>
      <c r="D1" s="323"/>
      <c r="E1" s="323"/>
      <c r="F1" s="323"/>
      <c r="G1" s="323"/>
      <c r="H1" s="328"/>
      <c r="I1" s="328"/>
      <c r="J1" s="328"/>
      <c r="K1" s="328"/>
    </row>
    <row r="2" spans="1:11" s="60" customFormat="1" ht="14.4" customHeight="1" thickBot="1" x14ac:dyDescent="0.35">
      <c r="A2" s="235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4" t="s">
        <v>61</v>
      </c>
      <c r="C3" s="325"/>
      <c r="D3" s="325"/>
      <c r="E3" s="325"/>
      <c r="F3" s="331" t="s">
        <v>62</v>
      </c>
      <c r="G3" s="325"/>
      <c r="H3" s="325"/>
      <c r="I3" s="325"/>
      <c r="J3" s="325"/>
      <c r="K3" s="332"/>
    </row>
    <row r="4" spans="1:11" ht="14.4" customHeight="1" x14ac:dyDescent="0.3">
      <c r="A4" s="77"/>
      <c r="B4" s="329"/>
      <c r="C4" s="330"/>
      <c r="D4" s="330"/>
      <c r="E4" s="330"/>
      <c r="F4" s="333" t="s">
        <v>174</v>
      </c>
      <c r="G4" s="335" t="s">
        <v>63</v>
      </c>
      <c r="H4" s="141" t="s">
        <v>138</v>
      </c>
      <c r="I4" s="333" t="s">
        <v>64</v>
      </c>
      <c r="J4" s="335" t="s">
        <v>176</v>
      </c>
      <c r="K4" s="336" t="s">
        <v>177</v>
      </c>
    </row>
    <row r="5" spans="1:11" ht="42" thickBot="1" x14ac:dyDescent="0.35">
      <c r="A5" s="78"/>
      <c r="B5" s="24" t="s">
        <v>170</v>
      </c>
      <c r="C5" s="25" t="s">
        <v>171</v>
      </c>
      <c r="D5" s="26" t="s">
        <v>172</v>
      </c>
      <c r="E5" s="26" t="s">
        <v>173</v>
      </c>
      <c r="F5" s="334"/>
      <c r="G5" s="334"/>
      <c r="H5" s="25" t="s">
        <v>175</v>
      </c>
      <c r="I5" s="334"/>
      <c r="J5" s="334"/>
      <c r="K5" s="337"/>
    </row>
    <row r="6" spans="1:11" ht="14.4" customHeight="1" thickBot="1" x14ac:dyDescent="0.35">
      <c r="A6" s="414" t="s">
        <v>263</v>
      </c>
      <c r="B6" s="398">
        <v>0</v>
      </c>
      <c r="C6" s="398">
        <v>0</v>
      </c>
      <c r="D6" s="399">
        <v>0</v>
      </c>
      <c r="E6" s="400">
        <v>1</v>
      </c>
      <c r="F6" s="398">
        <v>470.14179244643202</v>
      </c>
      <c r="G6" s="399">
        <v>470.14179244643202</v>
      </c>
      <c r="H6" s="401">
        <v>75.246440000000007</v>
      </c>
      <c r="I6" s="398">
        <v>478.46681999999998</v>
      </c>
      <c r="J6" s="399">
        <v>8.3250275535680007</v>
      </c>
      <c r="K6" s="402">
        <v>1.017707482481</v>
      </c>
    </row>
    <row r="7" spans="1:11" ht="14.4" customHeight="1" thickBot="1" x14ac:dyDescent="0.35">
      <c r="A7" s="415" t="s">
        <v>264</v>
      </c>
      <c r="B7" s="398">
        <v>0</v>
      </c>
      <c r="C7" s="398">
        <v>0</v>
      </c>
      <c r="D7" s="399">
        <v>0</v>
      </c>
      <c r="E7" s="400">
        <v>1</v>
      </c>
      <c r="F7" s="398">
        <v>470.14179244643202</v>
      </c>
      <c r="G7" s="399">
        <v>470.14179244643202</v>
      </c>
      <c r="H7" s="401">
        <v>75.142439999999993</v>
      </c>
      <c r="I7" s="398">
        <v>472.32886000000002</v>
      </c>
      <c r="J7" s="399">
        <v>2.1870675535680002</v>
      </c>
      <c r="K7" s="402">
        <v>1.004651931797</v>
      </c>
    </row>
    <row r="8" spans="1:11" ht="14.4" customHeight="1" thickBot="1" x14ac:dyDescent="0.35">
      <c r="A8" s="416" t="s">
        <v>265</v>
      </c>
      <c r="B8" s="398">
        <v>0</v>
      </c>
      <c r="C8" s="398">
        <v>0</v>
      </c>
      <c r="D8" s="399">
        <v>0</v>
      </c>
      <c r="E8" s="400">
        <v>1</v>
      </c>
      <c r="F8" s="398">
        <v>451.81306277650702</v>
      </c>
      <c r="G8" s="399">
        <v>451.81306277650702</v>
      </c>
      <c r="H8" s="401">
        <v>72.654439999999994</v>
      </c>
      <c r="I8" s="398">
        <v>455.32585999999998</v>
      </c>
      <c r="J8" s="399">
        <v>3.5127972234930001</v>
      </c>
      <c r="K8" s="402">
        <v>1.007774890796</v>
      </c>
    </row>
    <row r="9" spans="1:11" ht="14.4" customHeight="1" thickBot="1" x14ac:dyDescent="0.35">
      <c r="A9" s="417" t="s">
        <v>266</v>
      </c>
      <c r="B9" s="403">
        <v>0</v>
      </c>
      <c r="C9" s="403">
        <v>0</v>
      </c>
      <c r="D9" s="404">
        <v>0</v>
      </c>
      <c r="E9" s="405">
        <v>1</v>
      </c>
      <c r="F9" s="403">
        <v>0</v>
      </c>
      <c r="G9" s="404">
        <v>0</v>
      </c>
      <c r="H9" s="406">
        <v>0</v>
      </c>
      <c r="I9" s="403">
        <v>2.7999999999999998E-4</v>
      </c>
      <c r="J9" s="404">
        <v>2.7999999999999998E-4</v>
      </c>
      <c r="K9" s="407" t="s">
        <v>267</v>
      </c>
    </row>
    <row r="10" spans="1:11" ht="14.4" customHeight="1" thickBot="1" x14ac:dyDescent="0.35">
      <c r="A10" s="418" t="s">
        <v>268</v>
      </c>
      <c r="B10" s="398">
        <v>0</v>
      </c>
      <c r="C10" s="398">
        <v>0</v>
      </c>
      <c r="D10" s="399">
        <v>0</v>
      </c>
      <c r="E10" s="400">
        <v>1</v>
      </c>
      <c r="F10" s="398">
        <v>0</v>
      </c>
      <c r="G10" s="399">
        <v>0</v>
      </c>
      <c r="H10" s="401">
        <v>0</v>
      </c>
      <c r="I10" s="398">
        <v>2.7999999999999998E-4</v>
      </c>
      <c r="J10" s="399">
        <v>2.7999999999999998E-4</v>
      </c>
      <c r="K10" s="408" t="s">
        <v>267</v>
      </c>
    </row>
    <row r="11" spans="1:11" ht="14.4" customHeight="1" thickBot="1" x14ac:dyDescent="0.35">
      <c r="A11" s="417" t="s">
        <v>269</v>
      </c>
      <c r="B11" s="403">
        <v>0</v>
      </c>
      <c r="C11" s="403">
        <v>0</v>
      </c>
      <c r="D11" s="404">
        <v>0</v>
      </c>
      <c r="E11" s="405">
        <v>1</v>
      </c>
      <c r="F11" s="403">
        <v>444.81310161143398</v>
      </c>
      <c r="G11" s="404">
        <v>444.81310161143398</v>
      </c>
      <c r="H11" s="406">
        <v>72.014269999999996</v>
      </c>
      <c r="I11" s="403">
        <v>451.73370999999997</v>
      </c>
      <c r="J11" s="404">
        <v>6.9206083885660004</v>
      </c>
      <c r="K11" s="409">
        <v>1.015558463461</v>
      </c>
    </row>
    <row r="12" spans="1:11" ht="14.4" customHeight="1" thickBot="1" x14ac:dyDescent="0.35">
      <c r="A12" s="418" t="s">
        <v>270</v>
      </c>
      <c r="B12" s="398">
        <v>0</v>
      </c>
      <c r="C12" s="398">
        <v>0</v>
      </c>
      <c r="D12" s="399">
        <v>0</v>
      </c>
      <c r="E12" s="400">
        <v>1</v>
      </c>
      <c r="F12" s="398">
        <v>23.442229502671999</v>
      </c>
      <c r="G12" s="399">
        <v>23.442229502671999</v>
      </c>
      <c r="H12" s="401">
        <v>4.8472499999999998</v>
      </c>
      <c r="I12" s="398">
        <v>21.391210000000001</v>
      </c>
      <c r="J12" s="399">
        <v>-2.0510195026720002</v>
      </c>
      <c r="K12" s="402">
        <v>0.91250748985100005</v>
      </c>
    </row>
    <row r="13" spans="1:11" ht="14.4" customHeight="1" thickBot="1" x14ac:dyDescent="0.35">
      <c r="A13" s="418" t="s">
        <v>271</v>
      </c>
      <c r="B13" s="398">
        <v>0</v>
      </c>
      <c r="C13" s="398">
        <v>0</v>
      </c>
      <c r="D13" s="399">
        <v>0</v>
      </c>
      <c r="E13" s="400">
        <v>1</v>
      </c>
      <c r="F13" s="398">
        <v>316.76570576605297</v>
      </c>
      <c r="G13" s="399">
        <v>316.76570576605297</v>
      </c>
      <c r="H13" s="401">
        <v>50.874519999999997</v>
      </c>
      <c r="I13" s="398">
        <v>330.96188000000001</v>
      </c>
      <c r="J13" s="399">
        <v>14.196174233947</v>
      </c>
      <c r="K13" s="402">
        <v>1.044816007463</v>
      </c>
    </row>
    <row r="14" spans="1:11" ht="14.4" customHeight="1" thickBot="1" x14ac:dyDescent="0.35">
      <c r="A14" s="418" t="s">
        <v>272</v>
      </c>
      <c r="B14" s="398">
        <v>0</v>
      </c>
      <c r="C14" s="398">
        <v>0</v>
      </c>
      <c r="D14" s="399">
        <v>0</v>
      </c>
      <c r="E14" s="400">
        <v>1</v>
      </c>
      <c r="F14" s="398">
        <v>53.611599617282003</v>
      </c>
      <c r="G14" s="399">
        <v>53.611599617282003</v>
      </c>
      <c r="H14" s="401">
        <v>6.06365</v>
      </c>
      <c r="I14" s="398">
        <v>51.295470000000002</v>
      </c>
      <c r="J14" s="399">
        <v>-2.3161296172819998</v>
      </c>
      <c r="K14" s="402">
        <v>0.95679797592600002</v>
      </c>
    </row>
    <row r="15" spans="1:11" ht="14.4" customHeight="1" thickBot="1" x14ac:dyDescent="0.35">
      <c r="A15" s="418" t="s">
        <v>273</v>
      </c>
      <c r="B15" s="398">
        <v>0</v>
      </c>
      <c r="C15" s="398">
        <v>0</v>
      </c>
      <c r="D15" s="399">
        <v>0</v>
      </c>
      <c r="E15" s="400">
        <v>1</v>
      </c>
      <c r="F15" s="398">
        <v>17.127162774807001</v>
      </c>
      <c r="G15" s="399">
        <v>17.127162774807001</v>
      </c>
      <c r="H15" s="401">
        <v>3.4235899999999999</v>
      </c>
      <c r="I15" s="398">
        <v>15.418509999999999</v>
      </c>
      <c r="J15" s="399">
        <v>-1.708652774807</v>
      </c>
      <c r="K15" s="402">
        <v>0.90023725486299999</v>
      </c>
    </row>
    <row r="16" spans="1:11" ht="14.4" customHeight="1" thickBot="1" x14ac:dyDescent="0.35">
      <c r="A16" s="418" t="s">
        <v>274</v>
      </c>
      <c r="B16" s="398">
        <v>0</v>
      </c>
      <c r="C16" s="398">
        <v>0</v>
      </c>
      <c r="D16" s="399">
        <v>0</v>
      </c>
      <c r="E16" s="400">
        <v>1</v>
      </c>
      <c r="F16" s="398">
        <v>15.217297548743</v>
      </c>
      <c r="G16" s="399">
        <v>15.217297548743</v>
      </c>
      <c r="H16" s="401">
        <v>2.1760000000000002</v>
      </c>
      <c r="I16" s="398">
        <v>14.1496</v>
      </c>
      <c r="J16" s="399">
        <v>-1.067697548743</v>
      </c>
      <c r="K16" s="402">
        <v>0.92983658594200003</v>
      </c>
    </row>
    <row r="17" spans="1:11" ht="14.4" customHeight="1" thickBot="1" x14ac:dyDescent="0.35">
      <c r="A17" s="418" t="s">
        <v>275</v>
      </c>
      <c r="B17" s="398">
        <v>0</v>
      </c>
      <c r="C17" s="398">
        <v>0</v>
      </c>
      <c r="D17" s="399">
        <v>0</v>
      </c>
      <c r="E17" s="400">
        <v>1</v>
      </c>
      <c r="F17" s="398">
        <v>18.649106401874</v>
      </c>
      <c r="G17" s="399">
        <v>18.649106401874</v>
      </c>
      <c r="H17" s="401">
        <v>4.6292600000000004</v>
      </c>
      <c r="I17" s="398">
        <v>18.517040000000001</v>
      </c>
      <c r="J17" s="399">
        <v>-0.13206640187400001</v>
      </c>
      <c r="K17" s="402">
        <v>0.99291835227699998</v>
      </c>
    </row>
    <row r="18" spans="1:11" ht="14.4" customHeight="1" thickBot="1" x14ac:dyDescent="0.35">
      <c r="A18" s="417" t="s">
        <v>276</v>
      </c>
      <c r="B18" s="403">
        <v>0</v>
      </c>
      <c r="C18" s="403">
        <v>0</v>
      </c>
      <c r="D18" s="404">
        <v>0</v>
      </c>
      <c r="E18" s="405">
        <v>1</v>
      </c>
      <c r="F18" s="403">
        <v>6.9999611650729996</v>
      </c>
      <c r="G18" s="404">
        <v>6.9999611650729996</v>
      </c>
      <c r="H18" s="406">
        <v>0.64017000000000002</v>
      </c>
      <c r="I18" s="403">
        <v>3.5918700000000001</v>
      </c>
      <c r="J18" s="404">
        <v>-3.4080911650729999</v>
      </c>
      <c r="K18" s="409">
        <v>0.51312713246399999</v>
      </c>
    </row>
    <row r="19" spans="1:11" ht="14.4" customHeight="1" thickBot="1" x14ac:dyDescent="0.35">
      <c r="A19" s="418" t="s">
        <v>277</v>
      </c>
      <c r="B19" s="398">
        <v>0</v>
      </c>
      <c r="C19" s="398">
        <v>0</v>
      </c>
      <c r="D19" s="399">
        <v>0</v>
      </c>
      <c r="E19" s="400">
        <v>1</v>
      </c>
      <c r="F19" s="398">
        <v>6.9999611650729996</v>
      </c>
      <c r="G19" s="399">
        <v>6.9999611650729996</v>
      </c>
      <c r="H19" s="401">
        <v>0.64017000000000002</v>
      </c>
      <c r="I19" s="398">
        <v>3.5918700000000001</v>
      </c>
      <c r="J19" s="399">
        <v>-3.4080911650729999</v>
      </c>
      <c r="K19" s="402">
        <v>0.51312713246399999</v>
      </c>
    </row>
    <row r="20" spans="1:11" ht="14.4" customHeight="1" thickBot="1" x14ac:dyDescent="0.35">
      <c r="A20" s="416" t="s">
        <v>41</v>
      </c>
      <c r="B20" s="398">
        <v>0</v>
      </c>
      <c r="C20" s="398">
        <v>0</v>
      </c>
      <c r="D20" s="399">
        <v>0</v>
      </c>
      <c r="E20" s="400">
        <v>1</v>
      </c>
      <c r="F20" s="398">
        <v>18.328729669924002</v>
      </c>
      <c r="G20" s="399">
        <v>18.328729669924002</v>
      </c>
      <c r="H20" s="401">
        <v>2.488</v>
      </c>
      <c r="I20" s="398">
        <v>17.003</v>
      </c>
      <c r="J20" s="399">
        <v>-1.325729669924</v>
      </c>
      <c r="K20" s="402">
        <v>0.92766930966799999</v>
      </c>
    </row>
    <row r="21" spans="1:11" ht="14.4" customHeight="1" thickBot="1" x14ac:dyDescent="0.35">
      <c r="A21" s="417" t="s">
        <v>278</v>
      </c>
      <c r="B21" s="403">
        <v>0</v>
      </c>
      <c r="C21" s="403">
        <v>0</v>
      </c>
      <c r="D21" s="404">
        <v>0</v>
      </c>
      <c r="E21" s="405">
        <v>1</v>
      </c>
      <c r="F21" s="403">
        <v>18.328729669924002</v>
      </c>
      <c r="G21" s="404">
        <v>18.328729669924002</v>
      </c>
      <c r="H21" s="406">
        <v>2.488</v>
      </c>
      <c r="I21" s="403">
        <v>17.003</v>
      </c>
      <c r="J21" s="404">
        <v>-1.325729669924</v>
      </c>
      <c r="K21" s="409">
        <v>0.92766930966799999</v>
      </c>
    </row>
    <row r="22" spans="1:11" ht="14.4" customHeight="1" thickBot="1" x14ac:dyDescent="0.35">
      <c r="A22" s="418" t="s">
        <v>279</v>
      </c>
      <c r="B22" s="398">
        <v>0</v>
      </c>
      <c r="C22" s="398">
        <v>0</v>
      </c>
      <c r="D22" s="399">
        <v>0</v>
      </c>
      <c r="E22" s="400">
        <v>1</v>
      </c>
      <c r="F22" s="398">
        <v>18.328729669924002</v>
      </c>
      <c r="G22" s="399">
        <v>18.328729669924002</v>
      </c>
      <c r="H22" s="401">
        <v>2.488</v>
      </c>
      <c r="I22" s="398">
        <v>17.003</v>
      </c>
      <c r="J22" s="399">
        <v>-1.325729669924</v>
      </c>
      <c r="K22" s="402">
        <v>0.92766930966799999</v>
      </c>
    </row>
    <row r="23" spans="1:11" ht="14.4" customHeight="1" thickBot="1" x14ac:dyDescent="0.35">
      <c r="A23" s="419" t="s">
        <v>280</v>
      </c>
      <c r="B23" s="403">
        <v>0</v>
      </c>
      <c r="C23" s="403">
        <v>0</v>
      </c>
      <c r="D23" s="404">
        <v>0</v>
      </c>
      <c r="E23" s="405">
        <v>1</v>
      </c>
      <c r="F23" s="403">
        <v>0</v>
      </c>
      <c r="G23" s="404">
        <v>0</v>
      </c>
      <c r="H23" s="406">
        <v>0.104</v>
      </c>
      <c r="I23" s="403">
        <v>2.4059699999999999</v>
      </c>
      <c r="J23" s="404">
        <v>2.4059699999999999</v>
      </c>
      <c r="K23" s="407" t="s">
        <v>267</v>
      </c>
    </row>
    <row r="24" spans="1:11" ht="14.4" customHeight="1" thickBot="1" x14ac:dyDescent="0.35">
      <c r="A24" s="416" t="s">
        <v>46</v>
      </c>
      <c r="B24" s="398">
        <v>0</v>
      </c>
      <c r="C24" s="398">
        <v>0</v>
      </c>
      <c r="D24" s="399">
        <v>0</v>
      </c>
      <c r="E24" s="400">
        <v>1</v>
      </c>
      <c r="F24" s="398">
        <v>0</v>
      </c>
      <c r="G24" s="399">
        <v>0</v>
      </c>
      <c r="H24" s="401">
        <v>0.104</v>
      </c>
      <c r="I24" s="398">
        <v>2.4059699999999999</v>
      </c>
      <c r="J24" s="399">
        <v>2.4059699999999999</v>
      </c>
      <c r="K24" s="408" t="s">
        <v>267</v>
      </c>
    </row>
    <row r="25" spans="1:11" ht="14.4" customHeight="1" thickBot="1" x14ac:dyDescent="0.35">
      <c r="A25" s="417" t="s">
        <v>281</v>
      </c>
      <c r="B25" s="403">
        <v>0</v>
      </c>
      <c r="C25" s="403">
        <v>0</v>
      </c>
      <c r="D25" s="404">
        <v>0</v>
      </c>
      <c r="E25" s="405">
        <v>1</v>
      </c>
      <c r="F25" s="403">
        <v>0</v>
      </c>
      <c r="G25" s="404">
        <v>0</v>
      </c>
      <c r="H25" s="406">
        <v>0.104</v>
      </c>
      <c r="I25" s="403">
        <v>0.41399999999999998</v>
      </c>
      <c r="J25" s="404">
        <v>0.41399999999999998</v>
      </c>
      <c r="K25" s="407" t="s">
        <v>267</v>
      </c>
    </row>
    <row r="26" spans="1:11" ht="14.4" customHeight="1" thickBot="1" x14ac:dyDescent="0.35">
      <c r="A26" s="418" t="s">
        <v>282</v>
      </c>
      <c r="B26" s="398">
        <v>0</v>
      </c>
      <c r="C26" s="398">
        <v>0</v>
      </c>
      <c r="D26" s="399">
        <v>0</v>
      </c>
      <c r="E26" s="400">
        <v>1</v>
      </c>
      <c r="F26" s="398">
        <v>0</v>
      </c>
      <c r="G26" s="399">
        <v>0</v>
      </c>
      <c r="H26" s="401">
        <v>0.104</v>
      </c>
      <c r="I26" s="398">
        <v>0.41399999999999998</v>
      </c>
      <c r="J26" s="399">
        <v>0.41399999999999998</v>
      </c>
      <c r="K26" s="408" t="s">
        <v>267</v>
      </c>
    </row>
    <row r="27" spans="1:11" ht="14.4" customHeight="1" thickBot="1" x14ac:dyDescent="0.35">
      <c r="A27" s="417" t="s">
        <v>283</v>
      </c>
      <c r="B27" s="403">
        <v>0</v>
      </c>
      <c r="C27" s="403">
        <v>0</v>
      </c>
      <c r="D27" s="404">
        <v>0</v>
      </c>
      <c r="E27" s="405">
        <v>1</v>
      </c>
      <c r="F27" s="403">
        <v>0</v>
      </c>
      <c r="G27" s="404">
        <v>0</v>
      </c>
      <c r="H27" s="406">
        <v>0</v>
      </c>
      <c r="I27" s="403">
        <v>1.99197</v>
      </c>
      <c r="J27" s="404">
        <v>1.99197</v>
      </c>
      <c r="K27" s="407" t="s">
        <v>267</v>
      </c>
    </row>
    <row r="28" spans="1:11" ht="14.4" customHeight="1" thickBot="1" x14ac:dyDescent="0.35">
      <c r="A28" s="418" t="s">
        <v>284</v>
      </c>
      <c r="B28" s="398">
        <v>0</v>
      </c>
      <c r="C28" s="398">
        <v>0</v>
      </c>
      <c r="D28" s="399">
        <v>0</v>
      </c>
      <c r="E28" s="400">
        <v>1</v>
      </c>
      <c r="F28" s="398">
        <v>0</v>
      </c>
      <c r="G28" s="399">
        <v>0</v>
      </c>
      <c r="H28" s="401">
        <v>0</v>
      </c>
      <c r="I28" s="398">
        <v>1.99197</v>
      </c>
      <c r="J28" s="399">
        <v>1.99197</v>
      </c>
      <c r="K28" s="408" t="s">
        <v>267</v>
      </c>
    </row>
    <row r="29" spans="1:11" ht="14.4" customHeight="1" thickBot="1" x14ac:dyDescent="0.35">
      <c r="A29" s="415" t="s">
        <v>285</v>
      </c>
      <c r="B29" s="398">
        <v>0</v>
      </c>
      <c r="C29" s="398">
        <v>0</v>
      </c>
      <c r="D29" s="399">
        <v>0</v>
      </c>
      <c r="E29" s="400">
        <v>1</v>
      </c>
      <c r="F29" s="398">
        <v>0</v>
      </c>
      <c r="G29" s="399">
        <v>0</v>
      </c>
      <c r="H29" s="401">
        <v>0</v>
      </c>
      <c r="I29" s="398">
        <v>3.7319900000000001</v>
      </c>
      <c r="J29" s="399">
        <v>3.7319900000000001</v>
      </c>
      <c r="K29" s="408" t="s">
        <v>267</v>
      </c>
    </row>
    <row r="30" spans="1:11" ht="14.4" customHeight="1" thickBot="1" x14ac:dyDescent="0.35">
      <c r="A30" s="416" t="s">
        <v>286</v>
      </c>
      <c r="B30" s="398">
        <v>0</v>
      </c>
      <c r="C30" s="398">
        <v>0</v>
      </c>
      <c r="D30" s="399">
        <v>0</v>
      </c>
      <c r="E30" s="400">
        <v>1</v>
      </c>
      <c r="F30" s="398">
        <v>0</v>
      </c>
      <c r="G30" s="399">
        <v>0</v>
      </c>
      <c r="H30" s="401">
        <v>0</v>
      </c>
      <c r="I30" s="398">
        <v>3.7319900000000001</v>
      </c>
      <c r="J30" s="399">
        <v>3.7319900000000001</v>
      </c>
      <c r="K30" s="408" t="s">
        <v>267</v>
      </c>
    </row>
    <row r="31" spans="1:11" ht="14.4" customHeight="1" thickBot="1" x14ac:dyDescent="0.35">
      <c r="A31" s="417" t="s">
        <v>287</v>
      </c>
      <c r="B31" s="403">
        <v>0</v>
      </c>
      <c r="C31" s="403">
        <v>0</v>
      </c>
      <c r="D31" s="404">
        <v>0</v>
      </c>
      <c r="E31" s="405">
        <v>1</v>
      </c>
      <c r="F31" s="403">
        <v>0</v>
      </c>
      <c r="G31" s="404">
        <v>0</v>
      </c>
      <c r="H31" s="406">
        <v>0</v>
      </c>
      <c r="I31" s="403">
        <v>3.7319900000000001</v>
      </c>
      <c r="J31" s="404">
        <v>3.7319900000000001</v>
      </c>
      <c r="K31" s="407" t="s">
        <v>267</v>
      </c>
    </row>
    <row r="32" spans="1:11" ht="14.4" customHeight="1" thickBot="1" x14ac:dyDescent="0.35">
      <c r="A32" s="418" t="s">
        <v>288</v>
      </c>
      <c r="B32" s="398">
        <v>0</v>
      </c>
      <c r="C32" s="398">
        <v>0</v>
      </c>
      <c r="D32" s="399">
        <v>0</v>
      </c>
      <c r="E32" s="400">
        <v>1</v>
      </c>
      <c r="F32" s="398">
        <v>0</v>
      </c>
      <c r="G32" s="399">
        <v>0</v>
      </c>
      <c r="H32" s="401">
        <v>0</v>
      </c>
      <c r="I32" s="398">
        <v>3.7319900000000001</v>
      </c>
      <c r="J32" s="399">
        <v>3.7319900000000001</v>
      </c>
      <c r="K32" s="408" t="s">
        <v>267</v>
      </c>
    </row>
    <row r="33" spans="1:11" ht="14.4" customHeight="1" thickBot="1" x14ac:dyDescent="0.35">
      <c r="A33" s="414" t="s">
        <v>289</v>
      </c>
      <c r="B33" s="398">
        <v>0</v>
      </c>
      <c r="C33" s="398">
        <v>0</v>
      </c>
      <c r="D33" s="399">
        <v>0</v>
      </c>
      <c r="E33" s="400">
        <v>1</v>
      </c>
      <c r="F33" s="398">
        <v>0</v>
      </c>
      <c r="G33" s="399">
        <v>0</v>
      </c>
      <c r="H33" s="401">
        <v>262.6071</v>
      </c>
      <c r="I33" s="398">
        <v>1386.08032</v>
      </c>
      <c r="J33" s="399">
        <v>1386.08032</v>
      </c>
      <c r="K33" s="408" t="s">
        <v>267</v>
      </c>
    </row>
    <row r="34" spans="1:11" ht="14.4" customHeight="1" thickBot="1" x14ac:dyDescent="0.35">
      <c r="A34" s="415" t="s">
        <v>290</v>
      </c>
      <c r="B34" s="398">
        <v>0</v>
      </c>
      <c r="C34" s="398">
        <v>0</v>
      </c>
      <c r="D34" s="399">
        <v>0</v>
      </c>
      <c r="E34" s="400">
        <v>1</v>
      </c>
      <c r="F34" s="398">
        <v>0</v>
      </c>
      <c r="G34" s="399">
        <v>0</v>
      </c>
      <c r="H34" s="401">
        <v>262.6071</v>
      </c>
      <c r="I34" s="398">
        <v>1386.08032</v>
      </c>
      <c r="J34" s="399">
        <v>1386.08032</v>
      </c>
      <c r="K34" s="408" t="s">
        <v>267</v>
      </c>
    </row>
    <row r="35" spans="1:11" ht="14.4" customHeight="1" thickBot="1" x14ac:dyDescent="0.35">
      <c r="A35" s="416" t="s">
        <v>291</v>
      </c>
      <c r="B35" s="398">
        <v>0</v>
      </c>
      <c r="C35" s="398">
        <v>0</v>
      </c>
      <c r="D35" s="399">
        <v>0</v>
      </c>
      <c r="E35" s="400">
        <v>1</v>
      </c>
      <c r="F35" s="398">
        <v>0</v>
      </c>
      <c r="G35" s="399">
        <v>0</v>
      </c>
      <c r="H35" s="401">
        <v>262.6071</v>
      </c>
      <c r="I35" s="398">
        <v>1386.08032</v>
      </c>
      <c r="J35" s="399">
        <v>1386.08032</v>
      </c>
      <c r="K35" s="408" t="s">
        <v>267</v>
      </c>
    </row>
    <row r="36" spans="1:11" ht="14.4" customHeight="1" thickBot="1" x14ac:dyDescent="0.35">
      <c r="A36" s="417" t="s">
        <v>292</v>
      </c>
      <c r="B36" s="403">
        <v>0</v>
      </c>
      <c r="C36" s="403">
        <v>0</v>
      </c>
      <c r="D36" s="404">
        <v>0</v>
      </c>
      <c r="E36" s="405">
        <v>1</v>
      </c>
      <c r="F36" s="403">
        <v>0</v>
      </c>
      <c r="G36" s="404">
        <v>0</v>
      </c>
      <c r="H36" s="406">
        <v>0.27828999999999998</v>
      </c>
      <c r="I36" s="403">
        <v>1.4961199999999999</v>
      </c>
      <c r="J36" s="404">
        <v>1.4961199999999999</v>
      </c>
      <c r="K36" s="407" t="s">
        <v>267</v>
      </c>
    </row>
    <row r="37" spans="1:11" ht="14.4" customHeight="1" thickBot="1" x14ac:dyDescent="0.35">
      <c r="A37" s="418" t="s">
        <v>293</v>
      </c>
      <c r="B37" s="398">
        <v>0</v>
      </c>
      <c r="C37" s="398">
        <v>0</v>
      </c>
      <c r="D37" s="399">
        <v>0</v>
      </c>
      <c r="E37" s="400">
        <v>1</v>
      </c>
      <c r="F37" s="398">
        <v>0</v>
      </c>
      <c r="G37" s="399">
        <v>0</v>
      </c>
      <c r="H37" s="401">
        <v>0.27828999999999998</v>
      </c>
      <c r="I37" s="398">
        <v>1.4961199999999999</v>
      </c>
      <c r="J37" s="399">
        <v>1.4961199999999999</v>
      </c>
      <c r="K37" s="408" t="s">
        <v>267</v>
      </c>
    </row>
    <row r="38" spans="1:11" ht="14.4" customHeight="1" thickBot="1" x14ac:dyDescent="0.35">
      <c r="A38" s="417" t="s">
        <v>294</v>
      </c>
      <c r="B38" s="403">
        <v>0</v>
      </c>
      <c r="C38" s="403">
        <v>0</v>
      </c>
      <c r="D38" s="404">
        <v>0</v>
      </c>
      <c r="E38" s="405">
        <v>1</v>
      </c>
      <c r="F38" s="403">
        <v>0</v>
      </c>
      <c r="G38" s="404">
        <v>0</v>
      </c>
      <c r="H38" s="406">
        <v>0</v>
      </c>
      <c r="I38" s="403">
        <v>0.44358999999999998</v>
      </c>
      <c r="J38" s="404">
        <v>0.44358999999999998</v>
      </c>
      <c r="K38" s="407" t="s">
        <v>267</v>
      </c>
    </row>
    <row r="39" spans="1:11" ht="14.4" customHeight="1" thickBot="1" x14ac:dyDescent="0.35">
      <c r="A39" s="418" t="s">
        <v>295</v>
      </c>
      <c r="B39" s="398">
        <v>0</v>
      </c>
      <c r="C39" s="398">
        <v>0</v>
      </c>
      <c r="D39" s="399">
        <v>0</v>
      </c>
      <c r="E39" s="400">
        <v>1</v>
      </c>
      <c r="F39" s="398">
        <v>0</v>
      </c>
      <c r="G39" s="399">
        <v>0</v>
      </c>
      <c r="H39" s="401">
        <v>0</v>
      </c>
      <c r="I39" s="398">
        <v>0.44358999999999998</v>
      </c>
      <c r="J39" s="399">
        <v>0.44358999999999998</v>
      </c>
      <c r="K39" s="408" t="s">
        <v>267</v>
      </c>
    </row>
    <row r="40" spans="1:11" ht="14.4" customHeight="1" thickBot="1" x14ac:dyDescent="0.35">
      <c r="A40" s="417" t="s">
        <v>296</v>
      </c>
      <c r="B40" s="403">
        <v>0</v>
      </c>
      <c r="C40" s="403">
        <v>0</v>
      </c>
      <c r="D40" s="404">
        <v>0</v>
      </c>
      <c r="E40" s="405">
        <v>1</v>
      </c>
      <c r="F40" s="403">
        <v>0</v>
      </c>
      <c r="G40" s="404">
        <v>0</v>
      </c>
      <c r="H40" s="406">
        <v>262.32880999999998</v>
      </c>
      <c r="I40" s="403">
        <v>1384.1406099999999</v>
      </c>
      <c r="J40" s="404">
        <v>1384.1406099999999</v>
      </c>
      <c r="K40" s="407" t="s">
        <v>267</v>
      </c>
    </row>
    <row r="41" spans="1:11" ht="14.4" customHeight="1" thickBot="1" x14ac:dyDescent="0.35">
      <c r="A41" s="418" t="s">
        <v>297</v>
      </c>
      <c r="B41" s="398">
        <v>0</v>
      </c>
      <c r="C41" s="398">
        <v>0</v>
      </c>
      <c r="D41" s="399">
        <v>0</v>
      </c>
      <c r="E41" s="400">
        <v>1</v>
      </c>
      <c r="F41" s="398">
        <v>0</v>
      </c>
      <c r="G41" s="399">
        <v>0</v>
      </c>
      <c r="H41" s="401">
        <v>40.256480000000003</v>
      </c>
      <c r="I41" s="398">
        <v>297.911</v>
      </c>
      <c r="J41" s="399">
        <v>297.911</v>
      </c>
      <c r="K41" s="408" t="s">
        <v>267</v>
      </c>
    </row>
    <row r="42" spans="1:11" ht="14.4" customHeight="1" thickBot="1" x14ac:dyDescent="0.35">
      <c r="A42" s="418" t="s">
        <v>298</v>
      </c>
      <c r="B42" s="398">
        <v>0</v>
      </c>
      <c r="C42" s="398">
        <v>0</v>
      </c>
      <c r="D42" s="399">
        <v>0</v>
      </c>
      <c r="E42" s="400">
        <v>1</v>
      </c>
      <c r="F42" s="398">
        <v>0</v>
      </c>
      <c r="G42" s="399">
        <v>0</v>
      </c>
      <c r="H42" s="401">
        <v>222.07232999999999</v>
      </c>
      <c r="I42" s="398">
        <v>1086.2296100000001</v>
      </c>
      <c r="J42" s="399">
        <v>1086.2296100000001</v>
      </c>
      <c r="K42" s="408" t="s">
        <v>267</v>
      </c>
    </row>
    <row r="43" spans="1:11" ht="14.4" customHeight="1" thickBot="1" x14ac:dyDescent="0.35">
      <c r="A43" s="414" t="s">
        <v>299</v>
      </c>
      <c r="B43" s="398">
        <v>0</v>
      </c>
      <c r="C43" s="398">
        <v>0</v>
      </c>
      <c r="D43" s="399">
        <v>0</v>
      </c>
      <c r="E43" s="400">
        <v>1</v>
      </c>
      <c r="F43" s="398">
        <v>43</v>
      </c>
      <c r="G43" s="399">
        <v>43</v>
      </c>
      <c r="H43" s="401">
        <v>4.5402500000000003</v>
      </c>
      <c r="I43" s="398">
        <v>37.899650000000001</v>
      </c>
      <c r="J43" s="399">
        <v>-5.1003499999999997</v>
      </c>
      <c r="K43" s="402">
        <v>0.88138720930199999</v>
      </c>
    </row>
    <row r="44" spans="1:11" ht="14.4" customHeight="1" thickBot="1" x14ac:dyDescent="0.35">
      <c r="A44" s="419" t="s">
        <v>300</v>
      </c>
      <c r="B44" s="403">
        <v>0</v>
      </c>
      <c r="C44" s="403">
        <v>0</v>
      </c>
      <c r="D44" s="404">
        <v>0</v>
      </c>
      <c r="E44" s="405">
        <v>1</v>
      </c>
      <c r="F44" s="403">
        <v>43</v>
      </c>
      <c r="G44" s="404">
        <v>43</v>
      </c>
      <c r="H44" s="406">
        <v>4.5402500000000003</v>
      </c>
      <c r="I44" s="403">
        <v>37.899650000000001</v>
      </c>
      <c r="J44" s="404">
        <v>-5.1003499999999997</v>
      </c>
      <c r="K44" s="409">
        <v>0.88138720930199999</v>
      </c>
    </row>
    <row r="45" spans="1:11" ht="14.4" customHeight="1" thickBot="1" x14ac:dyDescent="0.35">
      <c r="A45" s="420" t="s">
        <v>53</v>
      </c>
      <c r="B45" s="403">
        <v>0</v>
      </c>
      <c r="C45" s="403">
        <v>0</v>
      </c>
      <c r="D45" s="404">
        <v>0</v>
      </c>
      <c r="E45" s="405">
        <v>1</v>
      </c>
      <c r="F45" s="403">
        <v>43</v>
      </c>
      <c r="G45" s="404">
        <v>43</v>
      </c>
      <c r="H45" s="406">
        <v>4.5402500000000003</v>
      </c>
      <c r="I45" s="403">
        <v>37.899650000000001</v>
      </c>
      <c r="J45" s="404">
        <v>-5.1003499999999997</v>
      </c>
      <c r="K45" s="409">
        <v>0.88138720930199999</v>
      </c>
    </row>
    <row r="46" spans="1:11" ht="14.4" customHeight="1" thickBot="1" x14ac:dyDescent="0.35">
      <c r="A46" s="417" t="s">
        <v>301</v>
      </c>
      <c r="B46" s="403">
        <v>0</v>
      </c>
      <c r="C46" s="403">
        <v>0</v>
      </c>
      <c r="D46" s="404">
        <v>0</v>
      </c>
      <c r="E46" s="405">
        <v>1</v>
      </c>
      <c r="F46" s="403">
        <v>0</v>
      </c>
      <c r="G46" s="404">
        <v>0</v>
      </c>
      <c r="H46" s="406">
        <v>0</v>
      </c>
      <c r="I46" s="403">
        <v>0.31492999999999999</v>
      </c>
      <c r="J46" s="404">
        <v>0.31492999999999999</v>
      </c>
      <c r="K46" s="407" t="s">
        <v>267</v>
      </c>
    </row>
    <row r="47" spans="1:11" ht="14.4" customHeight="1" thickBot="1" x14ac:dyDescent="0.35">
      <c r="A47" s="418" t="s">
        <v>302</v>
      </c>
      <c r="B47" s="398">
        <v>0</v>
      </c>
      <c r="C47" s="398">
        <v>0</v>
      </c>
      <c r="D47" s="399">
        <v>0</v>
      </c>
      <c r="E47" s="400">
        <v>1</v>
      </c>
      <c r="F47" s="398">
        <v>0</v>
      </c>
      <c r="G47" s="399">
        <v>0</v>
      </c>
      <c r="H47" s="401">
        <v>0</v>
      </c>
      <c r="I47" s="398">
        <v>0.31492999999999999</v>
      </c>
      <c r="J47" s="399">
        <v>0.31492999999999999</v>
      </c>
      <c r="K47" s="408" t="s">
        <v>267</v>
      </c>
    </row>
    <row r="48" spans="1:11" ht="14.4" customHeight="1" thickBot="1" x14ac:dyDescent="0.35">
      <c r="A48" s="417" t="s">
        <v>303</v>
      </c>
      <c r="B48" s="403">
        <v>0</v>
      </c>
      <c r="C48" s="403">
        <v>0</v>
      </c>
      <c r="D48" s="404">
        <v>0</v>
      </c>
      <c r="E48" s="405">
        <v>1</v>
      </c>
      <c r="F48" s="403">
        <v>43</v>
      </c>
      <c r="G48" s="404">
        <v>43</v>
      </c>
      <c r="H48" s="406">
        <v>4.5402500000000003</v>
      </c>
      <c r="I48" s="403">
        <v>37.584719999999997</v>
      </c>
      <c r="J48" s="404">
        <v>-5.4152800000000001</v>
      </c>
      <c r="K48" s="409">
        <v>0.87406325581300004</v>
      </c>
    </row>
    <row r="49" spans="1:11" ht="14.4" customHeight="1" thickBot="1" x14ac:dyDescent="0.35">
      <c r="A49" s="418" t="s">
        <v>304</v>
      </c>
      <c r="B49" s="398">
        <v>0</v>
      </c>
      <c r="C49" s="398">
        <v>0</v>
      </c>
      <c r="D49" s="399">
        <v>0</v>
      </c>
      <c r="E49" s="400">
        <v>1</v>
      </c>
      <c r="F49" s="398">
        <v>43</v>
      </c>
      <c r="G49" s="399">
        <v>43</v>
      </c>
      <c r="H49" s="401">
        <v>4.5402500000000003</v>
      </c>
      <c r="I49" s="398">
        <v>37.584719999999997</v>
      </c>
      <c r="J49" s="399">
        <v>-5.4152800000000001</v>
      </c>
      <c r="K49" s="402">
        <v>0.87406325581300004</v>
      </c>
    </row>
    <row r="50" spans="1:11" ht="14.4" customHeight="1" thickBot="1" x14ac:dyDescent="0.35">
      <c r="A50" s="421"/>
      <c r="B50" s="398">
        <v>0</v>
      </c>
      <c r="C50" s="398">
        <v>0</v>
      </c>
      <c r="D50" s="399">
        <v>0</v>
      </c>
      <c r="E50" s="400">
        <v>1</v>
      </c>
      <c r="F50" s="398">
        <v>-513.14179244643196</v>
      </c>
      <c r="G50" s="399">
        <v>-513.14179244643196</v>
      </c>
      <c r="H50" s="401">
        <v>182.82041000000001</v>
      </c>
      <c r="I50" s="398">
        <v>869.71384999999998</v>
      </c>
      <c r="J50" s="399">
        <v>1382.85564244643</v>
      </c>
      <c r="K50" s="402">
        <v>-1.694880173087</v>
      </c>
    </row>
    <row r="51" spans="1:11" ht="14.4" customHeight="1" thickBot="1" x14ac:dyDescent="0.35">
      <c r="A51" s="422" t="s">
        <v>65</v>
      </c>
      <c r="B51" s="410">
        <v>0</v>
      </c>
      <c r="C51" s="410">
        <v>0</v>
      </c>
      <c r="D51" s="411">
        <v>0</v>
      </c>
      <c r="E51" s="412">
        <v>-1</v>
      </c>
      <c r="F51" s="410">
        <v>-513.14179244643196</v>
      </c>
      <c r="G51" s="411">
        <v>-513.14179244643196</v>
      </c>
      <c r="H51" s="410">
        <v>182.82041000000001</v>
      </c>
      <c r="I51" s="410">
        <v>869.71384999999998</v>
      </c>
      <c r="J51" s="411">
        <v>1382.85564244643</v>
      </c>
      <c r="K51" s="413">
        <v>-1.694880173087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0" t="s">
        <v>135</v>
      </c>
      <c r="B1" s="350"/>
      <c r="C1" s="350"/>
      <c r="D1" s="350"/>
      <c r="E1" s="350"/>
      <c r="F1" s="350"/>
      <c r="G1" s="350"/>
      <c r="H1" s="350"/>
      <c r="I1" s="315"/>
      <c r="J1" s="315"/>
      <c r="K1" s="315"/>
      <c r="L1" s="315"/>
    </row>
    <row r="2" spans="1:14" ht="14.4" customHeight="1" thickBot="1" x14ac:dyDescent="0.35">
      <c r="A2" s="235" t="s">
        <v>260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61" t="s">
        <v>14</v>
      </c>
      <c r="D3" s="360"/>
      <c r="E3" s="360" t="s">
        <v>15</v>
      </c>
      <c r="F3" s="360"/>
      <c r="G3" s="360"/>
      <c r="H3" s="360"/>
      <c r="I3" s="360" t="s">
        <v>142</v>
      </c>
      <c r="J3" s="360"/>
      <c r="K3" s="360"/>
      <c r="L3" s="362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23">
        <v>57</v>
      </c>
      <c r="B5" s="424" t="s">
        <v>305</v>
      </c>
      <c r="C5" s="425">
        <v>2682990.48</v>
      </c>
      <c r="D5" s="425">
        <v>614</v>
      </c>
      <c r="E5" s="425">
        <v>1688144.32</v>
      </c>
      <c r="F5" s="426">
        <v>0.62920250093470331</v>
      </c>
      <c r="G5" s="425">
        <v>343</v>
      </c>
      <c r="H5" s="426">
        <v>0.55863192182410426</v>
      </c>
      <c r="I5" s="425">
        <v>994846.16</v>
      </c>
      <c r="J5" s="426">
        <v>0.37079749906529674</v>
      </c>
      <c r="K5" s="425">
        <v>271</v>
      </c>
      <c r="L5" s="426">
        <v>0.44136807817589574</v>
      </c>
      <c r="M5" s="425" t="s">
        <v>68</v>
      </c>
      <c r="N5" s="151"/>
    </row>
    <row r="6" spans="1:14" ht="14.4" customHeight="1" x14ac:dyDescent="0.3">
      <c r="A6" s="423">
        <v>57</v>
      </c>
      <c r="B6" s="424" t="s">
        <v>306</v>
      </c>
      <c r="C6" s="425">
        <v>2682990.48</v>
      </c>
      <c r="D6" s="425">
        <v>589</v>
      </c>
      <c r="E6" s="425">
        <v>1688144.32</v>
      </c>
      <c r="F6" s="426">
        <v>0.62920250093470331</v>
      </c>
      <c r="G6" s="425">
        <v>320</v>
      </c>
      <c r="H6" s="426">
        <v>0.54329371816638372</v>
      </c>
      <c r="I6" s="425">
        <v>994846.16</v>
      </c>
      <c r="J6" s="426">
        <v>0.37079749906529674</v>
      </c>
      <c r="K6" s="425">
        <v>269</v>
      </c>
      <c r="L6" s="426">
        <v>0.45670628183361628</v>
      </c>
      <c r="M6" s="425" t="s">
        <v>1</v>
      </c>
      <c r="N6" s="151"/>
    </row>
    <row r="7" spans="1:14" ht="14.4" customHeight="1" x14ac:dyDescent="0.3">
      <c r="A7" s="423">
        <v>57</v>
      </c>
      <c r="B7" s="424" t="s">
        <v>307</v>
      </c>
      <c r="C7" s="425">
        <v>0</v>
      </c>
      <c r="D7" s="425">
        <v>25</v>
      </c>
      <c r="E7" s="425">
        <v>0</v>
      </c>
      <c r="F7" s="426" t="s">
        <v>308</v>
      </c>
      <c r="G7" s="425">
        <v>23</v>
      </c>
      <c r="H7" s="426">
        <v>0.92</v>
      </c>
      <c r="I7" s="425">
        <v>0</v>
      </c>
      <c r="J7" s="426" t="s">
        <v>308</v>
      </c>
      <c r="K7" s="425">
        <v>2</v>
      </c>
      <c r="L7" s="426">
        <v>0.08</v>
      </c>
      <c r="M7" s="425" t="s">
        <v>1</v>
      </c>
      <c r="N7" s="151"/>
    </row>
    <row r="8" spans="1:14" ht="14.4" customHeight="1" x14ac:dyDescent="0.3">
      <c r="A8" s="423" t="s">
        <v>309</v>
      </c>
      <c r="B8" s="424" t="s">
        <v>3</v>
      </c>
      <c r="C8" s="425">
        <v>2682990.48</v>
      </c>
      <c r="D8" s="425">
        <v>614</v>
      </c>
      <c r="E8" s="425">
        <v>1688144.32</v>
      </c>
      <c r="F8" s="426">
        <v>0.62920250093470331</v>
      </c>
      <c r="G8" s="425">
        <v>343</v>
      </c>
      <c r="H8" s="426">
        <v>0.55863192182410426</v>
      </c>
      <c r="I8" s="425">
        <v>994846.16</v>
      </c>
      <c r="J8" s="426">
        <v>0.37079749906529674</v>
      </c>
      <c r="K8" s="425">
        <v>271</v>
      </c>
      <c r="L8" s="426">
        <v>0.44136807817589574</v>
      </c>
      <c r="M8" s="425" t="s">
        <v>310</v>
      </c>
      <c r="N8" s="151"/>
    </row>
    <row r="10" spans="1:14" ht="14.4" customHeight="1" x14ac:dyDescent="0.3">
      <c r="A10" s="423">
        <v>57</v>
      </c>
      <c r="B10" s="424" t="s">
        <v>305</v>
      </c>
      <c r="C10" s="425" t="s">
        <v>308</v>
      </c>
      <c r="D10" s="425" t="s">
        <v>308</v>
      </c>
      <c r="E10" s="425" t="s">
        <v>308</v>
      </c>
      <c r="F10" s="426" t="s">
        <v>308</v>
      </c>
      <c r="G10" s="425" t="s">
        <v>308</v>
      </c>
      <c r="H10" s="426" t="s">
        <v>308</v>
      </c>
      <c r="I10" s="425" t="s">
        <v>308</v>
      </c>
      <c r="J10" s="426" t="s">
        <v>308</v>
      </c>
      <c r="K10" s="425" t="s">
        <v>308</v>
      </c>
      <c r="L10" s="426" t="s">
        <v>308</v>
      </c>
      <c r="M10" s="425" t="s">
        <v>68</v>
      </c>
      <c r="N10" s="151"/>
    </row>
    <row r="11" spans="1:14" ht="14.4" customHeight="1" x14ac:dyDescent="0.3">
      <c r="A11" s="423">
        <v>89301594</v>
      </c>
      <c r="B11" s="424" t="s">
        <v>306</v>
      </c>
      <c r="C11" s="425">
        <v>2682990.48</v>
      </c>
      <c r="D11" s="425">
        <v>589</v>
      </c>
      <c r="E11" s="425">
        <v>1688144.32</v>
      </c>
      <c r="F11" s="426">
        <v>0.62920250093470331</v>
      </c>
      <c r="G11" s="425">
        <v>320</v>
      </c>
      <c r="H11" s="426">
        <v>0.54329371816638372</v>
      </c>
      <c r="I11" s="425">
        <v>994846.16</v>
      </c>
      <c r="J11" s="426">
        <v>0.37079749906529674</v>
      </c>
      <c r="K11" s="425">
        <v>269</v>
      </c>
      <c r="L11" s="426">
        <v>0.45670628183361628</v>
      </c>
      <c r="M11" s="425" t="s">
        <v>1</v>
      </c>
      <c r="N11" s="151"/>
    </row>
    <row r="12" spans="1:14" ht="14.4" customHeight="1" x14ac:dyDescent="0.3">
      <c r="A12" s="423">
        <v>89301594</v>
      </c>
      <c r="B12" s="424" t="s">
        <v>307</v>
      </c>
      <c r="C12" s="425">
        <v>0</v>
      </c>
      <c r="D12" s="425">
        <v>25</v>
      </c>
      <c r="E12" s="425">
        <v>0</v>
      </c>
      <c r="F12" s="426" t="s">
        <v>308</v>
      </c>
      <c r="G12" s="425">
        <v>23</v>
      </c>
      <c r="H12" s="426">
        <v>0.92</v>
      </c>
      <c r="I12" s="425">
        <v>0</v>
      </c>
      <c r="J12" s="426" t="s">
        <v>308</v>
      </c>
      <c r="K12" s="425">
        <v>2</v>
      </c>
      <c r="L12" s="426">
        <v>0.08</v>
      </c>
      <c r="M12" s="425" t="s">
        <v>1</v>
      </c>
      <c r="N12" s="151"/>
    </row>
    <row r="13" spans="1:14" ht="14.4" customHeight="1" x14ac:dyDescent="0.3">
      <c r="A13" s="423" t="s">
        <v>311</v>
      </c>
      <c r="B13" s="424" t="s">
        <v>312</v>
      </c>
      <c r="C13" s="425">
        <v>2682990.48</v>
      </c>
      <c r="D13" s="425">
        <v>614</v>
      </c>
      <c r="E13" s="425">
        <v>1688144.32</v>
      </c>
      <c r="F13" s="426">
        <v>0.62920250093470331</v>
      </c>
      <c r="G13" s="425">
        <v>343</v>
      </c>
      <c r="H13" s="426">
        <v>0.55863192182410426</v>
      </c>
      <c r="I13" s="425">
        <v>994846.16</v>
      </c>
      <c r="J13" s="426">
        <v>0.37079749906529674</v>
      </c>
      <c r="K13" s="425">
        <v>271</v>
      </c>
      <c r="L13" s="426">
        <v>0.44136807817589574</v>
      </c>
      <c r="M13" s="425" t="s">
        <v>313</v>
      </c>
      <c r="N13" s="151"/>
    </row>
    <row r="14" spans="1:14" ht="14.4" customHeight="1" x14ac:dyDescent="0.3">
      <c r="A14" s="423" t="s">
        <v>308</v>
      </c>
      <c r="B14" s="424" t="s">
        <v>308</v>
      </c>
      <c r="C14" s="425" t="s">
        <v>308</v>
      </c>
      <c r="D14" s="425" t="s">
        <v>308</v>
      </c>
      <c r="E14" s="425" t="s">
        <v>308</v>
      </c>
      <c r="F14" s="426" t="s">
        <v>308</v>
      </c>
      <c r="G14" s="425" t="s">
        <v>308</v>
      </c>
      <c r="H14" s="426" t="s">
        <v>308</v>
      </c>
      <c r="I14" s="425" t="s">
        <v>308</v>
      </c>
      <c r="J14" s="426" t="s">
        <v>308</v>
      </c>
      <c r="K14" s="425" t="s">
        <v>308</v>
      </c>
      <c r="L14" s="426" t="s">
        <v>308</v>
      </c>
      <c r="M14" s="425" t="s">
        <v>314</v>
      </c>
      <c r="N14" s="151"/>
    </row>
    <row r="15" spans="1:14" ht="14.4" customHeight="1" x14ac:dyDescent="0.3">
      <c r="A15" s="423" t="s">
        <v>309</v>
      </c>
      <c r="B15" s="424" t="s">
        <v>312</v>
      </c>
      <c r="C15" s="425">
        <v>2682990.48</v>
      </c>
      <c r="D15" s="425">
        <v>614</v>
      </c>
      <c r="E15" s="425">
        <v>1688144.32</v>
      </c>
      <c r="F15" s="426">
        <v>0.62920250093470331</v>
      </c>
      <c r="G15" s="425">
        <v>343</v>
      </c>
      <c r="H15" s="426">
        <v>0.55863192182410426</v>
      </c>
      <c r="I15" s="425">
        <v>994846.16</v>
      </c>
      <c r="J15" s="426">
        <v>0.37079749906529674</v>
      </c>
      <c r="K15" s="425">
        <v>271</v>
      </c>
      <c r="L15" s="426">
        <v>0.44136807817589574</v>
      </c>
      <c r="M15" s="425" t="s">
        <v>310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0" t="s">
        <v>143</v>
      </c>
      <c r="B1" s="350"/>
      <c r="C1" s="350"/>
      <c r="D1" s="350"/>
      <c r="E1" s="350"/>
      <c r="F1" s="350"/>
      <c r="G1" s="350"/>
      <c r="H1" s="350"/>
      <c r="I1" s="350"/>
      <c r="J1" s="315"/>
      <c r="K1" s="315"/>
      <c r="L1" s="315"/>
      <c r="M1" s="315"/>
    </row>
    <row r="2" spans="1:13" ht="14.4" customHeight="1" thickBot="1" x14ac:dyDescent="0.35">
      <c r="A2" s="235" t="s">
        <v>260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61" t="s">
        <v>14</v>
      </c>
      <c r="C3" s="363"/>
      <c r="D3" s="360"/>
      <c r="E3" s="143"/>
      <c r="F3" s="360" t="s">
        <v>15</v>
      </c>
      <c r="G3" s="360"/>
      <c r="H3" s="360"/>
      <c r="I3" s="360"/>
      <c r="J3" s="360" t="s">
        <v>142</v>
      </c>
      <c r="K3" s="360"/>
      <c r="L3" s="360"/>
      <c r="M3" s="362"/>
    </row>
    <row r="4" spans="1:13" ht="14.4" customHeight="1" thickBot="1" x14ac:dyDescent="0.35">
      <c r="A4" s="427" t="s">
        <v>133</v>
      </c>
      <c r="B4" s="431" t="s">
        <v>18</v>
      </c>
      <c r="C4" s="432"/>
      <c r="D4" s="431" t="s">
        <v>19</v>
      </c>
      <c r="E4" s="432"/>
      <c r="F4" s="431" t="s">
        <v>18</v>
      </c>
      <c r="G4" s="445" t="s">
        <v>2</v>
      </c>
      <c r="H4" s="431" t="s">
        <v>19</v>
      </c>
      <c r="I4" s="445" t="s">
        <v>2</v>
      </c>
      <c r="J4" s="431" t="s">
        <v>18</v>
      </c>
      <c r="K4" s="445" t="s">
        <v>2</v>
      </c>
      <c r="L4" s="431" t="s">
        <v>19</v>
      </c>
      <c r="M4" s="446" t="s">
        <v>2</v>
      </c>
    </row>
    <row r="5" spans="1:13" ht="14.4" customHeight="1" x14ac:dyDescent="0.3">
      <c r="A5" s="428" t="s">
        <v>315</v>
      </c>
      <c r="B5" s="433">
        <v>44973.82</v>
      </c>
      <c r="C5" s="434">
        <v>1</v>
      </c>
      <c r="D5" s="442">
        <v>7</v>
      </c>
      <c r="E5" s="455" t="s">
        <v>315</v>
      </c>
      <c r="F5" s="433">
        <v>25860.28</v>
      </c>
      <c r="G5" s="449">
        <v>0.5750074154252407</v>
      </c>
      <c r="H5" s="435">
        <v>5</v>
      </c>
      <c r="I5" s="450">
        <v>0.7142857142857143</v>
      </c>
      <c r="J5" s="458">
        <v>19113.54</v>
      </c>
      <c r="K5" s="449">
        <v>0.4249925845747593</v>
      </c>
      <c r="L5" s="435">
        <v>2</v>
      </c>
      <c r="M5" s="450">
        <v>0.2857142857142857</v>
      </c>
    </row>
    <row r="6" spans="1:13" ht="14.4" customHeight="1" x14ac:dyDescent="0.3">
      <c r="A6" s="429" t="s">
        <v>316</v>
      </c>
      <c r="B6" s="436">
        <v>844843.60999999975</v>
      </c>
      <c r="C6" s="437">
        <v>1</v>
      </c>
      <c r="D6" s="443">
        <v>230</v>
      </c>
      <c r="E6" s="456" t="s">
        <v>316</v>
      </c>
      <c r="F6" s="436">
        <v>511158.37999999989</v>
      </c>
      <c r="G6" s="451">
        <v>0.60503313743474962</v>
      </c>
      <c r="H6" s="438">
        <v>116</v>
      </c>
      <c r="I6" s="452">
        <v>0.5043478260869565</v>
      </c>
      <c r="J6" s="459">
        <v>333685.22999999986</v>
      </c>
      <c r="K6" s="451">
        <v>0.39496686256525032</v>
      </c>
      <c r="L6" s="438">
        <v>114</v>
      </c>
      <c r="M6" s="452">
        <v>0.4956521739130435</v>
      </c>
    </row>
    <row r="7" spans="1:13" ht="14.4" customHeight="1" x14ac:dyDescent="0.3">
      <c r="A7" s="429" t="s">
        <v>317</v>
      </c>
      <c r="B7" s="436">
        <v>2843.1000000000004</v>
      </c>
      <c r="C7" s="437">
        <v>1</v>
      </c>
      <c r="D7" s="443">
        <v>26</v>
      </c>
      <c r="E7" s="456" t="s">
        <v>317</v>
      </c>
      <c r="F7" s="436">
        <v>0</v>
      </c>
      <c r="G7" s="451">
        <v>0</v>
      </c>
      <c r="H7" s="438">
        <v>23</v>
      </c>
      <c r="I7" s="452">
        <v>0.88461538461538458</v>
      </c>
      <c r="J7" s="459">
        <v>2843.1000000000004</v>
      </c>
      <c r="K7" s="451">
        <v>1</v>
      </c>
      <c r="L7" s="438">
        <v>3</v>
      </c>
      <c r="M7" s="452">
        <v>0.11538461538461539</v>
      </c>
    </row>
    <row r="8" spans="1:13" ht="14.4" customHeight="1" x14ac:dyDescent="0.3">
      <c r="A8" s="429" t="s">
        <v>318</v>
      </c>
      <c r="B8" s="436">
        <v>14160.56</v>
      </c>
      <c r="C8" s="437">
        <v>1</v>
      </c>
      <c r="D8" s="443">
        <v>4</v>
      </c>
      <c r="E8" s="456" t="s">
        <v>318</v>
      </c>
      <c r="F8" s="436">
        <v>7278.9</v>
      </c>
      <c r="G8" s="451">
        <v>0.51402628144649642</v>
      </c>
      <c r="H8" s="438">
        <v>1</v>
      </c>
      <c r="I8" s="452">
        <v>0.25</v>
      </c>
      <c r="J8" s="459">
        <v>6881.66</v>
      </c>
      <c r="K8" s="451">
        <v>0.48597371855350352</v>
      </c>
      <c r="L8" s="438">
        <v>3</v>
      </c>
      <c r="M8" s="452">
        <v>0.75</v>
      </c>
    </row>
    <row r="9" spans="1:13" ht="14.4" customHeight="1" thickBot="1" x14ac:dyDescent="0.35">
      <c r="A9" s="430" t="s">
        <v>319</v>
      </c>
      <c r="B9" s="439">
        <v>1776169.39</v>
      </c>
      <c r="C9" s="440">
        <v>1</v>
      </c>
      <c r="D9" s="444">
        <v>347</v>
      </c>
      <c r="E9" s="457" t="s">
        <v>319</v>
      </c>
      <c r="F9" s="439">
        <v>1143846.76</v>
      </c>
      <c r="G9" s="453">
        <v>0.64399643774966764</v>
      </c>
      <c r="H9" s="441">
        <v>198</v>
      </c>
      <c r="I9" s="454">
        <v>0.57060518731988474</v>
      </c>
      <c r="J9" s="460">
        <v>632322.62999999989</v>
      </c>
      <c r="K9" s="453">
        <v>0.35600356225033242</v>
      </c>
      <c r="L9" s="441">
        <v>149</v>
      </c>
      <c r="M9" s="454">
        <v>0.42939481268011526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43" t="s">
        <v>512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</row>
    <row r="2" spans="1:21" ht="14.4" customHeight="1" thickBot="1" x14ac:dyDescent="0.35">
      <c r="A2" s="235" t="s">
        <v>260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67"/>
      <c r="B3" s="368"/>
      <c r="C3" s="368"/>
      <c r="D3" s="368"/>
      <c r="E3" s="368"/>
      <c r="F3" s="368"/>
      <c r="G3" s="368"/>
      <c r="H3" s="368"/>
      <c r="I3" s="368"/>
      <c r="J3" s="368"/>
      <c r="K3" s="369" t="s">
        <v>126</v>
      </c>
      <c r="L3" s="370"/>
      <c r="M3" s="66">
        <f>SUBTOTAL(9,M7:M1048576)</f>
        <v>2682990.4799999991</v>
      </c>
      <c r="N3" s="66">
        <f>SUBTOTAL(9,N7:N1048576)</f>
        <v>23328</v>
      </c>
      <c r="O3" s="66">
        <f>SUBTOTAL(9,O7:O1048576)</f>
        <v>614</v>
      </c>
      <c r="P3" s="66">
        <f>SUBTOTAL(9,P7:P1048576)</f>
        <v>1688144.32</v>
      </c>
      <c r="Q3" s="67">
        <f>IF(M3=0,0,P3/M3)</f>
        <v>0.62920250093470353</v>
      </c>
      <c r="R3" s="66">
        <f>SUBTOTAL(9,R7:R1048576)</f>
        <v>14393</v>
      </c>
      <c r="S3" s="67">
        <f>IF(N3=0,0,R3/N3)</f>
        <v>0.61698388203017829</v>
      </c>
      <c r="T3" s="66">
        <f>SUBTOTAL(9,T7:T1048576)</f>
        <v>343</v>
      </c>
      <c r="U3" s="68">
        <f>IF(O3=0,0,T3/O3)</f>
        <v>0.55863192182410426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1" t="s">
        <v>14</v>
      </c>
      <c r="N4" s="372"/>
      <c r="O4" s="372"/>
      <c r="P4" s="373" t="s">
        <v>20</v>
      </c>
      <c r="Q4" s="372"/>
      <c r="R4" s="372"/>
      <c r="S4" s="372"/>
      <c r="T4" s="372"/>
      <c r="U4" s="374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64" t="s">
        <v>21</v>
      </c>
      <c r="Q5" s="365"/>
      <c r="R5" s="364" t="s">
        <v>12</v>
      </c>
      <c r="S5" s="365"/>
      <c r="T5" s="364" t="s">
        <v>19</v>
      </c>
      <c r="U5" s="366"/>
    </row>
    <row r="6" spans="1:21" s="209" customFormat="1" ht="14.4" customHeight="1" thickBot="1" x14ac:dyDescent="0.35">
      <c r="A6" s="461" t="s">
        <v>22</v>
      </c>
      <c r="B6" s="462" t="s">
        <v>5</v>
      </c>
      <c r="C6" s="461" t="s">
        <v>23</v>
      </c>
      <c r="D6" s="462" t="s">
        <v>6</v>
      </c>
      <c r="E6" s="462" t="s">
        <v>145</v>
      </c>
      <c r="F6" s="462" t="s">
        <v>24</v>
      </c>
      <c r="G6" s="462" t="s">
        <v>25</v>
      </c>
      <c r="H6" s="462" t="s">
        <v>8</v>
      </c>
      <c r="I6" s="462" t="s">
        <v>9</v>
      </c>
      <c r="J6" s="462" t="s">
        <v>10</v>
      </c>
      <c r="K6" s="462" t="s">
        <v>11</v>
      </c>
      <c r="L6" s="462" t="s">
        <v>26</v>
      </c>
      <c r="M6" s="463" t="s">
        <v>13</v>
      </c>
      <c r="N6" s="464" t="s">
        <v>27</v>
      </c>
      <c r="O6" s="464" t="s">
        <v>27</v>
      </c>
      <c r="P6" s="464" t="s">
        <v>13</v>
      </c>
      <c r="Q6" s="464" t="s">
        <v>2</v>
      </c>
      <c r="R6" s="464" t="s">
        <v>27</v>
      </c>
      <c r="S6" s="464" t="s">
        <v>2</v>
      </c>
      <c r="T6" s="464" t="s">
        <v>27</v>
      </c>
      <c r="U6" s="465" t="s">
        <v>2</v>
      </c>
    </row>
    <row r="7" spans="1:21" ht="14.4" customHeight="1" x14ac:dyDescent="0.3">
      <c r="A7" s="466">
        <v>57</v>
      </c>
      <c r="B7" s="467" t="s">
        <v>305</v>
      </c>
      <c r="C7" s="467">
        <v>89301594</v>
      </c>
      <c r="D7" s="468" t="s">
        <v>305</v>
      </c>
      <c r="E7" s="469" t="s">
        <v>315</v>
      </c>
      <c r="F7" s="467" t="s">
        <v>306</v>
      </c>
      <c r="G7" s="467" t="s">
        <v>320</v>
      </c>
      <c r="H7" s="467" t="s">
        <v>308</v>
      </c>
      <c r="I7" s="467" t="s">
        <v>321</v>
      </c>
      <c r="J7" s="467" t="s">
        <v>322</v>
      </c>
      <c r="K7" s="467"/>
      <c r="L7" s="470">
        <v>0</v>
      </c>
      <c r="M7" s="470">
        <v>0</v>
      </c>
      <c r="N7" s="467">
        <v>1</v>
      </c>
      <c r="O7" s="471">
        <v>0.5</v>
      </c>
      <c r="P7" s="470">
        <v>0</v>
      </c>
      <c r="Q7" s="472"/>
      <c r="R7" s="467">
        <v>1</v>
      </c>
      <c r="S7" s="472">
        <v>1</v>
      </c>
      <c r="T7" s="471">
        <v>0.5</v>
      </c>
      <c r="U7" s="122">
        <v>1</v>
      </c>
    </row>
    <row r="8" spans="1:21" ht="14.4" customHeight="1" x14ac:dyDescent="0.3">
      <c r="A8" s="447">
        <v>57</v>
      </c>
      <c r="B8" s="437" t="s">
        <v>305</v>
      </c>
      <c r="C8" s="437">
        <v>89301594</v>
      </c>
      <c r="D8" s="473" t="s">
        <v>305</v>
      </c>
      <c r="E8" s="474" t="s">
        <v>315</v>
      </c>
      <c r="F8" s="437" t="s">
        <v>306</v>
      </c>
      <c r="G8" s="437" t="s">
        <v>323</v>
      </c>
      <c r="H8" s="437" t="s">
        <v>511</v>
      </c>
      <c r="I8" s="437" t="s">
        <v>324</v>
      </c>
      <c r="J8" s="437" t="s">
        <v>325</v>
      </c>
      <c r="K8" s="437" t="s">
        <v>326</v>
      </c>
      <c r="L8" s="475">
        <v>21.06</v>
      </c>
      <c r="M8" s="475">
        <v>842.4</v>
      </c>
      <c r="N8" s="437">
        <v>40</v>
      </c>
      <c r="O8" s="476">
        <v>1</v>
      </c>
      <c r="P8" s="475">
        <v>842.4</v>
      </c>
      <c r="Q8" s="451">
        <v>1</v>
      </c>
      <c r="R8" s="437">
        <v>40</v>
      </c>
      <c r="S8" s="451">
        <v>1</v>
      </c>
      <c r="T8" s="476">
        <v>1</v>
      </c>
      <c r="U8" s="452">
        <v>1</v>
      </c>
    </row>
    <row r="9" spans="1:21" ht="14.4" customHeight="1" x14ac:dyDescent="0.3">
      <c r="A9" s="447">
        <v>57</v>
      </c>
      <c r="B9" s="437" t="s">
        <v>305</v>
      </c>
      <c r="C9" s="437">
        <v>89301594</v>
      </c>
      <c r="D9" s="473" t="s">
        <v>305</v>
      </c>
      <c r="E9" s="474" t="s">
        <v>315</v>
      </c>
      <c r="F9" s="437" t="s">
        <v>306</v>
      </c>
      <c r="G9" s="437" t="s">
        <v>323</v>
      </c>
      <c r="H9" s="437" t="s">
        <v>511</v>
      </c>
      <c r="I9" s="437" t="s">
        <v>327</v>
      </c>
      <c r="J9" s="437" t="s">
        <v>328</v>
      </c>
      <c r="K9" s="437" t="s">
        <v>329</v>
      </c>
      <c r="L9" s="475">
        <v>105.31</v>
      </c>
      <c r="M9" s="475">
        <v>6318.6</v>
      </c>
      <c r="N9" s="437">
        <v>60</v>
      </c>
      <c r="O9" s="476">
        <v>0.5</v>
      </c>
      <c r="P9" s="475">
        <v>6318.6</v>
      </c>
      <c r="Q9" s="451">
        <v>1</v>
      </c>
      <c r="R9" s="437">
        <v>60</v>
      </c>
      <c r="S9" s="451">
        <v>1</v>
      </c>
      <c r="T9" s="476">
        <v>0.5</v>
      </c>
      <c r="U9" s="452">
        <v>1</v>
      </c>
    </row>
    <row r="10" spans="1:21" ht="14.4" customHeight="1" x14ac:dyDescent="0.3">
      <c r="A10" s="447">
        <v>57</v>
      </c>
      <c r="B10" s="437" t="s">
        <v>305</v>
      </c>
      <c r="C10" s="437">
        <v>89301594</v>
      </c>
      <c r="D10" s="473" t="s">
        <v>305</v>
      </c>
      <c r="E10" s="474" t="s">
        <v>315</v>
      </c>
      <c r="F10" s="437" t="s">
        <v>306</v>
      </c>
      <c r="G10" s="437" t="s">
        <v>323</v>
      </c>
      <c r="H10" s="437" t="s">
        <v>511</v>
      </c>
      <c r="I10" s="437" t="s">
        <v>330</v>
      </c>
      <c r="J10" s="437" t="s">
        <v>331</v>
      </c>
      <c r="K10" s="437" t="s">
        <v>329</v>
      </c>
      <c r="L10" s="475">
        <v>108.47</v>
      </c>
      <c r="M10" s="475">
        <v>11063.939999999999</v>
      </c>
      <c r="N10" s="437">
        <v>102</v>
      </c>
      <c r="O10" s="476">
        <v>1.5</v>
      </c>
      <c r="P10" s="475">
        <v>6508.2</v>
      </c>
      <c r="Q10" s="451">
        <v>0.58823529411764708</v>
      </c>
      <c r="R10" s="437">
        <v>60</v>
      </c>
      <c r="S10" s="451">
        <v>0.58823529411764708</v>
      </c>
      <c r="T10" s="476">
        <v>0.5</v>
      </c>
      <c r="U10" s="452">
        <v>0.33333333333333331</v>
      </c>
    </row>
    <row r="11" spans="1:21" ht="14.4" customHeight="1" x14ac:dyDescent="0.3">
      <c r="A11" s="447">
        <v>57</v>
      </c>
      <c r="B11" s="437" t="s">
        <v>305</v>
      </c>
      <c r="C11" s="437">
        <v>89301594</v>
      </c>
      <c r="D11" s="473" t="s">
        <v>305</v>
      </c>
      <c r="E11" s="474" t="s">
        <v>315</v>
      </c>
      <c r="F11" s="437" t="s">
        <v>306</v>
      </c>
      <c r="G11" s="437" t="s">
        <v>323</v>
      </c>
      <c r="H11" s="437" t="s">
        <v>511</v>
      </c>
      <c r="I11" s="437" t="s">
        <v>332</v>
      </c>
      <c r="J11" s="437" t="s">
        <v>333</v>
      </c>
      <c r="K11" s="437" t="s">
        <v>334</v>
      </c>
      <c r="L11" s="475">
        <v>126.28</v>
      </c>
      <c r="M11" s="475">
        <v>1515.3600000000001</v>
      </c>
      <c r="N11" s="437">
        <v>12</v>
      </c>
      <c r="O11" s="476">
        <v>0.5</v>
      </c>
      <c r="P11" s="475">
        <v>1515.3600000000001</v>
      </c>
      <c r="Q11" s="451">
        <v>1</v>
      </c>
      <c r="R11" s="437">
        <v>12</v>
      </c>
      <c r="S11" s="451">
        <v>1</v>
      </c>
      <c r="T11" s="476">
        <v>0.5</v>
      </c>
      <c r="U11" s="452">
        <v>1</v>
      </c>
    </row>
    <row r="12" spans="1:21" ht="14.4" customHeight="1" x14ac:dyDescent="0.3">
      <c r="A12" s="447">
        <v>57</v>
      </c>
      <c r="B12" s="437" t="s">
        <v>305</v>
      </c>
      <c r="C12" s="437">
        <v>89301594</v>
      </c>
      <c r="D12" s="473" t="s">
        <v>305</v>
      </c>
      <c r="E12" s="474" t="s">
        <v>315</v>
      </c>
      <c r="F12" s="437" t="s">
        <v>306</v>
      </c>
      <c r="G12" s="437" t="s">
        <v>323</v>
      </c>
      <c r="H12" s="437" t="s">
        <v>511</v>
      </c>
      <c r="I12" s="437" t="s">
        <v>335</v>
      </c>
      <c r="J12" s="437" t="s">
        <v>336</v>
      </c>
      <c r="K12" s="437" t="s">
        <v>337</v>
      </c>
      <c r="L12" s="475">
        <v>242.63</v>
      </c>
      <c r="M12" s="475">
        <v>25233.519999999997</v>
      </c>
      <c r="N12" s="437">
        <v>104</v>
      </c>
      <c r="O12" s="476">
        <v>3</v>
      </c>
      <c r="P12" s="475">
        <v>10675.72</v>
      </c>
      <c r="Q12" s="451">
        <v>0.42307692307692313</v>
      </c>
      <c r="R12" s="437">
        <v>44</v>
      </c>
      <c r="S12" s="451">
        <v>0.42307692307692307</v>
      </c>
      <c r="T12" s="476">
        <v>2</v>
      </c>
      <c r="U12" s="452">
        <v>0.66666666666666663</v>
      </c>
    </row>
    <row r="13" spans="1:21" ht="14.4" customHeight="1" x14ac:dyDescent="0.3">
      <c r="A13" s="447">
        <v>57</v>
      </c>
      <c r="B13" s="437" t="s">
        <v>305</v>
      </c>
      <c r="C13" s="437">
        <v>89301594</v>
      </c>
      <c r="D13" s="473" t="s">
        <v>305</v>
      </c>
      <c r="E13" s="474" t="s">
        <v>316</v>
      </c>
      <c r="F13" s="437" t="s">
        <v>306</v>
      </c>
      <c r="G13" s="437" t="s">
        <v>320</v>
      </c>
      <c r="H13" s="437" t="s">
        <v>308</v>
      </c>
      <c r="I13" s="437" t="s">
        <v>321</v>
      </c>
      <c r="J13" s="437" t="s">
        <v>322</v>
      </c>
      <c r="K13" s="437"/>
      <c r="L13" s="475">
        <v>0</v>
      </c>
      <c r="M13" s="475">
        <v>0</v>
      </c>
      <c r="N13" s="437">
        <v>109</v>
      </c>
      <c r="O13" s="476">
        <v>3.5</v>
      </c>
      <c r="P13" s="475">
        <v>0</v>
      </c>
      <c r="Q13" s="451"/>
      <c r="R13" s="437">
        <v>90</v>
      </c>
      <c r="S13" s="451">
        <v>0.82568807339449546</v>
      </c>
      <c r="T13" s="476">
        <v>2</v>
      </c>
      <c r="U13" s="452">
        <v>0.5714285714285714</v>
      </c>
    </row>
    <row r="14" spans="1:21" ht="14.4" customHeight="1" x14ac:dyDescent="0.3">
      <c r="A14" s="447">
        <v>57</v>
      </c>
      <c r="B14" s="437" t="s">
        <v>305</v>
      </c>
      <c r="C14" s="437">
        <v>89301594</v>
      </c>
      <c r="D14" s="473" t="s">
        <v>305</v>
      </c>
      <c r="E14" s="474" t="s">
        <v>316</v>
      </c>
      <c r="F14" s="437" t="s">
        <v>306</v>
      </c>
      <c r="G14" s="437" t="s">
        <v>323</v>
      </c>
      <c r="H14" s="437" t="s">
        <v>511</v>
      </c>
      <c r="I14" s="437" t="s">
        <v>338</v>
      </c>
      <c r="J14" s="437" t="s">
        <v>339</v>
      </c>
      <c r="K14" s="437" t="s">
        <v>326</v>
      </c>
      <c r="L14" s="475">
        <v>32.6</v>
      </c>
      <c r="M14" s="475">
        <v>260.8</v>
      </c>
      <c r="N14" s="437">
        <v>8</v>
      </c>
      <c r="O14" s="476">
        <v>0.5</v>
      </c>
      <c r="P14" s="475"/>
      <c r="Q14" s="451">
        <v>0</v>
      </c>
      <c r="R14" s="437"/>
      <c r="S14" s="451">
        <v>0</v>
      </c>
      <c r="T14" s="476"/>
      <c r="U14" s="452">
        <v>0</v>
      </c>
    </row>
    <row r="15" spans="1:21" ht="14.4" customHeight="1" x14ac:dyDescent="0.3">
      <c r="A15" s="447">
        <v>57</v>
      </c>
      <c r="B15" s="437" t="s">
        <v>305</v>
      </c>
      <c r="C15" s="437">
        <v>89301594</v>
      </c>
      <c r="D15" s="473" t="s">
        <v>305</v>
      </c>
      <c r="E15" s="474" t="s">
        <v>316</v>
      </c>
      <c r="F15" s="437" t="s">
        <v>306</v>
      </c>
      <c r="G15" s="437" t="s">
        <v>323</v>
      </c>
      <c r="H15" s="437" t="s">
        <v>511</v>
      </c>
      <c r="I15" s="437" t="s">
        <v>340</v>
      </c>
      <c r="J15" s="437" t="s">
        <v>341</v>
      </c>
      <c r="K15" s="437" t="s">
        <v>326</v>
      </c>
      <c r="L15" s="475">
        <v>33.090000000000003</v>
      </c>
      <c r="M15" s="475">
        <v>496.35</v>
      </c>
      <c r="N15" s="437">
        <v>15</v>
      </c>
      <c r="O15" s="476">
        <v>0.5</v>
      </c>
      <c r="P15" s="475"/>
      <c r="Q15" s="451">
        <v>0</v>
      </c>
      <c r="R15" s="437"/>
      <c r="S15" s="451">
        <v>0</v>
      </c>
      <c r="T15" s="476"/>
      <c r="U15" s="452">
        <v>0</v>
      </c>
    </row>
    <row r="16" spans="1:21" ht="14.4" customHeight="1" x14ac:dyDescent="0.3">
      <c r="A16" s="447">
        <v>57</v>
      </c>
      <c r="B16" s="437" t="s">
        <v>305</v>
      </c>
      <c r="C16" s="437">
        <v>89301594</v>
      </c>
      <c r="D16" s="473" t="s">
        <v>305</v>
      </c>
      <c r="E16" s="474" t="s">
        <v>316</v>
      </c>
      <c r="F16" s="437" t="s">
        <v>306</v>
      </c>
      <c r="G16" s="437" t="s">
        <v>323</v>
      </c>
      <c r="H16" s="437" t="s">
        <v>511</v>
      </c>
      <c r="I16" s="437" t="s">
        <v>342</v>
      </c>
      <c r="J16" s="437" t="s">
        <v>343</v>
      </c>
      <c r="K16" s="437" t="s">
        <v>326</v>
      </c>
      <c r="L16" s="475">
        <v>33.090000000000003</v>
      </c>
      <c r="M16" s="475">
        <v>496.35</v>
      </c>
      <c r="N16" s="437">
        <v>15</v>
      </c>
      <c r="O16" s="476">
        <v>0.5</v>
      </c>
      <c r="P16" s="475"/>
      <c r="Q16" s="451">
        <v>0</v>
      </c>
      <c r="R16" s="437"/>
      <c r="S16" s="451">
        <v>0</v>
      </c>
      <c r="T16" s="476"/>
      <c r="U16" s="452">
        <v>0</v>
      </c>
    </row>
    <row r="17" spans="1:21" ht="14.4" customHeight="1" x14ac:dyDescent="0.3">
      <c r="A17" s="447">
        <v>57</v>
      </c>
      <c r="B17" s="437" t="s">
        <v>305</v>
      </c>
      <c r="C17" s="437">
        <v>89301594</v>
      </c>
      <c r="D17" s="473" t="s">
        <v>305</v>
      </c>
      <c r="E17" s="474" t="s">
        <v>316</v>
      </c>
      <c r="F17" s="437" t="s">
        <v>306</v>
      </c>
      <c r="G17" s="437" t="s">
        <v>323</v>
      </c>
      <c r="H17" s="437" t="s">
        <v>511</v>
      </c>
      <c r="I17" s="437" t="s">
        <v>344</v>
      </c>
      <c r="J17" s="437" t="s">
        <v>345</v>
      </c>
      <c r="K17" s="437" t="s">
        <v>326</v>
      </c>
      <c r="L17" s="475">
        <v>33.090000000000003</v>
      </c>
      <c r="M17" s="475">
        <v>330.90000000000003</v>
      </c>
      <c r="N17" s="437">
        <v>10</v>
      </c>
      <c r="O17" s="476">
        <v>0.5</v>
      </c>
      <c r="P17" s="475"/>
      <c r="Q17" s="451">
        <v>0</v>
      </c>
      <c r="R17" s="437"/>
      <c r="S17" s="451">
        <v>0</v>
      </c>
      <c r="T17" s="476"/>
      <c r="U17" s="452">
        <v>0</v>
      </c>
    </row>
    <row r="18" spans="1:21" ht="14.4" customHeight="1" x14ac:dyDescent="0.3">
      <c r="A18" s="447">
        <v>57</v>
      </c>
      <c r="B18" s="437" t="s">
        <v>305</v>
      </c>
      <c r="C18" s="437">
        <v>89301594</v>
      </c>
      <c r="D18" s="473" t="s">
        <v>305</v>
      </c>
      <c r="E18" s="474" t="s">
        <v>316</v>
      </c>
      <c r="F18" s="437" t="s">
        <v>306</v>
      </c>
      <c r="G18" s="437" t="s">
        <v>323</v>
      </c>
      <c r="H18" s="437" t="s">
        <v>511</v>
      </c>
      <c r="I18" s="437" t="s">
        <v>346</v>
      </c>
      <c r="J18" s="437" t="s">
        <v>347</v>
      </c>
      <c r="K18" s="437" t="s">
        <v>326</v>
      </c>
      <c r="L18" s="475">
        <v>32.380000000000003</v>
      </c>
      <c r="M18" s="475">
        <v>485.70000000000005</v>
      </c>
      <c r="N18" s="437">
        <v>15</v>
      </c>
      <c r="O18" s="476">
        <v>0.5</v>
      </c>
      <c r="P18" s="475">
        <v>485.70000000000005</v>
      </c>
      <c r="Q18" s="451">
        <v>1</v>
      </c>
      <c r="R18" s="437">
        <v>15</v>
      </c>
      <c r="S18" s="451">
        <v>1</v>
      </c>
      <c r="T18" s="476">
        <v>0.5</v>
      </c>
      <c r="U18" s="452">
        <v>1</v>
      </c>
    </row>
    <row r="19" spans="1:21" ht="14.4" customHeight="1" x14ac:dyDescent="0.3">
      <c r="A19" s="447">
        <v>57</v>
      </c>
      <c r="B19" s="437" t="s">
        <v>305</v>
      </c>
      <c r="C19" s="437">
        <v>89301594</v>
      </c>
      <c r="D19" s="473" t="s">
        <v>305</v>
      </c>
      <c r="E19" s="474" t="s">
        <v>316</v>
      </c>
      <c r="F19" s="437" t="s">
        <v>306</v>
      </c>
      <c r="G19" s="437" t="s">
        <v>323</v>
      </c>
      <c r="H19" s="437" t="s">
        <v>511</v>
      </c>
      <c r="I19" s="437" t="s">
        <v>348</v>
      </c>
      <c r="J19" s="437" t="s">
        <v>349</v>
      </c>
      <c r="K19" s="437" t="s">
        <v>326</v>
      </c>
      <c r="L19" s="475">
        <v>32.380000000000003</v>
      </c>
      <c r="M19" s="475">
        <v>323.8</v>
      </c>
      <c r="N19" s="437">
        <v>10</v>
      </c>
      <c r="O19" s="476">
        <v>0.5</v>
      </c>
      <c r="P19" s="475"/>
      <c r="Q19" s="451">
        <v>0</v>
      </c>
      <c r="R19" s="437"/>
      <c r="S19" s="451">
        <v>0</v>
      </c>
      <c r="T19" s="476"/>
      <c r="U19" s="452">
        <v>0</v>
      </c>
    </row>
    <row r="20" spans="1:21" ht="14.4" customHeight="1" x14ac:dyDescent="0.3">
      <c r="A20" s="447">
        <v>57</v>
      </c>
      <c r="B20" s="437" t="s">
        <v>305</v>
      </c>
      <c r="C20" s="437">
        <v>89301594</v>
      </c>
      <c r="D20" s="473" t="s">
        <v>305</v>
      </c>
      <c r="E20" s="474" t="s">
        <v>316</v>
      </c>
      <c r="F20" s="437" t="s">
        <v>306</v>
      </c>
      <c r="G20" s="437" t="s">
        <v>323</v>
      </c>
      <c r="H20" s="437" t="s">
        <v>511</v>
      </c>
      <c r="I20" s="437" t="s">
        <v>350</v>
      </c>
      <c r="J20" s="437" t="s">
        <v>351</v>
      </c>
      <c r="K20" s="437" t="s">
        <v>352</v>
      </c>
      <c r="L20" s="475">
        <v>189.56</v>
      </c>
      <c r="M20" s="475">
        <v>21609.839999999997</v>
      </c>
      <c r="N20" s="437">
        <v>114</v>
      </c>
      <c r="O20" s="476">
        <v>7.5</v>
      </c>
      <c r="P20" s="475">
        <v>2085.16</v>
      </c>
      <c r="Q20" s="451">
        <v>9.6491228070175447E-2</v>
      </c>
      <c r="R20" s="437">
        <v>11</v>
      </c>
      <c r="S20" s="451">
        <v>9.6491228070175433E-2</v>
      </c>
      <c r="T20" s="476">
        <v>1.5</v>
      </c>
      <c r="U20" s="452">
        <v>0.2</v>
      </c>
    </row>
    <row r="21" spans="1:21" ht="14.4" customHeight="1" x14ac:dyDescent="0.3">
      <c r="A21" s="447">
        <v>57</v>
      </c>
      <c r="B21" s="437" t="s">
        <v>305</v>
      </c>
      <c r="C21" s="437">
        <v>89301594</v>
      </c>
      <c r="D21" s="473" t="s">
        <v>305</v>
      </c>
      <c r="E21" s="474" t="s">
        <v>316</v>
      </c>
      <c r="F21" s="437" t="s">
        <v>306</v>
      </c>
      <c r="G21" s="437" t="s">
        <v>323</v>
      </c>
      <c r="H21" s="437" t="s">
        <v>511</v>
      </c>
      <c r="I21" s="437" t="s">
        <v>350</v>
      </c>
      <c r="J21" s="437" t="s">
        <v>351</v>
      </c>
      <c r="K21" s="437" t="s">
        <v>352</v>
      </c>
      <c r="L21" s="475">
        <v>194.26</v>
      </c>
      <c r="M21" s="475">
        <v>58083.740000000005</v>
      </c>
      <c r="N21" s="437">
        <v>299</v>
      </c>
      <c r="O21" s="476">
        <v>32.5</v>
      </c>
      <c r="P21" s="475">
        <v>18648.96</v>
      </c>
      <c r="Q21" s="451">
        <v>0.32107023411371233</v>
      </c>
      <c r="R21" s="437">
        <v>96</v>
      </c>
      <c r="S21" s="451">
        <v>0.32107023411371238</v>
      </c>
      <c r="T21" s="476">
        <v>11</v>
      </c>
      <c r="U21" s="452">
        <v>0.33846153846153848</v>
      </c>
    </row>
    <row r="22" spans="1:21" ht="14.4" customHeight="1" x14ac:dyDescent="0.3">
      <c r="A22" s="447">
        <v>57</v>
      </c>
      <c r="B22" s="437" t="s">
        <v>305</v>
      </c>
      <c r="C22" s="437">
        <v>89301594</v>
      </c>
      <c r="D22" s="473" t="s">
        <v>305</v>
      </c>
      <c r="E22" s="474" t="s">
        <v>316</v>
      </c>
      <c r="F22" s="437" t="s">
        <v>306</v>
      </c>
      <c r="G22" s="437" t="s">
        <v>323</v>
      </c>
      <c r="H22" s="437" t="s">
        <v>511</v>
      </c>
      <c r="I22" s="437" t="s">
        <v>353</v>
      </c>
      <c r="J22" s="437" t="s">
        <v>354</v>
      </c>
      <c r="K22" s="437" t="s">
        <v>326</v>
      </c>
      <c r="L22" s="475">
        <v>33.090000000000003</v>
      </c>
      <c r="M22" s="475">
        <v>496.35</v>
      </c>
      <c r="N22" s="437">
        <v>15</v>
      </c>
      <c r="O22" s="476">
        <v>0.5</v>
      </c>
      <c r="P22" s="475"/>
      <c r="Q22" s="451">
        <v>0</v>
      </c>
      <c r="R22" s="437"/>
      <c r="S22" s="451">
        <v>0</v>
      </c>
      <c r="T22" s="476"/>
      <c r="U22" s="452">
        <v>0</v>
      </c>
    </row>
    <row r="23" spans="1:21" ht="14.4" customHeight="1" x14ac:dyDescent="0.3">
      <c r="A23" s="447">
        <v>57</v>
      </c>
      <c r="B23" s="437" t="s">
        <v>305</v>
      </c>
      <c r="C23" s="437">
        <v>89301594</v>
      </c>
      <c r="D23" s="473" t="s">
        <v>305</v>
      </c>
      <c r="E23" s="474" t="s">
        <v>316</v>
      </c>
      <c r="F23" s="437" t="s">
        <v>306</v>
      </c>
      <c r="G23" s="437" t="s">
        <v>323</v>
      </c>
      <c r="H23" s="437" t="s">
        <v>511</v>
      </c>
      <c r="I23" s="437" t="s">
        <v>355</v>
      </c>
      <c r="J23" s="437" t="s">
        <v>356</v>
      </c>
      <c r="K23" s="437" t="s">
        <v>326</v>
      </c>
      <c r="L23" s="475">
        <v>21.06</v>
      </c>
      <c r="M23" s="475">
        <v>631.79999999999995</v>
      </c>
      <c r="N23" s="437">
        <v>30</v>
      </c>
      <c r="O23" s="476">
        <v>1</v>
      </c>
      <c r="P23" s="475">
        <v>631.79999999999995</v>
      </c>
      <c r="Q23" s="451">
        <v>1</v>
      </c>
      <c r="R23" s="437">
        <v>30</v>
      </c>
      <c r="S23" s="451">
        <v>1</v>
      </c>
      <c r="T23" s="476">
        <v>1</v>
      </c>
      <c r="U23" s="452">
        <v>1</v>
      </c>
    </row>
    <row r="24" spans="1:21" ht="14.4" customHeight="1" x14ac:dyDescent="0.3">
      <c r="A24" s="447">
        <v>57</v>
      </c>
      <c r="B24" s="437" t="s">
        <v>305</v>
      </c>
      <c r="C24" s="437">
        <v>89301594</v>
      </c>
      <c r="D24" s="473" t="s">
        <v>305</v>
      </c>
      <c r="E24" s="474" t="s">
        <v>316</v>
      </c>
      <c r="F24" s="437" t="s">
        <v>306</v>
      </c>
      <c r="G24" s="437" t="s">
        <v>323</v>
      </c>
      <c r="H24" s="437" t="s">
        <v>511</v>
      </c>
      <c r="I24" s="437" t="s">
        <v>324</v>
      </c>
      <c r="J24" s="437" t="s">
        <v>325</v>
      </c>
      <c r="K24" s="437" t="s">
        <v>326</v>
      </c>
      <c r="L24" s="475">
        <v>21.06</v>
      </c>
      <c r="M24" s="475">
        <v>1579.5</v>
      </c>
      <c r="N24" s="437">
        <v>75</v>
      </c>
      <c r="O24" s="476">
        <v>2.5</v>
      </c>
      <c r="P24" s="475">
        <v>1263.5999999999999</v>
      </c>
      <c r="Q24" s="451">
        <v>0.79999999999999993</v>
      </c>
      <c r="R24" s="437">
        <v>60</v>
      </c>
      <c r="S24" s="451">
        <v>0.8</v>
      </c>
      <c r="T24" s="476">
        <v>2</v>
      </c>
      <c r="U24" s="452">
        <v>0.8</v>
      </c>
    </row>
    <row r="25" spans="1:21" ht="14.4" customHeight="1" x14ac:dyDescent="0.3">
      <c r="A25" s="447">
        <v>57</v>
      </c>
      <c r="B25" s="437" t="s">
        <v>305</v>
      </c>
      <c r="C25" s="437">
        <v>89301594</v>
      </c>
      <c r="D25" s="473" t="s">
        <v>305</v>
      </c>
      <c r="E25" s="474" t="s">
        <v>316</v>
      </c>
      <c r="F25" s="437" t="s">
        <v>306</v>
      </c>
      <c r="G25" s="437" t="s">
        <v>323</v>
      </c>
      <c r="H25" s="437" t="s">
        <v>511</v>
      </c>
      <c r="I25" s="437" t="s">
        <v>357</v>
      </c>
      <c r="J25" s="437" t="s">
        <v>358</v>
      </c>
      <c r="K25" s="437" t="s">
        <v>326</v>
      </c>
      <c r="L25" s="475">
        <v>26.33</v>
      </c>
      <c r="M25" s="475">
        <v>2238.0499999999997</v>
      </c>
      <c r="N25" s="437">
        <v>85</v>
      </c>
      <c r="O25" s="476">
        <v>3</v>
      </c>
      <c r="P25" s="475">
        <v>1711.4499999999998</v>
      </c>
      <c r="Q25" s="451">
        <v>0.76470588235294124</v>
      </c>
      <c r="R25" s="437">
        <v>65</v>
      </c>
      <c r="S25" s="451">
        <v>0.76470588235294112</v>
      </c>
      <c r="T25" s="476">
        <v>2</v>
      </c>
      <c r="U25" s="452">
        <v>0.66666666666666663</v>
      </c>
    </row>
    <row r="26" spans="1:21" ht="14.4" customHeight="1" x14ac:dyDescent="0.3">
      <c r="A26" s="447">
        <v>57</v>
      </c>
      <c r="B26" s="437" t="s">
        <v>305</v>
      </c>
      <c r="C26" s="437">
        <v>89301594</v>
      </c>
      <c r="D26" s="473" t="s">
        <v>305</v>
      </c>
      <c r="E26" s="474" t="s">
        <v>316</v>
      </c>
      <c r="F26" s="437" t="s">
        <v>306</v>
      </c>
      <c r="G26" s="437" t="s">
        <v>323</v>
      </c>
      <c r="H26" s="437" t="s">
        <v>511</v>
      </c>
      <c r="I26" s="437" t="s">
        <v>359</v>
      </c>
      <c r="J26" s="437" t="s">
        <v>360</v>
      </c>
      <c r="K26" s="437" t="s">
        <v>326</v>
      </c>
      <c r="L26" s="475">
        <v>26.33</v>
      </c>
      <c r="M26" s="475">
        <v>1974.75</v>
      </c>
      <c r="N26" s="437">
        <v>75</v>
      </c>
      <c r="O26" s="476">
        <v>4</v>
      </c>
      <c r="P26" s="475">
        <v>1843.1</v>
      </c>
      <c r="Q26" s="451">
        <v>0.93333333333333324</v>
      </c>
      <c r="R26" s="437">
        <v>70</v>
      </c>
      <c r="S26" s="451">
        <v>0.93333333333333335</v>
      </c>
      <c r="T26" s="476">
        <v>3.5</v>
      </c>
      <c r="U26" s="452">
        <v>0.875</v>
      </c>
    </row>
    <row r="27" spans="1:21" ht="14.4" customHeight="1" x14ac:dyDescent="0.3">
      <c r="A27" s="447">
        <v>57</v>
      </c>
      <c r="B27" s="437" t="s">
        <v>305</v>
      </c>
      <c r="C27" s="437">
        <v>89301594</v>
      </c>
      <c r="D27" s="473" t="s">
        <v>305</v>
      </c>
      <c r="E27" s="474" t="s">
        <v>316</v>
      </c>
      <c r="F27" s="437" t="s">
        <v>306</v>
      </c>
      <c r="G27" s="437" t="s">
        <v>323</v>
      </c>
      <c r="H27" s="437" t="s">
        <v>511</v>
      </c>
      <c r="I27" s="437" t="s">
        <v>361</v>
      </c>
      <c r="J27" s="437" t="s">
        <v>362</v>
      </c>
      <c r="K27" s="437" t="s">
        <v>326</v>
      </c>
      <c r="L27" s="475">
        <v>26.33</v>
      </c>
      <c r="M27" s="475">
        <v>1448.15</v>
      </c>
      <c r="N27" s="437">
        <v>55</v>
      </c>
      <c r="O27" s="476">
        <v>2</v>
      </c>
      <c r="P27" s="475">
        <v>658.25</v>
      </c>
      <c r="Q27" s="451">
        <v>0.45454545454545453</v>
      </c>
      <c r="R27" s="437">
        <v>25</v>
      </c>
      <c r="S27" s="451">
        <v>0.45454545454545453</v>
      </c>
      <c r="T27" s="476">
        <v>0.5</v>
      </c>
      <c r="U27" s="452">
        <v>0.25</v>
      </c>
    </row>
    <row r="28" spans="1:21" ht="14.4" customHeight="1" x14ac:dyDescent="0.3">
      <c r="A28" s="447">
        <v>57</v>
      </c>
      <c r="B28" s="437" t="s">
        <v>305</v>
      </c>
      <c r="C28" s="437">
        <v>89301594</v>
      </c>
      <c r="D28" s="473" t="s">
        <v>305</v>
      </c>
      <c r="E28" s="474" t="s">
        <v>316</v>
      </c>
      <c r="F28" s="437" t="s">
        <v>306</v>
      </c>
      <c r="G28" s="437" t="s">
        <v>323</v>
      </c>
      <c r="H28" s="437" t="s">
        <v>511</v>
      </c>
      <c r="I28" s="437" t="s">
        <v>363</v>
      </c>
      <c r="J28" s="437" t="s">
        <v>364</v>
      </c>
      <c r="K28" s="437" t="s">
        <v>326</v>
      </c>
      <c r="L28" s="475">
        <v>31.59</v>
      </c>
      <c r="M28" s="475">
        <v>916.1099999999999</v>
      </c>
      <c r="N28" s="437">
        <v>29</v>
      </c>
      <c r="O28" s="476">
        <v>1</v>
      </c>
      <c r="P28" s="475"/>
      <c r="Q28" s="451">
        <v>0</v>
      </c>
      <c r="R28" s="437"/>
      <c r="S28" s="451">
        <v>0</v>
      </c>
      <c r="T28" s="476"/>
      <c r="U28" s="452">
        <v>0</v>
      </c>
    </row>
    <row r="29" spans="1:21" ht="14.4" customHeight="1" x14ac:dyDescent="0.3">
      <c r="A29" s="447">
        <v>57</v>
      </c>
      <c r="B29" s="437" t="s">
        <v>305</v>
      </c>
      <c r="C29" s="437">
        <v>89301594</v>
      </c>
      <c r="D29" s="473" t="s">
        <v>305</v>
      </c>
      <c r="E29" s="474" t="s">
        <v>316</v>
      </c>
      <c r="F29" s="437" t="s">
        <v>306</v>
      </c>
      <c r="G29" s="437" t="s">
        <v>323</v>
      </c>
      <c r="H29" s="437" t="s">
        <v>511</v>
      </c>
      <c r="I29" s="437" t="s">
        <v>365</v>
      </c>
      <c r="J29" s="437" t="s">
        <v>366</v>
      </c>
      <c r="K29" s="437" t="s">
        <v>326</v>
      </c>
      <c r="L29" s="475">
        <v>31.59</v>
      </c>
      <c r="M29" s="475">
        <v>916.1099999999999</v>
      </c>
      <c r="N29" s="437">
        <v>29</v>
      </c>
      <c r="O29" s="476">
        <v>1</v>
      </c>
      <c r="P29" s="475"/>
      <c r="Q29" s="451">
        <v>0</v>
      </c>
      <c r="R29" s="437"/>
      <c r="S29" s="451">
        <v>0</v>
      </c>
      <c r="T29" s="476"/>
      <c r="U29" s="452">
        <v>0</v>
      </c>
    </row>
    <row r="30" spans="1:21" ht="14.4" customHeight="1" x14ac:dyDescent="0.3">
      <c r="A30" s="447">
        <v>57</v>
      </c>
      <c r="B30" s="437" t="s">
        <v>305</v>
      </c>
      <c r="C30" s="437">
        <v>89301594</v>
      </c>
      <c r="D30" s="473" t="s">
        <v>305</v>
      </c>
      <c r="E30" s="474" t="s">
        <v>316</v>
      </c>
      <c r="F30" s="437" t="s">
        <v>306</v>
      </c>
      <c r="G30" s="437" t="s">
        <v>323</v>
      </c>
      <c r="H30" s="437" t="s">
        <v>511</v>
      </c>
      <c r="I30" s="437" t="s">
        <v>367</v>
      </c>
      <c r="J30" s="437" t="s">
        <v>368</v>
      </c>
      <c r="K30" s="437" t="s">
        <v>326</v>
      </c>
      <c r="L30" s="475">
        <v>31.59</v>
      </c>
      <c r="M30" s="475">
        <v>473.85</v>
      </c>
      <c r="N30" s="437">
        <v>15</v>
      </c>
      <c r="O30" s="476">
        <v>0.5</v>
      </c>
      <c r="P30" s="475">
        <v>473.85</v>
      </c>
      <c r="Q30" s="451">
        <v>1</v>
      </c>
      <c r="R30" s="437">
        <v>15</v>
      </c>
      <c r="S30" s="451">
        <v>1</v>
      </c>
      <c r="T30" s="476">
        <v>0.5</v>
      </c>
      <c r="U30" s="452">
        <v>1</v>
      </c>
    </row>
    <row r="31" spans="1:21" ht="14.4" customHeight="1" x14ac:dyDescent="0.3">
      <c r="A31" s="447">
        <v>57</v>
      </c>
      <c r="B31" s="437" t="s">
        <v>305</v>
      </c>
      <c r="C31" s="437">
        <v>89301594</v>
      </c>
      <c r="D31" s="473" t="s">
        <v>305</v>
      </c>
      <c r="E31" s="474" t="s">
        <v>316</v>
      </c>
      <c r="F31" s="437" t="s">
        <v>306</v>
      </c>
      <c r="G31" s="437" t="s">
        <v>323</v>
      </c>
      <c r="H31" s="437" t="s">
        <v>511</v>
      </c>
      <c r="I31" s="437" t="s">
        <v>327</v>
      </c>
      <c r="J31" s="437" t="s">
        <v>328</v>
      </c>
      <c r="K31" s="437" t="s">
        <v>329</v>
      </c>
      <c r="L31" s="475">
        <v>105.31</v>
      </c>
      <c r="M31" s="475">
        <v>139325.13</v>
      </c>
      <c r="N31" s="437">
        <v>1323</v>
      </c>
      <c r="O31" s="476">
        <v>32</v>
      </c>
      <c r="P31" s="475">
        <v>89408.189999999988</v>
      </c>
      <c r="Q31" s="451">
        <v>0.64172335600907016</v>
      </c>
      <c r="R31" s="437">
        <v>849</v>
      </c>
      <c r="S31" s="451">
        <v>0.64172335600907027</v>
      </c>
      <c r="T31" s="476">
        <v>19.5</v>
      </c>
      <c r="U31" s="452">
        <v>0.609375</v>
      </c>
    </row>
    <row r="32" spans="1:21" ht="14.4" customHeight="1" x14ac:dyDescent="0.3">
      <c r="A32" s="447">
        <v>57</v>
      </c>
      <c r="B32" s="437" t="s">
        <v>305</v>
      </c>
      <c r="C32" s="437">
        <v>89301594</v>
      </c>
      <c r="D32" s="473" t="s">
        <v>305</v>
      </c>
      <c r="E32" s="474" t="s">
        <v>316</v>
      </c>
      <c r="F32" s="437" t="s">
        <v>306</v>
      </c>
      <c r="G32" s="437" t="s">
        <v>323</v>
      </c>
      <c r="H32" s="437" t="s">
        <v>511</v>
      </c>
      <c r="I32" s="437" t="s">
        <v>369</v>
      </c>
      <c r="J32" s="437" t="s">
        <v>328</v>
      </c>
      <c r="K32" s="437" t="s">
        <v>370</v>
      </c>
      <c r="L32" s="475">
        <v>52.66</v>
      </c>
      <c r="M32" s="475">
        <v>1579.8</v>
      </c>
      <c r="N32" s="437">
        <v>30</v>
      </c>
      <c r="O32" s="476">
        <v>1</v>
      </c>
      <c r="P32" s="475"/>
      <c r="Q32" s="451">
        <v>0</v>
      </c>
      <c r="R32" s="437"/>
      <c r="S32" s="451">
        <v>0</v>
      </c>
      <c r="T32" s="476"/>
      <c r="U32" s="452">
        <v>0</v>
      </c>
    </row>
    <row r="33" spans="1:21" ht="14.4" customHeight="1" x14ac:dyDescent="0.3">
      <c r="A33" s="447">
        <v>57</v>
      </c>
      <c r="B33" s="437" t="s">
        <v>305</v>
      </c>
      <c r="C33" s="437">
        <v>89301594</v>
      </c>
      <c r="D33" s="473" t="s">
        <v>305</v>
      </c>
      <c r="E33" s="474" t="s">
        <v>316</v>
      </c>
      <c r="F33" s="437" t="s">
        <v>306</v>
      </c>
      <c r="G33" s="437" t="s">
        <v>323</v>
      </c>
      <c r="H33" s="437" t="s">
        <v>511</v>
      </c>
      <c r="I33" s="437" t="s">
        <v>330</v>
      </c>
      <c r="J33" s="437" t="s">
        <v>331</v>
      </c>
      <c r="K33" s="437" t="s">
        <v>329</v>
      </c>
      <c r="L33" s="475">
        <v>108.47</v>
      </c>
      <c r="M33" s="475">
        <v>73434.189999999988</v>
      </c>
      <c r="N33" s="437">
        <v>677</v>
      </c>
      <c r="O33" s="476">
        <v>11.5</v>
      </c>
      <c r="P33" s="475">
        <v>68769.979999999981</v>
      </c>
      <c r="Q33" s="451">
        <v>0.9364844903988182</v>
      </c>
      <c r="R33" s="437">
        <v>634</v>
      </c>
      <c r="S33" s="451">
        <v>0.93648449039881831</v>
      </c>
      <c r="T33" s="476">
        <v>9.5</v>
      </c>
      <c r="U33" s="452">
        <v>0.82608695652173914</v>
      </c>
    </row>
    <row r="34" spans="1:21" ht="14.4" customHeight="1" x14ac:dyDescent="0.3">
      <c r="A34" s="447">
        <v>57</v>
      </c>
      <c r="B34" s="437" t="s">
        <v>305</v>
      </c>
      <c r="C34" s="437">
        <v>89301594</v>
      </c>
      <c r="D34" s="473" t="s">
        <v>305</v>
      </c>
      <c r="E34" s="474" t="s">
        <v>316</v>
      </c>
      <c r="F34" s="437" t="s">
        <v>306</v>
      </c>
      <c r="G34" s="437" t="s">
        <v>323</v>
      </c>
      <c r="H34" s="437" t="s">
        <v>511</v>
      </c>
      <c r="I34" s="437" t="s">
        <v>371</v>
      </c>
      <c r="J34" s="437" t="s">
        <v>336</v>
      </c>
      <c r="K34" s="437" t="s">
        <v>329</v>
      </c>
      <c r="L34" s="475">
        <v>162.28</v>
      </c>
      <c r="M34" s="475">
        <v>2271.92</v>
      </c>
      <c r="N34" s="437">
        <v>14</v>
      </c>
      <c r="O34" s="476">
        <v>1</v>
      </c>
      <c r="P34" s="475">
        <v>2271.92</v>
      </c>
      <c r="Q34" s="451">
        <v>1</v>
      </c>
      <c r="R34" s="437">
        <v>14</v>
      </c>
      <c r="S34" s="451">
        <v>1</v>
      </c>
      <c r="T34" s="476">
        <v>1</v>
      </c>
      <c r="U34" s="452">
        <v>1</v>
      </c>
    </row>
    <row r="35" spans="1:21" ht="14.4" customHeight="1" x14ac:dyDescent="0.3">
      <c r="A35" s="447">
        <v>57</v>
      </c>
      <c r="B35" s="437" t="s">
        <v>305</v>
      </c>
      <c r="C35" s="437">
        <v>89301594</v>
      </c>
      <c r="D35" s="473" t="s">
        <v>305</v>
      </c>
      <c r="E35" s="474" t="s">
        <v>316</v>
      </c>
      <c r="F35" s="437" t="s">
        <v>306</v>
      </c>
      <c r="G35" s="437" t="s">
        <v>323</v>
      </c>
      <c r="H35" s="437" t="s">
        <v>511</v>
      </c>
      <c r="I35" s="437" t="s">
        <v>372</v>
      </c>
      <c r="J35" s="437" t="s">
        <v>373</v>
      </c>
      <c r="K35" s="437" t="s">
        <v>326</v>
      </c>
      <c r="L35" s="475">
        <v>21.91</v>
      </c>
      <c r="M35" s="475">
        <v>1424.15</v>
      </c>
      <c r="N35" s="437">
        <v>65</v>
      </c>
      <c r="O35" s="476">
        <v>2.5</v>
      </c>
      <c r="P35" s="475">
        <v>1095.5</v>
      </c>
      <c r="Q35" s="451">
        <v>0.76923076923076916</v>
      </c>
      <c r="R35" s="437">
        <v>50</v>
      </c>
      <c r="S35" s="451">
        <v>0.76923076923076927</v>
      </c>
      <c r="T35" s="476">
        <v>2</v>
      </c>
      <c r="U35" s="452">
        <v>0.8</v>
      </c>
    </row>
    <row r="36" spans="1:21" ht="14.4" customHeight="1" x14ac:dyDescent="0.3">
      <c r="A36" s="447">
        <v>57</v>
      </c>
      <c r="B36" s="437" t="s">
        <v>305</v>
      </c>
      <c r="C36" s="437">
        <v>89301594</v>
      </c>
      <c r="D36" s="473" t="s">
        <v>305</v>
      </c>
      <c r="E36" s="474" t="s">
        <v>316</v>
      </c>
      <c r="F36" s="437" t="s">
        <v>306</v>
      </c>
      <c r="G36" s="437" t="s">
        <v>323</v>
      </c>
      <c r="H36" s="437" t="s">
        <v>511</v>
      </c>
      <c r="I36" s="437" t="s">
        <v>374</v>
      </c>
      <c r="J36" s="437" t="s">
        <v>375</v>
      </c>
      <c r="K36" s="437" t="s">
        <v>326</v>
      </c>
      <c r="L36" s="475">
        <v>32.380000000000003</v>
      </c>
      <c r="M36" s="475">
        <v>259.04000000000002</v>
      </c>
      <c r="N36" s="437">
        <v>8</v>
      </c>
      <c r="O36" s="476">
        <v>0.5</v>
      </c>
      <c r="P36" s="475"/>
      <c r="Q36" s="451">
        <v>0</v>
      </c>
      <c r="R36" s="437"/>
      <c r="S36" s="451">
        <v>0</v>
      </c>
      <c r="T36" s="476"/>
      <c r="U36" s="452">
        <v>0</v>
      </c>
    </row>
    <row r="37" spans="1:21" ht="14.4" customHeight="1" x14ac:dyDescent="0.3">
      <c r="A37" s="447">
        <v>57</v>
      </c>
      <c r="B37" s="437" t="s">
        <v>305</v>
      </c>
      <c r="C37" s="437">
        <v>89301594</v>
      </c>
      <c r="D37" s="473" t="s">
        <v>305</v>
      </c>
      <c r="E37" s="474" t="s">
        <v>316</v>
      </c>
      <c r="F37" s="437" t="s">
        <v>306</v>
      </c>
      <c r="G37" s="437" t="s">
        <v>323</v>
      </c>
      <c r="H37" s="437" t="s">
        <v>511</v>
      </c>
      <c r="I37" s="437" t="s">
        <v>332</v>
      </c>
      <c r="J37" s="437" t="s">
        <v>333</v>
      </c>
      <c r="K37" s="437" t="s">
        <v>334</v>
      </c>
      <c r="L37" s="475">
        <v>127.34</v>
      </c>
      <c r="M37" s="475">
        <v>891.38</v>
      </c>
      <c r="N37" s="437">
        <v>7</v>
      </c>
      <c r="O37" s="476">
        <v>1.5</v>
      </c>
      <c r="P37" s="475">
        <v>891.38</v>
      </c>
      <c r="Q37" s="451">
        <v>1</v>
      </c>
      <c r="R37" s="437">
        <v>7</v>
      </c>
      <c r="S37" s="451">
        <v>1</v>
      </c>
      <c r="T37" s="476">
        <v>1.5</v>
      </c>
      <c r="U37" s="452">
        <v>1</v>
      </c>
    </row>
    <row r="38" spans="1:21" ht="14.4" customHeight="1" x14ac:dyDescent="0.3">
      <c r="A38" s="447">
        <v>57</v>
      </c>
      <c r="B38" s="437" t="s">
        <v>305</v>
      </c>
      <c r="C38" s="437">
        <v>89301594</v>
      </c>
      <c r="D38" s="473" t="s">
        <v>305</v>
      </c>
      <c r="E38" s="474" t="s">
        <v>316</v>
      </c>
      <c r="F38" s="437" t="s">
        <v>306</v>
      </c>
      <c r="G38" s="437" t="s">
        <v>323</v>
      </c>
      <c r="H38" s="437" t="s">
        <v>511</v>
      </c>
      <c r="I38" s="437" t="s">
        <v>376</v>
      </c>
      <c r="J38" s="437" t="s">
        <v>377</v>
      </c>
      <c r="K38" s="437" t="s">
        <v>334</v>
      </c>
      <c r="L38" s="475">
        <v>126.28</v>
      </c>
      <c r="M38" s="475">
        <v>1262.8</v>
      </c>
      <c r="N38" s="437">
        <v>10</v>
      </c>
      <c r="O38" s="476">
        <v>0.5</v>
      </c>
      <c r="P38" s="475">
        <v>1262.8</v>
      </c>
      <c r="Q38" s="451">
        <v>1</v>
      </c>
      <c r="R38" s="437">
        <v>10</v>
      </c>
      <c r="S38" s="451">
        <v>1</v>
      </c>
      <c r="T38" s="476">
        <v>0.5</v>
      </c>
      <c r="U38" s="452">
        <v>1</v>
      </c>
    </row>
    <row r="39" spans="1:21" ht="14.4" customHeight="1" x14ac:dyDescent="0.3">
      <c r="A39" s="447">
        <v>57</v>
      </c>
      <c r="B39" s="437" t="s">
        <v>305</v>
      </c>
      <c r="C39" s="437">
        <v>89301594</v>
      </c>
      <c r="D39" s="473" t="s">
        <v>305</v>
      </c>
      <c r="E39" s="474" t="s">
        <v>316</v>
      </c>
      <c r="F39" s="437" t="s">
        <v>306</v>
      </c>
      <c r="G39" s="437" t="s">
        <v>323</v>
      </c>
      <c r="H39" s="437" t="s">
        <v>511</v>
      </c>
      <c r="I39" s="437" t="s">
        <v>376</v>
      </c>
      <c r="J39" s="437" t="s">
        <v>377</v>
      </c>
      <c r="K39" s="437" t="s">
        <v>334</v>
      </c>
      <c r="L39" s="475">
        <v>127.34</v>
      </c>
      <c r="M39" s="475">
        <v>2164.7800000000002</v>
      </c>
      <c r="N39" s="437">
        <v>17</v>
      </c>
      <c r="O39" s="476">
        <v>2</v>
      </c>
      <c r="P39" s="475">
        <v>2164.7800000000002</v>
      </c>
      <c r="Q39" s="451">
        <v>1</v>
      </c>
      <c r="R39" s="437">
        <v>17</v>
      </c>
      <c r="S39" s="451">
        <v>1</v>
      </c>
      <c r="T39" s="476">
        <v>2</v>
      </c>
      <c r="U39" s="452">
        <v>1</v>
      </c>
    </row>
    <row r="40" spans="1:21" ht="14.4" customHeight="1" x14ac:dyDescent="0.3">
      <c r="A40" s="447">
        <v>57</v>
      </c>
      <c r="B40" s="437" t="s">
        <v>305</v>
      </c>
      <c r="C40" s="437">
        <v>89301594</v>
      </c>
      <c r="D40" s="473" t="s">
        <v>305</v>
      </c>
      <c r="E40" s="474" t="s">
        <v>316</v>
      </c>
      <c r="F40" s="437" t="s">
        <v>306</v>
      </c>
      <c r="G40" s="437" t="s">
        <v>323</v>
      </c>
      <c r="H40" s="437" t="s">
        <v>511</v>
      </c>
      <c r="I40" s="437" t="s">
        <v>378</v>
      </c>
      <c r="J40" s="437" t="s">
        <v>379</v>
      </c>
      <c r="K40" s="437" t="s">
        <v>380</v>
      </c>
      <c r="L40" s="475">
        <v>84.19</v>
      </c>
      <c r="M40" s="475">
        <v>168.38</v>
      </c>
      <c r="N40" s="437">
        <v>2</v>
      </c>
      <c r="O40" s="476">
        <v>0.5</v>
      </c>
      <c r="P40" s="475"/>
      <c r="Q40" s="451">
        <v>0</v>
      </c>
      <c r="R40" s="437"/>
      <c r="S40" s="451">
        <v>0</v>
      </c>
      <c r="T40" s="476"/>
      <c r="U40" s="452">
        <v>0</v>
      </c>
    </row>
    <row r="41" spans="1:21" ht="14.4" customHeight="1" x14ac:dyDescent="0.3">
      <c r="A41" s="447">
        <v>57</v>
      </c>
      <c r="B41" s="437" t="s">
        <v>305</v>
      </c>
      <c r="C41" s="437">
        <v>89301594</v>
      </c>
      <c r="D41" s="473" t="s">
        <v>305</v>
      </c>
      <c r="E41" s="474" t="s">
        <v>316</v>
      </c>
      <c r="F41" s="437" t="s">
        <v>306</v>
      </c>
      <c r="G41" s="437" t="s">
        <v>323</v>
      </c>
      <c r="H41" s="437" t="s">
        <v>511</v>
      </c>
      <c r="I41" s="437" t="s">
        <v>378</v>
      </c>
      <c r="J41" s="437" t="s">
        <v>379</v>
      </c>
      <c r="K41" s="437" t="s">
        <v>380</v>
      </c>
      <c r="L41" s="475">
        <v>84.89</v>
      </c>
      <c r="M41" s="475">
        <v>1358.24</v>
      </c>
      <c r="N41" s="437">
        <v>16</v>
      </c>
      <c r="O41" s="476">
        <v>2</v>
      </c>
      <c r="P41" s="475"/>
      <c r="Q41" s="451">
        <v>0</v>
      </c>
      <c r="R41" s="437"/>
      <c r="S41" s="451">
        <v>0</v>
      </c>
      <c r="T41" s="476"/>
      <c r="U41" s="452">
        <v>0</v>
      </c>
    </row>
    <row r="42" spans="1:21" ht="14.4" customHeight="1" x14ac:dyDescent="0.3">
      <c r="A42" s="447">
        <v>57</v>
      </c>
      <c r="B42" s="437" t="s">
        <v>305</v>
      </c>
      <c r="C42" s="437">
        <v>89301594</v>
      </c>
      <c r="D42" s="473" t="s">
        <v>305</v>
      </c>
      <c r="E42" s="474" t="s">
        <v>316</v>
      </c>
      <c r="F42" s="437" t="s">
        <v>306</v>
      </c>
      <c r="G42" s="437" t="s">
        <v>323</v>
      </c>
      <c r="H42" s="437" t="s">
        <v>511</v>
      </c>
      <c r="I42" s="437" t="s">
        <v>381</v>
      </c>
      <c r="J42" s="437" t="s">
        <v>382</v>
      </c>
      <c r="K42" s="437" t="s">
        <v>380</v>
      </c>
      <c r="L42" s="475">
        <v>84.19</v>
      </c>
      <c r="M42" s="475">
        <v>168.38</v>
      </c>
      <c r="N42" s="437">
        <v>2</v>
      </c>
      <c r="O42" s="476">
        <v>0.5</v>
      </c>
      <c r="P42" s="475"/>
      <c r="Q42" s="451">
        <v>0</v>
      </c>
      <c r="R42" s="437"/>
      <c r="S42" s="451">
        <v>0</v>
      </c>
      <c r="T42" s="476"/>
      <c r="U42" s="452">
        <v>0</v>
      </c>
    </row>
    <row r="43" spans="1:21" ht="14.4" customHeight="1" x14ac:dyDescent="0.3">
      <c r="A43" s="447">
        <v>57</v>
      </c>
      <c r="B43" s="437" t="s">
        <v>305</v>
      </c>
      <c r="C43" s="437">
        <v>89301594</v>
      </c>
      <c r="D43" s="473" t="s">
        <v>305</v>
      </c>
      <c r="E43" s="474" t="s">
        <v>316</v>
      </c>
      <c r="F43" s="437" t="s">
        <v>306</v>
      </c>
      <c r="G43" s="437" t="s">
        <v>323</v>
      </c>
      <c r="H43" s="437" t="s">
        <v>511</v>
      </c>
      <c r="I43" s="437" t="s">
        <v>381</v>
      </c>
      <c r="J43" s="437" t="s">
        <v>382</v>
      </c>
      <c r="K43" s="437" t="s">
        <v>380</v>
      </c>
      <c r="L43" s="475">
        <v>84.89</v>
      </c>
      <c r="M43" s="475">
        <v>1952.47</v>
      </c>
      <c r="N43" s="437">
        <v>23</v>
      </c>
      <c r="O43" s="476">
        <v>3</v>
      </c>
      <c r="P43" s="475"/>
      <c r="Q43" s="451">
        <v>0</v>
      </c>
      <c r="R43" s="437"/>
      <c r="S43" s="451">
        <v>0</v>
      </c>
      <c r="T43" s="476"/>
      <c r="U43" s="452">
        <v>0</v>
      </c>
    </row>
    <row r="44" spans="1:21" ht="14.4" customHeight="1" x14ac:dyDescent="0.3">
      <c r="A44" s="447">
        <v>57</v>
      </c>
      <c r="B44" s="437" t="s">
        <v>305</v>
      </c>
      <c r="C44" s="437">
        <v>89301594</v>
      </c>
      <c r="D44" s="473" t="s">
        <v>305</v>
      </c>
      <c r="E44" s="474" t="s">
        <v>316</v>
      </c>
      <c r="F44" s="437" t="s">
        <v>306</v>
      </c>
      <c r="G44" s="437" t="s">
        <v>323</v>
      </c>
      <c r="H44" s="437" t="s">
        <v>511</v>
      </c>
      <c r="I44" s="437" t="s">
        <v>383</v>
      </c>
      <c r="J44" s="437" t="s">
        <v>384</v>
      </c>
      <c r="K44" s="437" t="s">
        <v>334</v>
      </c>
      <c r="L44" s="475">
        <v>127.34</v>
      </c>
      <c r="M44" s="475">
        <v>891.38</v>
      </c>
      <c r="N44" s="437">
        <v>7</v>
      </c>
      <c r="O44" s="476">
        <v>2</v>
      </c>
      <c r="P44" s="475">
        <v>509.36</v>
      </c>
      <c r="Q44" s="451">
        <v>0.5714285714285714</v>
      </c>
      <c r="R44" s="437">
        <v>4</v>
      </c>
      <c r="S44" s="451">
        <v>0.5714285714285714</v>
      </c>
      <c r="T44" s="476">
        <v>1</v>
      </c>
      <c r="U44" s="452">
        <v>0.5</v>
      </c>
    </row>
    <row r="45" spans="1:21" ht="14.4" customHeight="1" x14ac:dyDescent="0.3">
      <c r="A45" s="447">
        <v>57</v>
      </c>
      <c r="B45" s="437" t="s">
        <v>305</v>
      </c>
      <c r="C45" s="437">
        <v>89301594</v>
      </c>
      <c r="D45" s="473" t="s">
        <v>305</v>
      </c>
      <c r="E45" s="474" t="s">
        <v>316</v>
      </c>
      <c r="F45" s="437" t="s">
        <v>306</v>
      </c>
      <c r="G45" s="437" t="s">
        <v>323</v>
      </c>
      <c r="H45" s="437" t="s">
        <v>511</v>
      </c>
      <c r="I45" s="437" t="s">
        <v>335</v>
      </c>
      <c r="J45" s="437" t="s">
        <v>336</v>
      </c>
      <c r="K45" s="437" t="s">
        <v>337</v>
      </c>
      <c r="L45" s="475">
        <v>241.69</v>
      </c>
      <c r="M45" s="475">
        <v>24169</v>
      </c>
      <c r="N45" s="437">
        <v>100</v>
      </c>
      <c r="O45" s="476">
        <v>5</v>
      </c>
      <c r="P45" s="475">
        <v>19335.2</v>
      </c>
      <c r="Q45" s="451">
        <v>0.8</v>
      </c>
      <c r="R45" s="437">
        <v>80</v>
      </c>
      <c r="S45" s="451">
        <v>0.8</v>
      </c>
      <c r="T45" s="476">
        <v>3</v>
      </c>
      <c r="U45" s="452">
        <v>0.6</v>
      </c>
    </row>
    <row r="46" spans="1:21" ht="14.4" customHeight="1" x14ac:dyDescent="0.3">
      <c r="A46" s="447">
        <v>57</v>
      </c>
      <c r="B46" s="437" t="s">
        <v>305</v>
      </c>
      <c r="C46" s="437">
        <v>89301594</v>
      </c>
      <c r="D46" s="473" t="s">
        <v>305</v>
      </c>
      <c r="E46" s="474" t="s">
        <v>316</v>
      </c>
      <c r="F46" s="437" t="s">
        <v>306</v>
      </c>
      <c r="G46" s="437" t="s">
        <v>323</v>
      </c>
      <c r="H46" s="437" t="s">
        <v>511</v>
      </c>
      <c r="I46" s="437" t="s">
        <v>335</v>
      </c>
      <c r="J46" s="437" t="s">
        <v>336</v>
      </c>
      <c r="K46" s="437" t="s">
        <v>337</v>
      </c>
      <c r="L46" s="475">
        <v>242.63</v>
      </c>
      <c r="M46" s="475">
        <v>425815.64999999991</v>
      </c>
      <c r="N46" s="437">
        <v>1755</v>
      </c>
      <c r="O46" s="476">
        <v>58.5</v>
      </c>
      <c r="P46" s="475">
        <v>266892.99999999994</v>
      </c>
      <c r="Q46" s="451">
        <v>0.62678062678062674</v>
      </c>
      <c r="R46" s="437">
        <v>1100</v>
      </c>
      <c r="S46" s="451">
        <v>0.62678062678062674</v>
      </c>
      <c r="T46" s="476">
        <v>35</v>
      </c>
      <c r="U46" s="452">
        <v>0.59829059829059827</v>
      </c>
    </row>
    <row r="47" spans="1:21" ht="14.4" customHeight="1" x14ac:dyDescent="0.3">
      <c r="A47" s="447">
        <v>57</v>
      </c>
      <c r="B47" s="437" t="s">
        <v>305</v>
      </c>
      <c r="C47" s="437">
        <v>89301594</v>
      </c>
      <c r="D47" s="473" t="s">
        <v>305</v>
      </c>
      <c r="E47" s="474" t="s">
        <v>316</v>
      </c>
      <c r="F47" s="437" t="s">
        <v>306</v>
      </c>
      <c r="G47" s="437" t="s">
        <v>323</v>
      </c>
      <c r="H47" s="437" t="s">
        <v>511</v>
      </c>
      <c r="I47" s="437" t="s">
        <v>385</v>
      </c>
      <c r="J47" s="437" t="s">
        <v>386</v>
      </c>
      <c r="K47" s="437" t="s">
        <v>334</v>
      </c>
      <c r="L47" s="475">
        <v>82.04</v>
      </c>
      <c r="M47" s="475">
        <v>246.12</v>
      </c>
      <c r="N47" s="437">
        <v>3</v>
      </c>
      <c r="O47" s="476">
        <v>1</v>
      </c>
      <c r="P47" s="475">
        <v>246.12</v>
      </c>
      <c r="Q47" s="451">
        <v>1</v>
      </c>
      <c r="R47" s="437">
        <v>3</v>
      </c>
      <c r="S47" s="451">
        <v>1</v>
      </c>
      <c r="T47" s="476">
        <v>1</v>
      </c>
      <c r="U47" s="452">
        <v>1</v>
      </c>
    </row>
    <row r="48" spans="1:21" ht="14.4" customHeight="1" x14ac:dyDescent="0.3">
      <c r="A48" s="447">
        <v>57</v>
      </c>
      <c r="B48" s="437" t="s">
        <v>305</v>
      </c>
      <c r="C48" s="437">
        <v>89301594</v>
      </c>
      <c r="D48" s="473" t="s">
        <v>305</v>
      </c>
      <c r="E48" s="474" t="s">
        <v>316</v>
      </c>
      <c r="F48" s="437" t="s">
        <v>306</v>
      </c>
      <c r="G48" s="437" t="s">
        <v>323</v>
      </c>
      <c r="H48" s="437" t="s">
        <v>511</v>
      </c>
      <c r="I48" s="437" t="s">
        <v>387</v>
      </c>
      <c r="J48" s="437" t="s">
        <v>388</v>
      </c>
      <c r="K48" s="437" t="s">
        <v>334</v>
      </c>
      <c r="L48" s="475">
        <v>82.04</v>
      </c>
      <c r="M48" s="475">
        <v>328.16</v>
      </c>
      <c r="N48" s="437">
        <v>4</v>
      </c>
      <c r="O48" s="476">
        <v>1</v>
      </c>
      <c r="P48" s="475">
        <v>328.16</v>
      </c>
      <c r="Q48" s="451">
        <v>1</v>
      </c>
      <c r="R48" s="437">
        <v>4</v>
      </c>
      <c r="S48" s="451">
        <v>1</v>
      </c>
      <c r="T48" s="476">
        <v>1</v>
      </c>
      <c r="U48" s="452">
        <v>1</v>
      </c>
    </row>
    <row r="49" spans="1:21" ht="14.4" customHeight="1" x14ac:dyDescent="0.3">
      <c r="A49" s="447">
        <v>57</v>
      </c>
      <c r="B49" s="437" t="s">
        <v>305</v>
      </c>
      <c r="C49" s="437">
        <v>89301594</v>
      </c>
      <c r="D49" s="473" t="s">
        <v>305</v>
      </c>
      <c r="E49" s="474" t="s">
        <v>316</v>
      </c>
      <c r="F49" s="437" t="s">
        <v>306</v>
      </c>
      <c r="G49" s="437" t="s">
        <v>323</v>
      </c>
      <c r="H49" s="437" t="s">
        <v>308</v>
      </c>
      <c r="I49" s="437" t="s">
        <v>389</v>
      </c>
      <c r="J49" s="437" t="s">
        <v>386</v>
      </c>
      <c r="K49" s="437" t="s">
        <v>390</v>
      </c>
      <c r="L49" s="475">
        <v>20</v>
      </c>
      <c r="M49" s="475">
        <v>460</v>
      </c>
      <c r="N49" s="437">
        <v>23</v>
      </c>
      <c r="O49" s="476">
        <v>1</v>
      </c>
      <c r="P49" s="475">
        <v>160</v>
      </c>
      <c r="Q49" s="451">
        <v>0.34782608695652173</v>
      </c>
      <c r="R49" s="437">
        <v>8</v>
      </c>
      <c r="S49" s="451">
        <v>0.34782608695652173</v>
      </c>
      <c r="T49" s="476">
        <v>0.5</v>
      </c>
      <c r="U49" s="452">
        <v>0.5</v>
      </c>
    </row>
    <row r="50" spans="1:21" ht="14.4" customHeight="1" x14ac:dyDescent="0.3">
      <c r="A50" s="447">
        <v>57</v>
      </c>
      <c r="B50" s="437" t="s">
        <v>305</v>
      </c>
      <c r="C50" s="437">
        <v>89301594</v>
      </c>
      <c r="D50" s="473" t="s">
        <v>305</v>
      </c>
      <c r="E50" s="474" t="s">
        <v>316</v>
      </c>
      <c r="F50" s="437" t="s">
        <v>306</v>
      </c>
      <c r="G50" s="437" t="s">
        <v>323</v>
      </c>
      <c r="H50" s="437" t="s">
        <v>511</v>
      </c>
      <c r="I50" s="437" t="s">
        <v>391</v>
      </c>
      <c r="J50" s="437" t="s">
        <v>392</v>
      </c>
      <c r="K50" s="437" t="s">
        <v>352</v>
      </c>
      <c r="L50" s="475">
        <v>194.26</v>
      </c>
      <c r="M50" s="475">
        <v>61968.939999999988</v>
      </c>
      <c r="N50" s="437">
        <v>319</v>
      </c>
      <c r="O50" s="476">
        <v>29</v>
      </c>
      <c r="P50" s="475">
        <v>28556.219999999998</v>
      </c>
      <c r="Q50" s="451">
        <v>0.46081504702194365</v>
      </c>
      <c r="R50" s="437">
        <v>147</v>
      </c>
      <c r="S50" s="451">
        <v>0.46081504702194359</v>
      </c>
      <c r="T50" s="476">
        <v>13</v>
      </c>
      <c r="U50" s="452">
        <v>0.44827586206896552</v>
      </c>
    </row>
    <row r="51" spans="1:21" ht="14.4" customHeight="1" x14ac:dyDescent="0.3">
      <c r="A51" s="447">
        <v>57</v>
      </c>
      <c r="B51" s="437" t="s">
        <v>305</v>
      </c>
      <c r="C51" s="437">
        <v>89301594</v>
      </c>
      <c r="D51" s="473" t="s">
        <v>305</v>
      </c>
      <c r="E51" s="474" t="s">
        <v>316</v>
      </c>
      <c r="F51" s="437" t="s">
        <v>306</v>
      </c>
      <c r="G51" s="437" t="s">
        <v>323</v>
      </c>
      <c r="H51" s="437" t="s">
        <v>308</v>
      </c>
      <c r="I51" s="437" t="s">
        <v>393</v>
      </c>
      <c r="J51" s="437" t="s">
        <v>394</v>
      </c>
      <c r="K51" s="437" t="s">
        <v>390</v>
      </c>
      <c r="L51" s="475">
        <v>20</v>
      </c>
      <c r="M51" s="475">
        <v>160</v>
      </c>
      <c r="N51" s="437">
        <v>8</v>
      </c>
      <c r="O51" s="476">
        <v>0.5</v>
      </c>
      <c r="P51" s="475">
        <v>160</v>
      </c>
      <c r="Q51" s="451">
        <v>1</v>
      </c>
      <c r="R51" s="437">
        <v>8</v>
      </c>
      <c r="S51" s="451">
        <v>1</v>
      </c>
      <c r="T51" s="476">
        <v>0.5</v>
      </c>
      <c r="U51" s="452">
        <v>1</v>
      </c>
    </row>
    <row r="52" spans="1:21" ht="14.4" customHeight="1" x14ac:dyDescent="0.3">
      <c r="A52" s="447">
        <v>57</v>
      </c>
      <c r="B52" s="437" t="s">
        <v>305</v>
      </c>
      <c r="C52" s="437">
        <v>89301594</v>
      </c>
      <c r="D52" s="473" t="s">
        <v>305</v>
      </c>
      <c r="E52" s="474" t="s">
        <v>316</v>
      </c>
      <c r="F52" s="437" t="s">
        <v>306</v>
      </c>
      <c r="G52" s="437" t="s">
        <v>323</v>
      </c>
      <c r="H52" s="437" t="s">
        <v>308</v>
      </c>
      <c r="I52" s="437" t="s">
        <v>395</v>
      </c>
      <c r="J52" s="437" t="s">
        <v>396</v>
      </c>
      <c r="K52" s="437" t="s">
        <v>397</v>
      </c>
      <c r="L52" s="475">
        <v>35.619999999999997</v>
      </c>
      <c r="M52" s="475">
        <v>3740.1</v>
      </c>
      <c r="N52" s="437">
        <v>105</v>
      </c>
      <c r="O52" s="476">
        <v>4.5</v>
      </c>
      <c r="P52" s="475"/>
      <c r="Q52" s="451">
        <v>0</v>
      </c>
      <c r="R52" s="437"/>
      <c r="S52" s="451">
        <v>0</v>
      </c>
      <c r="T52" s="476"/>
      <c r="U52" s="452">
        <v>0</v>
      </c>
    </row>
    <row r="53" spans="1:21" ht="14.4" customHeight="1" x14ac:dyDescent="0.3">
      <c r="A53" s="447">
        <v>57</v>
      </c>
      <c r="B53" s="437" t="s">
        <v>305</v>
      </c>
      <c r="C53" s="437">
        <v>89301594</v>
      </c>
      <c r="D53" s="473" t="s">
        <v>305</v>
      </c>
      <c r="E53" s="474" t="s">
        <v>316</v>
      </c>
      <c r="F53" s="437" t="s">
        <v>306</v>
      </c>
      <c r="G53" s="437" t="s">
        <v>323</v>
      </c>
      <c r="H53" s="437" t="s">
        <v>308</v>
      </c>
      <c r="I53" s="437" t="s">
        <v>398</v>
      </c>
      <c r="J53" s="437" t="s">
        <v>399</v>
      </c>
      <c r="K53" s="437" t="s">
        <v>397</v>
      </c>
      <c r="L53" s="475">
        <v>35.619999999999997</v>
      </c>
      <c r="M53" s="475">
        <v>3740.1</v>
      </c>
      <c r="N53" s="437">
        <v>105</v>
      </c>
      <c r="O53" s="476">
        <v>4.5</v>
      </c>
      <c r="P53" s="475"/>
      <c r="Q53" s="451">
        <v>0</v>
      </c>
      <c r="R53" s="437"/>
      <c r="S53" s="451">
        <v>0</v>
      </c>
      <c r="T53" s="476"/>
      <c r="U53" s="452">
        <v>0</v>
      </c>
    </row>
    <row r="54" spans="1:21" ht="14.4" customHeight="1" x14ac:dyDescent="0.3">
      <c r="A54" s="447">
        <v>57</v>
      </c>
      <c r="B54" s="437" t="s">
        <v>305</v>
      </c>
      <c r="C54" s="437">
        <v>89301594</v>
      </c>
      <c r="D54" s="473" t="s">
        <v>305</v>
      </c>
      <c r="E54" s="474" t="s">
        <v>316</v>
      </c>
      <c r="F54" s="437" t="s">
        <v>306</v>
      </c>
      <c r="G54" s="437" t="s">
        <v>323</v>
      </c>
      <c r="H54" s="437" t="s">
        <v>308</v>
      </c>
      <c r="I54" s="437" t="s">
        <v>400</v>
      </c>
      <c r="J54" s="437" t="s">
        <v>401</v>
      </c>
      <c r="K54" s="437" t="s">
        <v>397</v>
      </c>
      <c r="L54" s="475">
        <v>34.72</v>
      </c>
      <c r="M54" s="475">
        <v>520.79999999999995</v>
      </c>
      <c r="N54" s="437">
        <v>15</v>
      </c>
      <c r="O54" s="476">
        <v>0.5</v>
      </c>
      <c r="P54" s="475"/>
      <c r="Q54" s="451">
        <v>0</v>
      </c>
      <c r="R54" s="437"/>
      <c r="S54" s="451">
        <v>0</v>
      </c>
      <c r="T54" s="476"/>
      <c r="U54" s="452">
        <v>0</v>
      </c>
    </row>
    <row r="55" spans="1:21" ht="14.4" customHeight="1" x14ac:dyDescent="0.3">
      <c r="A55" s="447">
        <v>57</v>
      </c>
      <c r="B55" s="437" t="s">
        <v>305</v>
      </c>
      <c r="C55" s="437">
        <v>89301594</v>
      </c>
      <c r="D55" s="473" t="s">
        <v>305</v>
      </c>
      <c r="E55" s="474" t="s">
        <v>316</v>
      </c>
      <c r="F55" s="437" t="s">
        <v>306</v>
      </c>
      <c r="G55" s="437" t="s">
        <v>323</v>
      </c>
      <c r="H55" s="437" t="s">
        <v>308</v>
      </c>
      <c r="I55" s="437" t="s">
        <v>402</v>
      </c>
      <c r="J55" s="437" t="s">
        <v>403</v>
      </c>
      <c r="K55" s="437" t="s">
        <v>397</v>
      </c>
      <c r="L55" s="475">
        <v>34.72</v>
      </c>
      <c r="M55" s="475">
        <v>520.79999999999995</v>
      </c>
      <c r="N55" s="437">
        <v>15</v>
      </c>
      <c r="O55" s="476">
        <v>0.5</v>
      </c>
      <c r="P55" s="475"/>
      <c r="Q55" s="451">
        <v>0</v>
      </c>
      <c r="R55" s="437"/>
      <c r="S55" s="451">
        <v>0</v>
      </c>
      <c r="T55" s="476"/>
      <c r="U55" s="452">
        <v>0</v>
      </c>
    </row>
    <row r="56" spans="1:21" ht="14.4" customHeight="1" x14ac:dyDescent="0.3">
      <c r="A56" s="447">
        <v>57</v>
      </c>
      <c r="B56" s="437" t="s">
        <v>305</v>
      </c>
      <c r="C56" s="437">
        <v>89301594</v>
      </c>
      <c r="D56" s="473" t="s">
        <v>305</v>
      </c>
      <c r="E56" s="474" t="s">
        <v>316</v>
      </c>
      <c r="F56" s="437" t="s">
        <v>306</v>
      </c>
      <c r="G56" s="437" t="s">
        <v>323</v>
      </c>
      <c r="H56" s="437" t="s">
        <v>511</v>
      </c>
      <c r="I56" s="437" t="s">
        <v>404</v>
      </c>
      <c r="J56" s="437" t="s">
        <v>339</v>
      </c>
      <c r="K56" s="437" t="s">
        <v>405</v>
      </c>
      <c r="L56" s="475">
        <v>130.38999999999999</v>
      </c>
      <c r="M56" s="475">
        <v>3259.75</v>
      </c>
      <c r="N56" s="437">
        <v>25</v>
      </c>
      <c r="O56" s="476">
        <v>1.5</v>
      </c>
      <c r="P56" s="475">
        <v>1303.8999999999999</v>
      </c>
      <c r="Q56" s="451">
        <v>0.39999999999999997</v>
      </c>
      <c r="R56" s="437">
        <v>10</v>
      </c>
      <c r="S56" s="451">
        <v>0.4</v>
      </c>
      <c r="T56" s="476">
        <v>0.5</v>
      </c>
      <c r="U56" s="452">
        <v>0.33333333333333331</v>
      </c>
    </row>
    <row r="57" spans="1:21" ht="14.4" customHeight="1" x14ac:dyDescent="0.3">
      <c r="A57" s="447">
        <v>57</v>
      </c>
      <c r="B57" s="437" t="s">
        <v>305</v>
      </c>
      <c r="C57" s="437">
        <v>89301594</v>
      </c>
      <c r="D57" s="473" t="s">
        <v>305</v>
      </c>
      <c r="E57" s="474" t="s">
        <v>317</v>
      </c>
      <c r="F57" s="437" t="s">
        <v>306</v>
      </c>
      <c r="G57" s="437" t="s">
        <v>323</v>
      </c>
      <c r="H57" s="437" t="s">
        <v>511</v>
      </c>
      <c r="I57" s="437" t="s">
        <v>406</v>
      </c>
      <c r="J57" s="437" t="s">
        <v>407</v>
      </c>
      <c r="K57" s="437" t="s">
        <v>326</v>
      </c>
      <c r="L57" s="475">
        <v>31.59</v>
      </c>
      <c r="M57" s="475">
        <v>947.7</v>
      </c>
      <c r="N57" s="437">
        <v>30</v>
      </c>
      <c r="O57" s="476">
        <v>1</v>
      </c>
      <c r="P57" s="475"/>
      <c r="Q57" s="451">
        <v>0</v>
      </c>
      <c r="R57" s="437"/>
      <c r="S57" s="451">
        <v>0</v>
      </c>
      <c r="T57" s="476"/>
      <c r="U57" s="452">
        <v>0</v>
      </c>
    </row>
    <row r="58" spans="1:21" ht="14.4" customHeight="1" x14ac:dyDescent="0.3">
      <c r="A58" s="447">
        <v>57</v>
      </c>
      <c r="B58" s="437" t="s">
        <v>305</v>
      </c>
      <c r="C58" s="437">
        <v>89301594</v>
      </c>
      <c r="D58" s="473" t="s">
        <v>305</v>
      </c>
      <c r="E58" s="474" t="s">
        <v>317</v>
      </c>
      <c r="F58" s="437" t="s">
        <v>306</v>
      </c>
      <c r="G58" s="437" t="s">
        <v>323</v>
      </c>
      <c r="H58" s="437" t="s">
        <v>511</v>
      </c>
      <c r="I58" s="437" t="s">
        <v>408</v>
      </c>
      <c r="J58" s="437" t="s">
        <v>409</v>
      </c>
      <c r="K58" s="437" t="s">
        <v>326</v>
      </c>
      <c r="L58" s="475">
        <v>31.59</v>
      </c>
      <c r="M58" s="475">
        <v>947.7</v>
      </c>
      <c r="N58" s="437">
        <v>30</v>
      </c>
      <c r="O58" s="476">
        <v>0.5</v>
      </c>
      <c r="P58" s="475"/>
      <c r="Q58" s="451">
        <v>0</v>
      </c>
      <c r="R58" s="437"/>
      <c r="S58" s="451">
        <v>0</v>
      </c>
      <c r="T58" s="476"/>
      <c r="U58" s="452">
        <v>0</v>
      </c>
    </row>
    <row r="59" spans="1:21" ht="14.4" customHeight="1" x14ac:dyDescent="0.3">
      <c r="A59" s="447">
        <v>57</v>
      </c>
      <c r="B59" s="437" t="s">
        <v>305</v>
      </c>
      <c r="C59" s="437">
        <v>89301594</v>
      </c>
      <c r="D59" s="473" t="s">
        <v>305</v>
      </c>
      <c r="E59" s="474" t="s">
        <v>317</v>
      </c>
      <c r="F59" s="437" t="s">
        <v>306</v>
      </c>
      <c r="G59" s="437" t="s">
        <v>323</v>
      </c>
      <c r="H59" s="437" t="s">
        <v>511</v>
      </c>
      <c r="I59" s="437" t="s">
        <v>367</v>
      </c>
      <c r="J59" s="437" t="s">
        <v>368</v>
      </c>
      <c r="K59" s="437" t="s">
        <v>326</v>
      </c>
      <c r="L59" s="475">
        <v>31.59</v>
      </c>
      <c r="M59" s="475">
        <v>947.7</v>
      </c>
      <c r="N59" s="437">
        <v>30</v>
      </c>
      <c r="O59" s="476">
        <v>0.5</v>
      </c>
      <c r="P59" s="475"/>
      <c r="Q59" s="451">
        <v>0</v>
      </c>
      <c r="R59" s="437"/>
      <c r="S59" s="451">
        <v>0</v>
      </c>
      <c r="T59" s="476"/>
      <c r="U59" s="452">
        <v>0</v>
      </c>
    </row>
    <row r="60" spans="1:21" ht="14.4" customHeight="1" x14ac:dyDescent="0.3">
      <c r="A60" s="447">
        <v>57</v>
      </c>
      <c r="B60" s="437" t="s">
        <v>305</v>
      </c>
      <c r="C60" s="437">
        <v>89301594</v>
      </c>
      <c r="D60" s="473" t="s">
        <v>305</v>
      </c>
      <c r="E60" s="474" t="s">
        <v>317</v>
      </c>
      <c r="F60" s="437" t="s">
        <v>307</v>
      </c>
      <c r="G60" s="437" t="s">
        <v>320</v>
      </c>
      <c r="H60" s="437" t="s">
        <v>308</v>
      </c>
      <c r="I60" s="437" t="s">
        <v>410</v>
      </c>
      <c r="J60" s="437" t="s">
        <v>322</v>
      </c>
      <c r="K60" s="437"/>
      <c r="L60" s="475">
        <v>0</v>
      </c>
      <c r="M60" s="475">
        <v>0</v>
      </c>
      <c r="N60" s="437">
        <v>6</v>
      </c>
      <c r="O60" s="476">
        <v>6</v>
      </c>
      <c r="P60" s="475">
        <v>0</v>
      </c>
      <c r="Q60" s="451"/>
      <c r="R60" s="437">
        <v>6</v>
      </c>
      <c r="S60" s="451">
        <v>1</v>
      </c>
      <c r="T60" s="476">
        <v>6</v>
      </c>
      <c r="U60" s="452">
        <v>1</v>
      </c>
    </row>
    <row r="61" spans="1:21" ht="14.4" customHeight="1" x14ac:dyDescent="0.3">
      <c r="A61" s="447">
        <v>57</v>
      </c>
      <c r="B61" s="437" t="s">
        <v>305</v>
      </c>
      <c r="C61" s="437">
        <v>89301594</v>
      </c>
      <c r="D61" s="473" t="s">
        <v>305</v>
      </c>
      <c r="E61" s="474" t="s">
        <v>317</v>
      </c>
      <c r="F61" s="437" t="s">
        <v>307</v>
      </c>
      <c r="G61" s="437" t="s">
        <v>320</v>
      </c>
      <c r="H61" s="437" t="s">
        <v>308</v>
      </c>
      <c r="I61" s="437" t="s">
        <v>411</v>
      </c>
      <c r="J61" s="437" t="s">
        <v>322</v>
      </c>
      <c r="K61" s="437"/>
      <c r="L61" s="475">
        <v>0</v>
      </c>
      <c r="M61" s="475">
        <v>0</v>
      </c>
      <c r="N61" s="437">
        <v>15</v>
      </c>
      <c r="O61" s="476">
        <v>14</v>
      </c>
      <c r="P61" s="475">
        <v>0</v>
      </c>
      <c r="Q61" s="451"/>
      <c r="R61" s="437">
        <v>14</v>
      </c>
      <c r="S61" s="451">
        <v>0.93333333333333335</v>
      </c>
      <c r="T61" s="476">
        <v>13</v>
      </c>
      <c r="U61" s="452">
        <v>0.9285714285714286</v>
      </c>
    </row>
    <row r="62" spans="1:21" ht="14.4" customHeight="1" x14ac:dyDescent="0.3">
      <c r="A62" s="447">
        <v>57</v>
      </c>
      <c r="B62" s="437" t="s">
        <v>305</v>
      </c>
      <c r="C62" s="437">
        <v>89301594</v>
      </c>
      <c r="D62" s="473" t="s">
        <v>305</v>
      </c>
      <c r="E62" s="474" t="s">
        <v>317</v>
      </c>
      <c r="F62" s="437" t="s">
        <v>307</v>
      </c>
      <c r="G62" s="437" t="s">
        <v>320</v>
      </c>
      <c r="H62" s="437" t="s">
        <v>308</v>
      </c>
      <c r="I62" s="437" t="s">
        <v>412</v>
      </c>
      <c r="J62" s="437" t="s">
        <v>322</v>
      </c>
      <c r="K62" s="437"/>
      <c r="L62" s="475">
        <v>0</v>
      </c>
      <c r="M62" s="475">
        <v>0</v>
      </c>
      <c r="N62" s="437">
        <v>4</v>
      </c>
      <c r="O62" s="476">
        <v>4</v>
      </c>
      <c r="P62" s="475">
        <v>0</v>
      </c>
      <c r="Q62" s="451"/>
      <c r="R62" s="437">
        <v>4</v>
      </c>
      <c r="S62" s="451">
        <v>1</v>
      </c>
      <c r="T62" s="476">
        <v>4</v>
      </c>
      <c r="U62" s="452">
        <v>1</v>
      </c>
    </row>
    <row r="63" spans="1:21" ht="14.4" customHeight="1" x14ac:dyDescent="0.3">
      <c r="A63" s="447">
        <v>57</v>
      </c>
      <c r="B63" s="437" t="s">
        <v>305</v>
      </c>
      <c r="C63" s="437">
        <v>89301594</v>
      </c>
      <c r="D63" s="473" t="s">
        <v>305</v>
      </c>
      <c r="E63" s="474" t="s">
        <v>318</v>
      </c>
      <c r="F63" s="437" t="s">
        <v>306</v>
      </c>
      <c r="G63" s="437" t="s">
        <v>323</v>
      </c>
      <c r="H63" s="437" t="s">
        <v>511</v>
      </c>
      <c r="I63" s="437" t="s">
        <v>327</v>
      </c>
      <c r="J63" s="437" t="s">
        <v>328</v>
      </c>
      <c r="K63" s="437" t="s">
        <v>329</v>
      </c>
      <c r="L63" s="475">
        <v>105.31</v>
      </c>
      <c r="M63" s="475">
        <v>1684.96</v>
      </c>
      <c r="N63" s="437">
        <v>16</v>
      </c>
      <c r="O63" s="476">
        <v>1</v>
      </c>
      <c r="P63" s="475"/>
      <c r="Q63" s="451">
        <v>0</v>
      </c>
      <c r="R63" s="437"/>
      <c r="S63" s="451">
        <v>0</v>
      </c>
      <c r="T63" s="476"/>
      <c r="U63" s="452">
        <v>0</v>
      </c>
    </row>
    <row r="64" spans="1:21" ht="14.4" customHeight="1" x14ac:dyDescent="0.3">
      <c r="A64" s="447">
        <v>57</v>
      </c>
      <c r="B64" s="437" t="s">
        <v>305</v>
      </c>
      <c r="C64" s="437">
        <v>89301594</v>
      </c>
      <c r="D64" s="473" t="s">
        <v>305</v>
      </c>
      <c r="E64" s="474" t="s">
        <v>318</v>
      </c>
      <c r="F64" s="437" t="s">
        <v>306</v>
      </c>
      <c r="G64" s="437" t="s">
        <v>323</v>
      </c>
      <c r="H64" s="437" t="s">
        <v>511</v>
      </c>
      <c r="I64" s="437" t="s">
        <v>330</v>
      </c>
      <c r="J64" s="437" t="s">
        <v>331</v>
      </c>
      <c r="K64" s="437" t="s">
        <v>329</v>
      </c>
      <c r="L64" s="475">
        <v>108.47</v>
      </c>
      <c r="M64" s="475">
        <v>3254.1</v>
      </c>
      <c r="N64" s="437">
        <v>30</v>
      </c>
      <c r="O64" s="476">
        <v>1</v>
      </c>
      <c r="P64" s="475"/>
      <c r="Q64" s="451">
        <v>0</v>
      </c>
      <c r="R64" s="437"/>
      <c r="S64" s="451">
        <v>0</v>
      </c>
      <c r="T64" s="476"/>
      <c r="U64" s="452">
        <v>0</v>
      </c>
    </row>
    <row r="65" spans="1:21" ht="14.4" customHeight="1" x14ac:dyDescent="0.3">
      <c r="A65" s="447">
        <v>57</v>
      </c>
      <c r="B65" s="437" t="s">
        <v>305</v>
      </c>
      <c r="C65" s="437">
        <v>89301594</v>
      </c>
      <c r="D65" s="473" t="s">
        <v>305</v>
      </c>
      <c r="E65" s="474" t="s">
        <v>318</v>
      </c>
      <c r="F65" s="437" t="s">
        <v>306</v>
      </c>
      <c r="G65" s="437" t="s">
        <v>323</v>
      </c>
      <c r="H65" s="437" t="s">
        <v>511</v>
      </c>
      <c r="I65" s="437" t="s">
        <v>335</v>
      </c>
      <c r="J65" s="437" t="s">
        <v>336</v>
      </c>
      <c r="K65" s="437" t="s">
        <v>337</v>
      </c>
      <c r="L65" s="475">
        <v>242.63</v>
      </c>
      <c r="M65" s="475">
        <v>7278.9</v>
      </c>
      <c r="N65" s="437">
        <v>30</v>
      </c>
      <c r="O65" s="476">
        <v>1</v>
      </c>
      <c r="P65" s="475">
        <v>7278.9</v>
      </c>
      <c r="Q65" s="451">
        <v>1</v>
      </c>
      <c r="R65" s="437">
        <v>30</v>
      </c>
      <c r="S65" s="451">
        <v>1</v>
      </c>
      <c r="T65" s="476">
        <v>1</v>
      </c>
      <c r="U65" s="452">
        <v>1</v>
      </c>
    </row>
    <row r="66" spans="1:21" ht="14.4" customHeight="1" x14ac:dyDescent="0.3">
      <c r="A66" s="447">
        <v>57</v>
      </c>
      <c r="B66" s="437" t="s">
        <v>305</v>
      </c>
      <c r="C66" s="437">
        <v>89301594</v>
      </c>
      <c r="D66" s="473" t="s">
        <v>305</v>
      </c>
      <c r="E66" s="474" t="s">
        <v>318</v>
      </c>
      <c r="F66" s="437" t="s">
        <v>306</v>
      </c>
      <c r="G66" s="437" t="s">
        <v>323</v>
      </c>
      <c r="H66" s="437" t="s">
        <v>511</v>
      </c>
      <c r="I66" s="437" t="s">
        <v>391</v>
      </c>
      <c r="J66" s="437" t="s">
        <v>392</v>
      </c>
      <c r="K66" s="437" t="s">
        <v>352</v>
      </c>
      <c r="L66" s="475">
        <v>194.26</v>
      </c>
      <c r="M66" s="475">
        <v>1942.6</v>
      </c>
      <c r="N66" s="437">
        <v>10</v>
      </c>
      <c r="O66" s="476">
        <v>1</v>
      </c>
      <c r="P66" s="475"/>
      <c r="Q66" s="451">
        <v>0</v>
      </c>
      <c r="R66" s="437"/>
      <c r="S66" s="451">
        <v>0</v>
      </c>
      <c r="T66" s="476"/>
      <c r="U66" s="452">
        <v>0</v>
      </c>
    </row>
    <row r="67" spans="1:21" ht="14.4" customHeight="1" x14ac:dyDescent="0.3">
      <c r="A67" s="447">
        <v>57</v>
      </c>
      <c r="B67" s="437" t="s">
        <v>305</v>
      </c>
      <c r="C67" s="437">
        <v>89301594</v>
      </c>
      <c r="D67" s="473" t="s">
        <v>305</v>
      </c>
      <c r="E67" s="474" t="s">
        <v>319</v>
      </c>
      <c r="F67" s="437" t="s">
        <v>306</v>
      </c>
      <c r="G67" s="437" t="s">
        <v>413</v>
      </c>
      <c r="H67" s="437" t="s">
        <v>308</v>
      </c>
      <c r="I67" s="437" t="s">
        <v>414</v>
      </c>
      <c r="J67" s="437" t="s">
        <v>415</v>
      </c>
      <c r="K67" s="437" t="s">
        <v>416</v>
      </c>
      <c r="L67" s="475">
        <v>285.75</v>
      </c>
      <c r="M67" s="475">
        <v>285.75</v>
      </c>
      <c r="N67" s="437">
        <v>1</v>
      </c>
      <c r="O67" s="476">
        <v>0.5</v>
      </c>
      <c r="P67" s="475"/>
      <c r="Q67" s="451">
        <v>0</v>
      </c>
      <c r="R67" s="437"/>
      <c r="S67" s="451">
        <v>0</v>
      </c>
      <c r="T67" s="476"/>
      <c r="U67" s="452">
        <v>0</v>
      </c>
    </row>
    <row r="68" spans="1:21" ht="14.4" customHeight="1" x14ac:dyDescent="0.3">
      <c r="A68" s="447">
        <v>57</v>
      </c>
      <c r="B68" s="437" t="s">
        <v>305</v>
      </c>
      <c r="C68" s="437">
        <v>89301594</v>
      </c>
      <c r="D68" s="473" t="s">
        <v>305</v>
      </c>
      <c r="E68" s="474" t="s">
        <v>319</v>
      </c>
      <c r="F68" s="437" t="s">
        <v>306</v>
      </c>
      <c r="G68" s="437" t="s">
        <v>417</v>
      </c>
      <c r="H68" s="437" t="s">
        <v>308</v>
      </c>
      <c r="I68" s="437" t="s">
        <v>418</v>
      </c>
      <c r="J68" s="437" t="s">
        <v>419</v>
      </c>
      <c r="K68" s="437" t="s">
        <v>420</v>
      </c>
      <c r="L68" s="475">
        <v>1720.7</v>
      </c>
      <c r="M68" s="475">
        <v>10324.200000000001</v>
      </c>
      <c r="N68" s="437">
        <v>6</v>
      </c>
      <c r="O68" s="476">
        <v>1</v>
      </c>
      <c r="P68" s="475"/>
      <c r="Q68" s="451">
        <v>0</v>
      </c>
      <c r="R68" s="437"/>
      <c r="S68" s="451">
        <v>0</v>
      </c>
      <c r="T68" s="476"/>
      <c r="U68" s="452">
        <v>0</v>
      </c>
    </row>
    <row r="69" spans="1:21" ht="14.4" customHeight="1" x14ac:dyDescent="0.3">
      <c r="A69" s="447">
        <v>57</v>
      </c>
      <c r="B69" s="437" t="s">
        <v>305</v>
      </c>
      <c r="C69" s="437">
        <v>89301594</v>
      </c>
      <c r="D69" s="473" t="s">
        <v>305</v>
      </c>
      <c r="E69" s="474" t="s">
        <v>319</v>
      </c>
      <c r="F69" s="437" t="s">
        <v>306</v>
      </c>
      <c r="G69" s="437" t="s">
        <v>421</v>
      </c>
      <c r="H69" s="437" t="s">
        <v>511</v>
      </c>
      <c r="I69" s="437" t="s">
        <v>422</v>
      </c>
      <c r="J69" s="437" t="s">
        <v>423</v>
      </c>
      <c r="K69" s="437" t="s">
        <v>424</v>
      </c>
      <c r="L69" s="475">
        <v>156.86000000000001</v>
      </c>
      <c r="M69" s="475">
        <v>627.44000000000005</v>
      </c>
      <c r="N69" s="437">
        <v>4</v>
      </c>
      <c r="O69" s="476">
        <v>1</v>
      </c>
      <c r="P69" s="475"/>
      <c r="Q69" s="451">
        <v>0</v>
      </c>
      <c r="R69" s="437"/>
      <c r="S69" s="451">
        <v>0</v>
      </c>
      <c r="T69" s="476"/>
      <c r="U69" s="452">
        <v>0</v>
      </c>
    </row>
    <row r="70" spans="1:21" ht="14.4" customHeight="1" x14ac:dyDescent="0.3">
      <c r="A70" s="447">
        <v>57</v>
      </c>
      <c r="B70" s="437" t="s">
        <v>305</v>
      </c>
      <c r="C70" s="437">
        <v>89301594</v>
      </c>
      <c r="D70" s="473" t="s">
        <v>305</v>
      </c>
      <c r="E70" s="474" t="s">
        <v>319</v>
      </c>
      <c r="F70" s="437" t="s">
        <v>306</v>
      </c>
      <c r="G70" s="437" t="s">
        <v>425</v>
      </c>
      <c r="H70" s="437" t="s">
        <v>308</v>
      </c>
      <c r="I70" s="437" t="s">
        <v>426</v>
      </c>
      <c r="J70" s="437" t="s">
        <v>427</v>
      </c>
      <c r="K70" s="437" t="s">
        <v>428</v>
      </c>
      <c r="L70" s="475">
        <v>103.12</v>
      </c>
      <c r="M70" s="475">
        <v>928.08</v>
      </c>
      <c r="N70" s="437">
        <v>9</v>
      </c>
      <c r="O70" s="476">
        <v>1</v>
      </c>
      <c r="P70" s="475"/>
      <c r="Q70" s="451">
        <v>0</v>
      </c>
      <c r="R70" s="437"/>
      <c r="S70" s="451">
        <v>0</v>
      </c>
      <c r="T70" s="476"/>
      <c r="U70" s="452">
        <v>0</v>
      </c>
    </row>
    <row r="71" spans="1:21" ht="14.4" customHeight="1" x14ac:dyDescent="0.3">
      <c r="A71" s="447">
        <v>57</v>
      </c>
      <c r="B71" s="437" t="s">
        <v>305</v>
      </c>
      <c r="C71" s="437">
        <v>89301594</v>
      </c>
      <c r="D71" s="473" t="s">
        <v>305</v>
      </c>
      <c r="E71" s="474" t="s">
        <v>319</v>
      </c>
      <c r="F71" s="437" t="s">
        <v>306</v>
      </c>
      <c r="G71" s="437" t="s">
        <v>320</v>
      </c>
      <c r="H71" s="437" t="s">
        <v>308</v>
      </c>
      <c r="I71" s="437" t="s">
        <v>321</v>
      </c>
      <c r="J71" s="437" t="s">
        <v>322</v>
      </c>
      <c r="K71" s="437"/>
      <c r="L71" s="475">
        <v>0</v>
      </c>
      <c r="M71" s="475">
        <v>0</v>
      </c>
      <c r="N71" s="437">
        <v>1763</v>
      </c>
      <c r="O71" s="476">
        <v>31.5</v>
      </c>
      <c r="P71" s="475">
        <v>0</v>
      </c>
      <c r="Q71" s="451"/>
      <c r="R71" s="437">
        <v>1459</v>
      </c>
      <c r="S71" s="451">
        <v>0.82756664775950084</v>
      </c>
      <c r="T71" s="476">
        <v>26</v>
      </c>
      <c r="U71" s="452">
        <v>0.82539682539682535</v>
      </c>
    </row>
    <row r="72" spans="1:21" ht="14.4" customHeight="1" x14ac:dyDescent="0.3">
      <c r="A72" s="447">
        <v>57</v>
      </c>
      <c r="B72" s="437" t="s">
        <v>305</v>
      </c>
      <c r="C72" s="437">
        <v>89301594</v>
      </c>
      <c r="D72" s="473" t="s">
        <v>305</v>
      </c>
      <c r="E72" s="474" t="s">
        <v>319</v>
      </c>
      <c r="F72" s="437" t="s">
        <v>306</v>
      </c>
      <c r="G72" s="437" t="s">
        <v>429</v>
      </c>
      <c r="H72" s="437" t="s">
        <v>308</v>
      </c>
      <c r="I72" s="437" t="s">
        <v>430</v>
      </c>
      <c r="J72" s="437" t="s">
        <v>431</v>
      </c>
      <c r="K72" s="437" t="s">
        <v>432</v>
      </c>
      <c r="L72" s="475">
        <v>0</v>
      </c>
      <c r="M72" s="475">
        <v>0</v>
      </c>
      <c r="N72" s="437">
        <v>1</v>
      </c>
      <c r="O72" s="476">
        <v>0.5</v>
      </c>
      <c r="P72" s="475"/>
      <c r="Q72" s="451"/>
      <c r="R72" s="437"/>
      <c r="S72" s="451">
        <v>0</v>
      </c>
      <c r="T72" s="476"/>
      <c r="U72" s="452">
        <v>0</v>
      </c>
    </row>
    <row r="73" spans="1:21" ht="14.4" customHeight="1" x14ac:dyDescent="0.3">
      <c r="A73" s="447">
        <v>57</v>
      </c>
      <c r="B73" s="437" t="s">
        <v>305</v>
      </c>
      <c r="C73" s="437">
        <v>89301594</v>
      </c>
      <c r="D73" s="473" t="s">
        <v>305</v>
      </c>
      <c r="E73" s="474" t="s">
        <v>319</v>
      </c>
      <c r="F73" s="437" t="s">
        <v>306</v>
      </c>
      <c r="G73" s="437" t="s">
        <v>433</v>
      </c>
      <c r="H73" s="437" t="s">
        <v>308</v>
      </c>
      <c r="I73" s="437" t="s">
        <v>434</v>
      </c>
      <c r="J73" s="437" t="s">
        <v>435</v>
      </c>
      <c r="K73" s="437" t="s">
        <v>436</v>
      </c>
      <c r="L73" s="475">
        <v>766.89</v>
      </c>
      <c r="M73" s="475">
        <v>5368.23</v>
      </c>
      <c r="N73" s="437">
        <v>7</v>
      </c>
      <c r="O73" s="476">
        <v>2</v>
      </c>
      <c r="P73" s="475"/>
      <c r="Q73" s="451">
        <v>0</v>
      </c>
      <c r="R73" s="437"/>
      <c r="S73" s="451">
        <v>0</v>
      </c>
      <c r="T73" s="476"/>
      <c r="U73" s="452">
        <v>0</v>
      </c>
    </row>
    <row r="74" spans="1:21" ht="14.4" customHeight="1" x14ac:dyDescent="0.3">
      <c r="A74" s="447">
        <v>57</v>
      </c>
      <c r="B74" s="437" t="s">
        <v>305</v>
      </c>
      <c r="C74" s="437">
        <v>89301594</v>
      </c>
      <c r="D74" s="473" t="s">
        <v>305</v>
      </c>
      <c r="E74" s="474" t="s">
        <v>319</v>
      </c>
      <c r="F74" s="437" t="s">
        <v>306</v>
      </c>
      <c r="G74" s="437" t="s">
        <v>437</v>
      </c>
      <c r="H74" s="437" t="s">
        <v>308</v>
      </c>
      <c r="I74" s="437" t="s">
        <v>438</v>
      </c>
      <c r="J74" s="437" t="s">
        <v>439</v>
      </c>
      <c r="K74" s="437" t="s">
        <v>440</v>
      </c>
      <c r="L74" s="475">
        <v>0</v>
      </c>
      <c r="M74" s="475">
        <v>0</v>
      </c>
      <c r="N74" s="437">
        <v>3</v>
      </c>
      <c r="O74" s="476">
        <v>0.5</v>
      </c>
      <c r="P74" s="475"/>
      <c r="Q74" s="451"/>
      <c r="R74" s="437"/>
      <c r="S74" s="451">
        <v>0</v>
      </c>
      <c r="T74" s="476"/>
      <c r="U74" s="452">
        <v>0</v>
      </c>
    </row>
    <row r="75" spans="1:21" ht="14.4" customHeight="1" x14ac:dyDescent="0.3">
      <c r="A75" s="447">
        <v>57</v>
      </c>
      <c r="B75" s="437" t="s">
        <v>305</v>
      </c>
      <c r="C75" s="437">
        <v>89301594</v>
      </c>
      <c r="D75" s="473" t="s">
        <v>305</v>
      </c>
      <c r="E75" s="474" t="s">
        <v>319</v>
      </c>
      <c r="F75" s="437" t="s">
        <v>306</v>
      </c>
      <c r="G75" s="437" t="s">
        <v>441</v>
      </c>
      <c r="H75" s="437" t="s">
        <v>308</v>
      </c>
      <c r="I75" s="437" t="s">
        <v>442</v>
      </c>
      <c r="J75" s="437" t="s">
        <v>443</v>
      </c>
      <c r="K75" s="437" t="s">
        <v>444</v>
      </c>
      <c r="L75" s="475">
        <v>0</v>
      </c>
      <c r="M75" s="475">
        <v>0</v>
      </c>
      <c r="N75" s="437">
        <v>1</v>
      </c>
      <c r="O75" s="476">
        <v>0.5</v>
      </c>
      <c r="P75" s="475"/>
      <c r="Q75" s="451"/>
      <c r="R75" s="437"/>
      <c r="S75" s="451">
        <v>0</v>
      </c>
      <c r="T75" s="476"/>
      <c r="U75" s="452">
        <v>0</v>
      </c>
    </row>
    <row r="76" spans="1:21" ht="14.4" customHeight="1" x14ac:dyDescent="0.3">
      <c r="A76" s="447">
        <v>57</v>
      </c>
      <c r="B76" s="437" t="s">
        <v>305</v>
      </c>
      <c r="C76" s="437">
        <v>89301594</v>
      </c>
      <c r="D76" s="473" t="s">
        <v>305</v>
      </c>
      <c r="E76" s="474" t="s">
        <v>319</v>
      </c>
      <c r="F76" s="437" t="s">
        <v>306</v>
      </c>
      <c r="G76" s="437" t="s">
        <v>445</v>
      </c>
      <c r="H76" s="437" t="s">
        <v>308</v>
      </c>
      <c r="I76" s="437" t="s">
        <v>446</v>
      </c>
      <c r="J76" s="437" t="s">
        <v>447</v>
      </c>
      <c r="K76" s="437" t="s">
        <v>448</v>
      </c>
      <c r="L76" s="475">
        <v>250.87</v>
      </c>
      <c r="M76" s="475">
        <v>1505.22</v>
      </c>
      <c r="N76" s="437">
        <v>6</v>
      </c>
      <c r="O76" s="476">
        <v>1</v>
      </c>
      <c r="P76" s="475"/>
      <c r="Q76" s="451">
        <v>0</v>
      </c>
      <c r="R76" s="437"/>
      <c r="S76" s="451">
        <v>0</v>
      </c>
      <c r="T76" s="476"/>
      <c r="U76" s="452">
        <v>0</v>
      </c>
    </row>
    <row r="77" spans="1:21" ht="14.4" customHeight="1" x14ac:dyDescent="0.3">
      <c r="A77" s="447">
        <v>57</v>
      </c>
      <c r="B77" s="437" t="s">
        <v>305</v>
      </c>
      <c r="C77" s="437">
        <v>89301594</v>
      </c>
      <c r="D77" s="473" t="s">
        <v>305</v>
      </c>
      <c r="E77" s="474" t="s">
        <v>319</v>
      </c>
      <c r="F77" s="437" t="s">
        <v>306</v>
      </c>
      <c r="G77" s="437" t="s">
        <v>449</v>
      </c>
      <c r="H77" s="437" t="s">
        <v>308</v>
      </c>
      <c r="I77" s="437" t="s">
        <v>450</v>
      </c>
      <c r="J77" s="437" t="s">
        <v>451</v>
      </c>
      <c r="K77" s="437" t="s">
        <v>452</v>
      </c>
      <c r="L77" s="475">
        <v>120.37</v>
      </c>
      <c r="M77" s="475">
        <v>120.37</v>
      </c>
      <c r="N77" s="437">
        <v>1</v>
      </c>
      <c r="O77" s="476">
        <v>1</v>
      </c>
      <c r="P77" s="475"/>
      <c r="Q77" s="451">
        <v>0</v>
      </c>
      <c r="R77" s="437"/>
      <c r="S77" s="451">
        <v>0</v>
      </c>
      <c r="T77" s="476"/>
      <c r="U77" s="452">
        <v>0</v>
      </c>
    </row>
    <row r="78" spans="1:21" ht="14.4" customHeight="1" x14ac:dyDescent="0.3">
      <c r="A78" s="447">
        <v>57</v>
      </c>
      <c r="B78" s="437" t="s">
        <v>305</v>
      </c>
      <c r="C78" s="437">
        <v>89301594</v>
      </c>
      <c r="D78" s="473" t="s">
        <v>305</v>
      </c>
      <c r="E78" s="474" t="s">
        <v>319</v>
      </c>
      <c r="F78" s="437" t="s">
        <v>306</v>
      </c>
      <c r="G78" s="437" t="s">
        <v>453</v>
      </c>
      <c r="H78" s="437" t="s">
        <v>308</v>
      </c>
      <c r="I78" s="437" t="s">
        <v>454</v>
      </c>
      <c r="J78" s="437" t="s">
        <v>455</v>
      </c>
      <c r="K78" s="437" t="s">
        <v>456</v>
      </c>
      <c r="L78" s="475">
        <v>314.89999999999998</v>
      </c>
      <c r="M78" s="475">
        <v>2519.1999999999998</v>
      </c>
      <c r="N78" s="437">
        <v>8</v>
      </c>
      <c r="O78" s="476">
        <v>2.5</v>
      </c>
      <c r="P78" s="475">
        <v>629.79999999999995</v>
      </c>
      <c r="Q78" s="451">
        <v>0.25</v>
      </c>
      <c r="R78" s="437">
        <v>2</v>
      </c>
      <c r="S78" s="451">
        <v>0.25</v>
      </c>
      <c r="T78" s="476">
        <v>0.5</v>
      </c>
      <c r="U78" s="452">
        <v>0.2</v>
      </c>
    </row>
    <row r="79" spans="1:21" ht="14.4" customHeight="1" x14ac:dyDescent="0.3">
      <c r="A79" s="447">
        <v>57</v>
      </c>
      <c r="B79" s="437" t="s">
        <v>305</v>
      </c>
      <c r="C79" s="437">
        <v>89301594</v>
      </c>
      <c r="D79" s="473" t="s">
        <v>305</v>
      </c>
      <c r="E79" s="474" t="s">
        <v>319</v>
      </c>
      <c r="F79" s="437" t="s">
        <v>306</v>
      </c>
      <c r="G79" s="437" t="s">
        <v>453</v>
      </c>
      <c r="H79" s="437" t="s">
        <v>308</v>
      </c>
      <c r="I79" s="437" t="s">
        <v>457</v>
      </c>
      <c r="J79" s="437" t="s">
        <v>458</v>
      </c>
      <c r="K79" s="437" t="s">
        <v>459</v>
      </c>
      <c r="L79" s="475">
        <v>314.89999999999998</v>
      </c>
      <c r="M79" s="475">
        <v>629.79999999999995</v>
      </c>
      <c r="N79" s="437">
        <v>2</v>
      </c>
      <c r="O79" s="476">
        <v>0.5</v>
      </c>
      <c r="P79" s="475"/>
      <c r="Q79" s="451">
        <v>0</v>
      </c>
      <c r="R79" s="437"/>
      <c r="S79" s="451">
        <v>0</v>
      </c>
      <c r="T79" s="476"/>
      <c r="U79" s="452">
        <v>0</v>
      </c>
    </row>
    <row r="80" spans="1:21" ht="14.4" customHeight="1" x14ac:dyDescent="0.3">
      <c r="A80" s="447">
        <v>57</v>
      </c>
      <c r="B80" s="437" t="s">
        <v>305</v>
      </c>
      <c r="C80" s="437">
        <v>89301594</v>
      </c>
      <c r="D80" s="473" t="s">
        <v>305</v>
      </c>
      <c r="E80" s="474" t="s">
        <v>319</v>
      </c>
      <c r="F80" s="437" t="s">
        <v>306</v>
      </c>
      <c r="G80" s="437" t="s">
        <v>460</v>
      </c>
      <c r="H80" s="437" t="s">
        <v>308</v>
      </c>
      <c r="I80" s="437" t="s">
        <v>461</v>
      </c>
      <c r="J80" s="437" t="s">
        <v>462</v>
      </c>
      <c r="K80" s="437" t="s">
        <v>463</v>
      </c>
      <c r="L80" s="475">
        <v>0</v>
      </c>
      <c r="M80" s="475">
        <v>0</v>
      </c>
      <c r="N80" s="437">
        <v>2</v>
      </c>
      <c r="O80" s="476">
        <v>0.5</v>
      </c>
      <c r="P80" s="475"/>
      <c r="Q80" s="451"/>
      <c r="R80" s="437"/>
      <c r="S80" s="451">
        <v>0</v>
      </c>
      <c r="T80" s="476"/>
      <c r="U80" s="452">
        <v>0</v>
      </c>
    </row>
    <row r="81" spans="1:21" ht="14.4" customHeight="1" x14ac:dyDescent="0.3">
      <c r="A81" s="447">
        <v>57</v>
      </c>
      <c r="B81" s="437" t="s">
        <v>305</v>
      </c>
      <c r="C81" s="437">
        <v>89301594</v>
      </c>
      <c r="D81" s="473" t="s">
        <v>305</v>
      </c>
      <c r="E81" s="474" t="s">
        <v>319</v>
      </c>
      <c r="F81" s="437" t="s">
        <v>306</v>
      </c>
      <c r="G81" s="437" t="s">
        <v>464</v>
      </c>
      <c r="H81" s="437" t="s">
        <v>511</v>
      </c>
      <c r="I81" s="437" t="s">
        <v>465</v>
      </c>
      <c r="J81" s="437" t="s">
        <v>466</v>
      </c>
      <c r="K81" s="437" t="s">
        <v>467</v>
      </c>
      <c r="L81" s="475">
        <v>174.94</v>
      </c>
      <c r="M81" s="475">
        <v>174.94</v>
      </c>
      <c r="N81" s="437">
        <v>1</v>
      </c>
      <c r="O81" s="476">
        <v>0.5</v>
      </c>
      <c r="P81" s="475"/>
      <c r="Q81" s="451">
        <v>0</v>
      </c>
      <c r="R81" s="437"/>
      <c r="S81" s="451">
        <v>0</v>
      </c>
      <c r="T81" s="476"/>
      <c r="U81" s="452">
        <v>0</v>
      </c>
    </row>
    <row r="82" spans="1:21" ht="14.4" customHeight="1" x14ac:dyDescent="0.3">
      <c r="A82" s="447">
        <v>57</v>
      </c>
      <c r="B82" s="437" t="s">
        <v>305</v>
      </c>
      <c r="C82" s="437">
        <v>89301594</v>
      </c>
      <c r="D82" s="473" t="s">
        <v>305</v>
      </c>
      <c r="E82" s="474" t="s">
        <v>319</v>
      </c>
      <c r="F82" s="437" t="s">
        <v>306</v>
      </c>
      <c r="G82" s="437" t="s">
        <v>468</v>
      </c>
      <c r="H82" s="437" t="s">
        <v>308</v>
      </c>
      <c r="I82" s="437" t="s">
        <v>469</v>
      </c>
      <c r="J82" s="437" t="s">
        <v>470</v>
      </c>
      <c r="K82" s="437" t="s">
        <v>471</v>
      </c>
      <c r="L82" s="475">
        <v>56.69</v>
      </c>
      <c r="M82" s="475">
        <v>113.38</v>
      </c>
      <c r="N82" s="437">
        <v>2</v>
      </c>
      <c r="O82" s="476">
        <v>1</v>
      </c>
      <c r="P82" s="475"/>
      <c r="Q82" s="451">
        <v>0</v>
      </c>
      <c r="R82" s="437"/>
      <c r="S82" s="451">
        <v>0</v>
      </c>
      <c r="T82" s="476"/>
      <c r="U82" s="452">
        <v>0</v>
      </c>
    </row>
    <row r="83" spans="1:21" ht="14.4" customHeight="1" x14ac:dyDescent="0.3">
      <c r="A83" s="447">
        <v>57</v>
      </c>
      <c r="B83" s="437" t="s">
        <v>305</v>
      </c>
      <c r="C83" s="437">
        <v>89301594</v>
      </c>
      <c r="D83" s="473" t="s">
        <v>305</v>
      </c>
      <c r="E83" s="474" t="s">
        <v>319</v>
      </c>
      <c r="F83" s="437" t="s">
        <v>306</v>
      </c>
      <c r="G83" s="437" t="s">
        <v>323</v>
      </c>
      <c r="H83" s="437" t="s">
        <v>511</v>
      </c>
      <c r="I83" s="437" t="s">
        <v>338</v>
      </c>
      <c r="J83" s="437" t="s">
        <v>339</v>
      </c>
      <c r="K83" s="437" t="s">
        <v>326</v>
      </c>
      <c r="L83" s="475">
        <v>31.59</v>
      </c>
      <c r="M83" s="475">
        <v>1516.32</v>
      </c>
      <c r="N83" s="437">
        <v>48</v>
      </c>
      <c r="O83" s="476">
        <v>0.5</v>
      </c>
      <c r="P83" s="475"/>
      <c r="Q83" s="451">
        <v>0</v>
      </c>
      <c r="R83" s="437"/>
      <c r="S83" s="451">
        <v>0</v>
      </c>
      <c r="T83" s="476"/>
      <c r="U83" s="452">
        <v>0</v>
      </c>
    </row>
    <row r="84" spans="1:21" ht="14.4" customHeight="1" x14ac:dyDescent="0.3">
      <c r="A84" s="447">
        <v>57</v>
      </c>
      <c r="B84" s="437" t="s">
        <v>305</v>
      </c>
      <c r="C84" s="437">
        <v>89301594</v>
      </c>
      <c r="D84" s="473" t="s">
        <v>305</v>
      </c>
      <c r="E84" s="474" t="s">
        <v>319</v>
      </c>
      <c r="F84" s="437" t="s">
        <v>306</v>
      </c>
      <c r="G84" s="437" t="s">
        <v>323</v>
      </c>
      <c r="H84" s="437" t="s">
        <v>511</v>
      </c>
      <c r="I84" s="437" t="s">
        <v>338</v>
      </c>
      <c r="J84" s="437" t="s">
        <v>339</v>
      </c>
      <c r="K84" s="437" t="s">
        <v>326</v>
      </c>
      <c r="L84" s="475">
        <v>32.6</v>
      </c>
      <c r="M84" s="475">
        <v>22559.200000000001</v>
      </c>
      <c r="N84" s="437">
        <v>692</v>
      </c>
      <c r="O84" s="476">
        <v>7.5</v>
      </c>
      <c r="P84" s="475">
        <v>3716.4000000000005</v>
      </c>
      <c r="Q84" s="451">
        <v>0.16473988439306361</v>
      </c>
      <c r="R84" s="437">
        <v>114</v>
      </c>
      <c r="S84" s="451">
        <v>0.16473988439306358</v>
      </c>
      <c r="T84" s="476">
        <v>2</v>
      </c>
      <c r="U84" s="452">
        <v>0.26666666666666666</v>
      </c>
    </row>
    <row r="85" spans="1:21" ht="14.4" customHeight="1" x14ac:dyDescent="0.3">
      <c r="A85" s="447">
        <v>57</v>
      </c>
      <c r="B85" s="437" t="s">
        <v>305</v>
      </c>
      <c r="C85" s="437">
        <v>89301594</v>
      </c>
      <c r="D85" s="473" t="s">
        <v>305</v>
      </c>
      <c r="E85" s="474" t="s">
        <v>319</v>
      </c>
      <c r="F85" s="437" t="s">
        <v>306</v>
      </c>
      <c r="G85" s="437" t="s">
        <v>323</v>
      </c>
      <c r="H85" s="437" t="s">
        <v>511</v>
      </c>
      <c r="I85" s="437" t="s">
        <v>472</v>
      </c>
      <c r="J85" s="437" t="s">
        <v>473</v>
      </c>
      <c r="K85" s="437" t="s">
        <v>326</v>
      </c>
      <c r="L85" s="475">
        <v>32.380000000000003</v>
      </c>
      <c r="M85" s="475">
        <v>3885.6000000000004</v>
      </c>
      <c r="N85" s="437">
        <v>120</v>
      </c>
      <c r="O85" s="476">
        <v>1</v>
      </c>
      <c r="P85" s="475"/>
      <c r="Q85" s="451">
        <v>0</v>
      </c>
      <c r="R85" s="437"/>
      <c r="S85" s="451">
        <v>0</v>
      </c>
      <c r="T85" s="476"/>
      <c r="U85" s="452">
        <v>0</v>
      </c>
    </row>
    <row r="86" spans="1:21" ht="14.4" customHeight="1" x14ac:dyDescent="0.3">
      <c r="A86" s="447">
        <v>57</v>
      </c>
      <c r="B86" s="437" t="s">
        <v>305</v>
      </c>
      <c r="C86" s="437">
        <v>89301594</v>
      </c>
      <c r="D86" s="473" t="s">
        <v>305</v>
      </c>
      <c r="E86" s="474" t="s">
        <v>319</v>
      </c>
      <c r="F86" s="437" t="s">
        <v>306</v>
      </c>
      <c r="G86" s="437" t="s">
        <v>323</v>
      </c>
      <c r="H86" s="437" t="s">
        <v>511</v>
      </c>
      <c r="I86" s="437" t="s">
        <v>346</v>
      </c>
      <c r="J86" s="437" t="s">
        <v>347</v>
      </c>
      <c r="K86" s="437" t="s">
        <v>326</v>
      </c>
      <c r="L86" s="475">
        <v>31.59</v>
      </c>
      <c r="M86" s="475">
        <v>3159</v>
      </c>
      <c r="N86" s="437">
        <v>100</v>
      </c>
      <c r="O86" s="476">
        <v>2</v>
      </c>
      <c r="P86" s="475">
        <v>2843.1</v>
      </c>
      <c r="Q86" s="451">
        <v>0.9</v>
      </c>
      <c r="R86" s="437">
        <v>90</v>
      </c>
      <c r="S86" s="451">
        <v>0.9</v>
      </c>
      <c r="T86" s="476">
        <v>1</v>
      </c>
      <c r="U86" s="452">
        <v>0.5</v>
      </c>
    </row>
    <row r="87" spans="1:21" ht="14.4" customHeight="1" x14ac:dyDescent="0.3">
      <c r="A87" s="447">
        <v>57</v>
      </c>
      <c r="B87" s="437" t="s">
        <v>305</v>
      </c>
      <c r="C87" s="437">
        <v>89301594</v>
      </c>
      <c r="D87" s="473" t="s">
        <v>305</v>
      </c>
      <c r="E87" s="474" t="s">
        <v>319</v>
      </c>
      <c r="F87" s="437" t="s">
        <v>306</v>
      </c>
      <c r="G87" s="437" t="s">
        <v>323</v>
      </c>
      <c r="H87" s="437" t="s">
        <v>511</v>
      </c>
      <c r="I87" s="437" t="s">
        <v>346</v>
      </c>
      <c r="J87" s="437" t="s">
        <v>347</v>
      </c>
      <c r="K87" s="437" t="s">
        <v>326</v>
      </c>
      <c r="L87" s="475">
        <v>32.380000000000003</v>
      </c>
      <c r="M87" s="475">
        <v>21047</v>
      </c>
      <c r="N87" s="437">
        <v>650</v>
      </c>
      <c r="O87" s="476">
        <v>10</v>
      </c>
      <c r="P87" s="475">
        <v>11980.6</v>
      </c>
      <c r="Q87" s="451">
        <v>0.56923076923076921</v>
      </c>
      <c r="R87" s="437">
        <v>370</v>
      </c>
      <c r="S87" s="451">
        <v>0.56923076923076921</v>
      </c>
      <c r="T87" s="476">
        <v>4</v>
      </c>
      <c r="U87" s="452">
        <v>0.4</v>
      </c>
    </row>
    <row r="88" spans="1:21" ht="14.4" customHeight="1" x14ac:dyDescent="0.3">
      <c r="A88" s="447">
        <v>57</v>
      </c>
      <c r="B88" s="437" t="s">
        <v>305</v>
      </c>
      <c r="C88" s="437">
        <v>89301594</v>
      </c>
      <c r="D88" s="473" t="s">
        <v>305</v>
      </c>
      <c r="E88" s="474" t="s">
        <v>319</v>
      </c>
      <c r="F88" s="437" t="s">
        <v>306</v>
      </c>
      <c r="G88" s="437" t="s">
        <v>323</v>
      </c>
      <c r="H88" s="437" t="s">
        <v>511</v>
      </c>
      <c r="I88" s="437" t="s">
        <v>348</v>
      </c>
      <c r="J88" s="437" t="s">
        <v>349</v>
      </c>
      <c r="K88" s="437" t="s">
        <v>326</v>
      </c>
      <c r="L88" s="475">
        <v>32.380000000000003</v>
      </c>
      <c r="M88" s="475">
        <v>3302.7600000000007</v>
      </c>
      <c r="N88" s="437">
        <v>102</v>
      </c>
      <c r="O88" s="476">
        <v>2</v>
      </c>
      <c r="P88" s="475">
        <v>2655.1600000000008</v>
      </c>
      <c r="Q88" s="451">
        <v>0.80392156862745101</v>
      </c>
      <c r="R88" s="437">
        <v>82</v>
      </c>
      <c r="S88" s="451">
        <v>0.80392156862745101</v>
      </c>
      <c r="T88" s="476">
        <v>1.5</v>
      </c>
      <c r="U88" s="452">
        <v>0.75</v>
      </c>
    </row>
    <row r="89" spans="1:21" ht="14.4" customHeight="1" x14ac:dyDescent="0.3">
      <c r="A89" s="447">
        <v>57</v>
      </c>
      <c r="B89" s="437" t="s">
        <v>305</v>
      </c>
      <c r="C89" s="437">
        <v>89301594</v>
      </c>
      <c r="D89" s="473" t="s">
        <v>305</v>
      </c>
      <c r="E89" s="474" t="s">
        <v>319</v>
      </c>
      <c r="F89" s="437" t="s">
        <v>306</v>
      </c>
      <c r="G89" s="437" t="s">
        <v>323</v>
      </c>
      <c r="H89" s="437" t="s">
        <v>511</v>
      </c>
      <c r="I89" s="437" t="s">
        <v>474</v>
      </c>
      <c r="J89" s="437" t="s">
        <v>475</v>
      </c>
      <c r="K89" s="437" t="s">
        <v>326</v>
      </c>
      <c r="L89" s="475">
        <v>31.59</v>
      </c>
      <c r="M89" s="475">
        <v>17058.599999999999</v>
      </c>
      <c r="N89" s="437">
        <v>540</v>
      </c>
      <c r="O89" s="476">
        <v>4</v>
      </c>
      <c r="P89" s="475">
        <v>3790.8</v>
      </c>
      <c r="Q89" s="451">
        <v>0.22222222222222227</v>
      </c>
      <c r="R89" s="437">
        <v>120</v>
      </c>
      <c r="S89" s="451">
        <v>0.22222222222222221</v>
      </c>
      <c r="T89" s="476">
        <v>1</v>
      </c>
      <c r="U89" s="452">
        <v>0.25</v>
      </c>
    </row>
    <row r="90" spans="1:21" ht="14.4" customHeight="1" x14ac:dyDescent="0.3">
      <c r="A90" s="447">
        <v>57</v>
      </c>
      <c r="B90" s="437" t="s">
        <v>305</v>
      </c>
      <c r="C90" s="437">
        <v>89301594</v>
      </c>
      <c r="D90" s="473" t="s">
        <v>305</v>
      </c>
      <c r="E90" s="474" t="s">
        <v>319</v>
      </c>
      <c r="F90" s="437" t="s">
        <v>306</v>
      </c>
      <c r="G90" s="437" t="s">
        <v>323</v>
      </c>
      <c r="H90" s="437" t="s">
        <v>511</v>
      </c>
      <c r="I90" s="437" t="s">
        <v>350</v>
      </c>
      <c r="J90" s="437" t="s">
        <v>351</v>
      </c>
      <c r="K90" s="437" t="s">
        <v>352</v>
      </c>
      <c r="L90" s="475">
        <v>189.56</v>
      </c>
      <c r="M90" s="475">
        <v>42271.87999999999</v>
      </c>
      <c r="N90" s="437">
        <v>223</v>
      </c>
      <c r="O90" s="476">
        <v>11.5</v>
      </c>
      <c r="P90" s="475">
        <v>26538.399999999994</v>
      </c>
      <c r="Q90" s="451">
        <v>0.62780269058295968</v>
      </c>
      <c r="R90" s="437">
        <v>140</v>
      </c>
      <c r="S90" s="451">
        <v>0.62780269058295968</v>
      </c>
      <c r="T90" s="476">
        <v>7</v>
      </c>
      <c r="U90" s="452">
        <v>0.60869565217391308</v>
      </c>
    </row>
    <row r="91" spans="1:21" ht="14.4" customHeight="1" x14ac:dyDescent="0.3">
      <c r="A91" s="447">
        <v>57</v>
      </c>
      <c r="B91" s="437" t="s">
        <v>305</v>
      </c>
      <c r="C91" s="437">
        <v>89301594</v>
      </c>
      <c r="D91" s="473" t="s">
        <v>305</v>
      </c>
      <c r="E91" s="474" t="s">
        <v>319</v>
      </c>
      <c r="F91" s="437" t="s">
        <v>306</v>
      </c>
      <c r="G91" s="437" t="s">
        <v>323</v>
      </c>
      <c r="H91" s="437" t="s">
        <v>511</v>
      </c>
      <c r="I91" s="437" t="s">
        <v>350</v>
      </c>
      <c r="J91" s="437" t="s">
        <v>351</v>
      </c>
      <c r="K91" s="437" t="s">
        <v>352</v>
      </c>
      <c r="L91" s="475">
        <v>194.26</v>
      </c>
      <c r="M91" s="475">
        <v>303822.64000000007</v>
      </c>
      <c r="N91" s="437">
        <v>1564</v>
      </c>
      <c r="O91" s="476">
        <v>88.5</v>
      </c>
      <c r="P91" s="475">
        <v>128794.37999999999</v>
      </c>
      <c r="Q91" s="451">
        <v>0.42391304347826075</v>
      </c>
      <c r="R91" s="437">
        <v>663</v>
      </c>
      <c r="S91" s="451">
        <v>0.42391304347826086</v>
      </c>
      <c r="T91" s="476">
        <v>37</v>
      </c>
      <c r="U91" s="452">
        <v>0.41807909604519772</v>
      </c>
    </row>
    <row r="92" spans="1:21" ht="14.4" customHeight="1" x14ac:dyDescent="0.3">
      <c r="A92" s="447">
        <v>57</v>
      </c>
      <c r="B92" s="437" t="s">
        <v>305</v>
      </c>
      <c r="C92" s="437">
        <v>89301594</v>
      </c>
      <c r="D92" s="473" t="s">
        <v>305</v>
      </c>
      <c r="E92" s="474" t="s">
        <v>319</v>
      </c>
      <c r="F92" s="437" t="s">
        <v>306</v>
      </c>
      <c r="G92" s="437" t="s">
        <v>323</v>
      </c>
      <c r="H92" s="437" t="s">
        <v>511</v>
      </c>
      <c r="I92" s="437" t="s">
        <v>355</v>
      </c>
      <c r="J92" s="437" t="s">
        <v>356</v>
      </c>
      <c r="K92" s="437" t="s">
        <v>326</v>
      </c>
      <c r="L92" s="475">
        <v>21.06</v>
      </c>
      <c r="M92" s="475">
        <v>1684.8</v>
      </c>
      <c r="N92" s="437">
        <v>80</v>
      </c>
      <c r="O92" s="476">
        <v>1.5</v>
      </c>
      <c r="P92" s="475">
        <v>1684.8</v>
      </c>
      <c r="Q92" s="451">
        <v>1</v>
      </c>
      <c r="R92" s="437">
        <v>80</v>
      </c>
      <c r="S92" s="451">
        <v>1</v>
      </c>
      <c r="T92" s="476">
        <v>1.5</v>
      </c>
      <c r="U92" s="452">
        <v>1</v>
      </c>
    </row>
    <row r="93" spans="1:21" ht="14.4" customHeight="1" x14ac:dyDescent="0.3">
      <c r="A93" s="447">
        <v>57</v>
      </c>
      <c r="B93" s="437" t="s">
        <v>305</v>
      </c>
      <c r="C93" s="437">
        <v>89301594</v>
      </c>
      <c r="D93" s="473" t="s">
        <v>305</v>
      </c>
      <c r="E93" s="474" t="s">
        <v>319</v>
      </c>
      <c r="F93" s="437" t="s">
        <v>306</v>
      </c>
      <c r="G93" s="437" t="s">
        <v>323</v>
      </c>
      <c r="H93" s="437" t="s">
        <v>511</v>
      </c>
      <c r="I93" s="437" t="s">
        <v>324</v>
      </c>
      <c r="J93" s="437" t="s">
        <v>325</v>
      </c>
      <c r="K93" s="437" t="s">
        <v>326</v>
      </c>
      <c r="L93" s="475">
        <v>21.06</v>
      </c>
      <c r="M93" s="475">
        <v>3369.5999999999995</v>
      </c>
      <c r="N93" s="437">
        <v>160</v>
      </c>
      <c r="O93" s="476">
        <v>5</v>
      </c>
      <c r="P93" s="475">
        <v>2737.7999999999997</v>
      </c>
      <c r="Q93" s="451">
        <v>0.8125</v>
      </c>
      <c r="R93" s="437">
        <v>130</v>
      </c>
      <c r="S93" s="451">
        <v>0.8125</v>
      </c>
      <c r="T93" s="476">
        <v>4</v>
      </c>
      <c r="U93" s="452">
        <v>0.8</v>
      </c>
    </row>
    <row r="94" spans="1:21" ht="14.4" customHeight="1" x14ac:dyDescent="0.3">
      <c r="A94" s="447">
        <v>57</v>
      </c>
      <c r="B94" s="437" t="s">
        <v>305</v>
      </c>
      <c r="C94" s="437">
        <v>89301594</v>
      </c>
      <c r="D94" s="473" t="s">
        <v>305</v>
      </c>
      <c r="E94" s="474" t="s">
        <v>319</v>
      </c>
      <c r="F94" s="437" t="s">
        <v>306</v>
      </c>
      <c r="G94" s="437" t="s">
        <v>323</v>
      </c>
      <c r="H94" s="437" t="s">
        <v>511</v>
      </c>
      <c r="I94" s="437" t="s">
        <v>357</v>
      </c>
      <c r="J94" s="437" t="s">
        <v>358</v>
      </c>
      <c r="K94" s="437" t="s">
        <v>326</v>
      </c>
      <c r="L94" s="475">
        <v>26.33</v>
      </c>
      <c r="M94" s="475">
        <v>23565.35</v>
      </c>
      <c r="N94" s="437">
        <v>895</v>
      </c>
      <c r="O94" s="476">
        <v>13</v>
      </c>
      <c r="P94" s="475">
        <v>15008.099999999997</v>
      </c>
      <c r="Q94" s="451">
        <v>0.63687150837988815</v>
      </c>
      <c r="R94" s="437">
        <v>570</v>
      </c>
      <c r="S94" s="451">
        <v>0.63687150837988826</v>
      </c>
      <c r="T94" s="476">
        <v>8.5</v>
      </c>
      <c r="U94" s="452">
        <v>0.65384615384615385</v>
      </c>
    </row>
    <row r="95" spans="1:21" ht="14.4" customHeight="1" x14ac:dyDescent="0.3">
      <c r="A95" s="447">
        <v>57</v>
      </c>
      <c r="B95" s="437" t="s">
        <v>305</v>
      </c>
      <c r="C95" s="437">
        <v>89301594</v>
      </c>
      <c r="D95" s="473" t="s">
        <v>305</v>
      </c>
      <c r="E95" s="474" t="s">
        <v>319</v>
      </c>
      <c r="F95" s="437" t="s">
        <v>306</v>
      </c>
      <c r="G95" s="437" t="s">
        <v>323</v>
      </c>
      <c r="H95" s="437" t="s">
        <v>511</v>
      </c>
      <c r="I95" s="437" t="s">
        <v>359</v>
      </c>
      <c r="J95" s="437" t="s">
        <v>360</v>
      </c>
      <c r="K95" s="437" t="s">
        <v>326</v>
      </c>
      <c r="L95" s="475">
        <v>26.33</v>
      </c>
      <c r="M95" s="475">
        <v>11585.199999999999</v>
      </c>
      <c r="N95" s="437">
        <v>440</v>
      </c>
      <c r="O95" s="476">
        <v>10.5</v>
      </c>
      <c r="P95" s="475">
        <v>5924.2499999999991</v>
      </c>
      <c r="Q95" s="451">
        <v>0.51136363636363635</v>
      </c>
      <c r="R95" s="437">
        <v>225</v>
      </c>
      <c r="S95" s="451">
        <v>0.51136363636363635</v>
      </c>
      <c r="T95" s="476">
        <v>8</v>
      </c>
      <c r="U95" s="452">
        <v>0.76190476190476186</v>
      </c>
    </row>
    <row r="96" spans="1:21" ht="14.4" customHeight="1" x14ac:dyDescent="0.3">
      <c r="A96" s="447">
        <v>57</v>
      </c>
      <c r="B96" s="437" t="s">
        <v>305</v>
      </c>
      <c r="C96" s="437">
        <v>89301594</v>
      </c>
      <c r="D96" s="473" t="s">
        <v>305</v>
      </c>
      <c r="E96" s="474" t="s">
        <v>319</v>
      </c>
      <c r="F96" s="437" t="s">
        <v>306</v>
      </c>
      <c r="G96" s="437" t="s">
        <v>323</v>
      </c>
      <c r="H96" s="437" t="s">
        <v>511</v>
      </c>
      <c r="I96" s="437" t="s">
        <v>361</v>
      </c>
      <c r="J96" s="437" t="s">
        <v>362</v>
      </c>
      <c r="K96" s="437" t="s">
        <v>326</v>
      </c>
      <c r="L96" s="475">
        <v>26.33</v>
      </c>
      <c r="M96" s="475">
        <v>17509.449999999997</v>
      </c>
      <c r="N96" s="437">
        <v>665</v>
      </c>
      <c r="O96" s="476">
        <v>5.5</v>
      </c>
      <c r="P96" s="475">
        <v>1184.8499999999999</v>
      </c>
      <c r="Q96" s="451">
        <v>6.7669172932330837E-2</v>
      </c>
      <c r="R96" s="437">
        <v>45</v>
      </c>
      <c r="S96" s="451">
        <v>6.7669172932330823E-2</v>
      </c>
      <c r="T96" s="476">
        <v>1</v>
      </c>
      <c r="U96" s="452">
        <v>0.18181818181818182</v>
      </c>
    </row>
    <row r="97" spans="1:21" ht="14.4" customHeight="1" x14ac:dyDescent="0.3">
      <c r="A97" s="447">
        <v>57</v>
      </c>
      <c r="B97" s="437" t="s">
        <v>305</v>
      </c>
      <c r="C97" s="437">
        <v>89301594</v>
      </c>
      <c r="D97" s="473" t="s">
        <v>305</v>
      </c>
      <c r="E97" s="474" t="s">
        <v>319</v>
      </c>
      <c r="F97" s="437" t="s">
        <v>306</v>
      </c>
      <c r="G97" s="437" t="s">
        <v>323</v>
      </c>
      <c r="H97" s="437" t="s">
        <v>511</v>
      </c>
      <c r="I97" s="437" t="s">
        <v>476</v>
      </c>
      <c r="J97" s="437" t="s">
        <v>477</v>
      </c>
      <c r="K97" s="437" t="s">
        <v>334</v>
      </c>
      <c r="L97" s="475">
        <v>129.51</v>
      </c>
      <c r="M97" s="475">
        <v>1295.0999999999999</v>
      </c>
      <c r="N97" s="437">
        <v>10</v>
      </c>
      <c r="O97" s="476">
        <v>0.5</v>
      </c>
      <c r="P97" s="475">
        <v>1295.0999999999999</v>
      </c>
      <c r="Q97" s="451">
        <v>1</v>
      </c>
      <c r="R97" s="437">
        <v>10</v>
      </c>
      <c r="S97" s="451">
        <v>1</v>
      </c>
      <c r="T97" s="476">
        <v>0.5</v>
      </c>
      <c r="U97" s="452">
        <v>1</v>
      </c>
    </row>
    <row r="98" spans="1:21" ht="14.4" customHeight="1" x14ac:dyDescent="0.3">
      <c r="A98" s="447">
        <v>57</v>
      </c>
      <c r="B98" s="437" t="s">
        <v>305</v>
      </c>
      <c r="C98" s="437">
        <v>89301594</v>
      </c>
      <c r="D98" s="473" t="s">
        <v>305</v>
      </c>
      <c r="E98" s="474" t="s">
        <v>319</v>
      </c>
      <c r="F98" s="437" t="s">
        <v>306</v>
      </c>
      <c r="G98" s="437" t="s">
        <v>323</v>
      </c>
      <c r="H98" s="437" t="s">
        <v>511</v>
      </c>
      <c r="I98" s="437" t="s">
        <v>478</v>
      </c>
      <c r="J98" s="437" t="s">
        <v>479</v>
      </c>
      <c r="K98" s="437" t="s">
        <v>334</v>
      </c>
      <c r="L98" s="475">
        <v>129.51</v>
      </c>
      <c r="M98" s="475">
        <v>259.02</v>
      </c>
      <c r="N98" s="437">
        <v>2</v>
      </c>
      <c r="O98" s="476">
        <v>0.5</v>
      </c>
      <c r="P98" s="475">
        <v>259.02</v>
      </c>
      <c r="Q98" s="451">
        <v>1</v>
      </c>
      <c r="R98" s="437">
        <v>2</v>
      </c>
      <c r="S98" s="451">
        <v>1</v>
      </c>
      <c r="T98" s="476">
        <v>0.5</v>
      </c>
      <c r="U98" s="452">
        <v>1</v>
      </c>
    </row>
    <row r="99" spans="1:21" ht="14.4" customHeight="1" x14ac:dyDescent="0.3">
      <c r="A99" s="447">
        <v>57</v>
      </c>
      <c r="B99" s="437" t="s">
        <v>305</v>
      </c>
      <c r="C99" s="437">
        <v>89301594</v>
      </c>
      <c r="D99" s="473" t="s">
        <v>305</v>
      </c>
      <c r="E99" s="474" t="s">
        <v>319</v>
      </c>
      <c r="F99" s="437" t="s">
        <v>306</v>
      </c>
      <c r="G99" s="437" t="s">
        <v>323</v>
      </c>
      <c r="H99" s="437" t="s">
        <v>511</v>
      </c>
      <c r="I99" s="437" t="s">
        <v>363</v>
      </c>
      <c r="J99" s="437" t="s">
        <v>364</v>
      </c>
      <c r="K99" s="437" t="s">
        <v>326</v>
      </c>
      <c r="L99" s="475">
        <v>31.59</v>
      </c>
      <c r="M99" s="475">
        <v>4454.1900000000005</v>
      </c>
      <c r="N99" s="437">
        <v>141</v>
      </c>
      <c r="O99" s="476">
        <v>5</v>
      </c>
      <c r="P99" s="475">
        <v>979.29</v>
      </c>
      <c r="Q99" s="451">
        <v>0.21985815602836875</v>
      </c>
      <c r="R99" s="437">
        <v>31</v>
      </c>
      <c r="S99" s="451">
        <v>0.21985815602836881</v>
      </c>
      <c r="T99" s="476">
        <v>2</v>
      </c>
      <c r="U99" s="452">
        <v>0.4</v>
      </c>
    </row>
    <row r="100" spans="1:21" ht="14.4" customHeight="1" x14ac:dyDescent="0.3">
      <c r="A100" s="447">
        <v>57</v>
      </c>
      <c r="B100" s="437" t="s">
        <v>305</v>
      </c>
      <c r="C100" s="437">
        <v>89301594</v>
      </c>
      <c r="D100" s="473" t="s">
        <v>305</v>
      </c>
      <c r="E100" s="474" t="s">
        <v>319</v>
      </c>
      <c r="F100" s="437" t="s">
        <v>306</v>
      </c>
      <c r="G100" s="437" t="s">
        <v>323</v>
      </c>
      <c r="H100" s="437" t="s">
        <v>511</v>
      </c>
      <c r="I100" s="437" t="s">
        <v>365</v>
      </c>
      <c r="J100" s="437" t="s">
        <v>366</v>
      </c>
      <c r="K100" s="437" t="s">
        <v>326</v>
      </c>
      <c r="L100" s="475">
        <v>31.59</v>
      </c>
      <c r="M100" s="475">
        <v>3190.5899999999997</v>
      </c>
      <c r="N100" s="437">
        <v>101</v>
      </c>
      <c r="O100" s="476">
        <v>3</v>
      </c>
      <c r="P100" s="475">
        <v>2716.74</v>
      </c>
      <c r="Q100" s="451">
        <v>0.85148514851485146</v>
      </c>
      <c r="R100" s="437">
        <v>86</v>
      </c>
      <c r="S100" s="451">
        <v>0.85148514851485146</v>
      </c>
      <c r="T100" s="476">
        <v>2.5</v>
      </c>
      <c r="U100" s="452">
        <v>0.83333333333333337</v>
      </c>
    </row>
    <row r="101" spans="1:21" ht="14.4" customHeight="1" x14ac:dyDescent="0.3">
      <c r="A101" s="447">
        <v>57</v>
      </c>
      <c r="B101" s="437" t="s">
        <v>305</v>
      </c>
      <c r="C101" s="437">
        <v>89301594</v>
      </c>
      <c r="D101" s="473" t="s">
        <v>305</v>
      </c>
      <c r="E101" s="474" t="s">
        <v>319</v>
      </c>
      <c r="F101" s="437" t="s">
        <v>306</v>
      </c>
      <c r="G101" s="437" t="s">
        <v>323</v>
      </c>
      <c r="H101" s="437" t="s">
        <v>511</v>
      </c>
      <c r="I101" s="437" t="s">
        <v>408</v>
      </c>
      <c r="J101" s="437" t="s">
        <v>409</v>
      </c>
      <c r="K101" s="437" t="s">
        <v>326</v>
      </c>
      <c r="L101" s="475">
        <v>31.59</v>
      </c>
      <c r="M101" s="475">
        <v>3790.8</v>
      </c>
      <c r="N101" s="437">
        <v>120</v>
      </c>
      <c r="O101" s="476">
        <v>1</v>
      </c>
      <c r="P101" s="475"/>
      <c r="Q101" s="451">
        <v>0</v>
      </c>
      <c r="R101" s="437"/>
      <c r="S101" s="451">
        <v>0</v>
      </c>
      <c r="T101" s="476"/>
      <c r="U101" s="452">
        <v>0</v>
      </c>
    </row>
    <row r="102" spans="1:21" ht="14.4" customHeight="1" x14ac:dyDescent="0.3">
      <c r="A102" s="447">
        <v>57</v>
      </c>
      <c r="B102" s="437" t="s">
        <v>305</v>
      </c>
      <c r="C102" s="437">
        <v>89301594</v>
      </c>
      <c r="D102" s="473" t="s">
        <v>305</v>
      </c>
      <c r="E102" s="474" t="s">
        <v>319</v>
      </c>
      <c r="F102" s="437" t="s">
        <v>306</v>
      </c>
      <c r="G102" s="437" t="s">
        <v>323</v>
      </c>
      <c r="H102" s="437" t="s">
        <v>511</v>
      </c>
      <c r="I102" s="437" t="s">
        <v>408</v>
      </c>
      <c r="J102" s="437" t="s">
        <v>409</v>
      </c>
      <c r="K102" s="437" t="s">
        <v>326</v>
      </c>
      <c r="L102" s="475">
        <v>32.99</v>
      </c>
      <c r="M102" s="475">
        <v>329.90000000000003</v>
      </c>
      <c r="N102" s="437">
        <v>10</v>
      </c>
      <c r="O102" s="476">
        <v>0.5</v>
      </c>
      <c r="P102" s="475">
        <v>329.90000000000003</v>
      </c>
      <c r="Q102" s="451">
        <v>1</v>
      </c>
      <c r="R102" s="437">
        <v>10</v>
      </c>
      <c r="S102" s="451">
        <v>1</v>
      </c>
      <c r="T102" s="476">
        <v>0.5</v>
      </c>
      <c r="U102" s="452">
        <v>1</v>
      </c>
    </row>
    <row r="103" spans="1:21" ht="14.4" customHeight="1" x14ac:dyDescent="0.3">
      <c r="A103" s="447">
        <v>57</v>
      </c>
      <c r="B103" s="437" t="s">
        <v>305</v>
      </c>
      <c r="C103" s="437">
        <v>89301594</v>
      </c>
      <c r="D103" s="473" t="s">
        <v>305</v>
      </c>
      <c r="E103" s="474" t="s">
        <v>319</v>
      </c>
      <c r="F103" s="437" t="s">
        <v>306</v>
      </c>
      <c r="G103" s="437" t="s">
        <v>323</v>
      </c>
      <c r="H103" s="437" t="s">
        <v>511</v>
      </c>
      <c r="I103" s="437" t="s">
        <v>327</v>
      </c>
      <c r="J103" s="437" t="s">
        <v>328</v>
      </c>
      <c r="K103" s="437" t="s">
        <v>329</v>
      </c>
      <c r="L103" s="475">
        <v>105.31</v>
      </c>
      <c r="M103" s="475">
        <v>108679.92</v>
      </c>
      <c r="N103" s="437">
        <v>1032</v>
      </c>
      <c r="O103" s="476">
        <v>11</v>
      </c>
      <c r="P103" s="475">
        <v>89724.12</v>
      </c>
      <c r="Q103" s="451">
        <v>0.82558139534883723</v>
      </c>
      <c r="R103" s="437">
        <v>852</v>
      </c>
      <c r="S103" s="451">
        <v>0.82558139534883723</v>
      </c>
      <c r="T103" s="476">
        <v>9.5</v>
      </c>
      <c r="U103" s="452">
        <v>0.86363636363636365</v>
      </c>
    </row>
    <row r="104" spans="1:21" ht="14.4" customHeight="1" x14ac:dyDescent="0.3">
      <c r="A104" s="447">
        <v>57</v>
      </c>
      <c r="B104" s="437" t="s">
        <v>305</v>
      </c>
      <c r="C104" s="437">
        <v>89301594</v>
      </c>
      <c r="D104" s="473" t="s">
        <v>305</v>
      </c>
      <c r="E104" s="474" t="s">
        <v>319</v>
      </c>
      <c r="F104" s="437" t="s">
        <v>306</v>
      </c>
      <c r="G104" s="437" t="s">
        <v>323</v>
      </c>
      <c r="H104" s="437" t="s">
        <v>511</v>
      </c>
      <c r="I104" s="437" t="s">
        <v>369</v>
      </c>
      <c r="J104" s="437" t="s">
        <v>328</v>
      </c>
      <c r="K104" s="437" t="s">
        <v>370</v>
      </c>
      <c r="L104" s="475">
        <v>52.66</v>
      </c>
      <c r="M104" s="475">
        <v>13902.24</v>
      </c>
      <c r="N104" s="437">
        <v>264</v>
      </c>
      <c r="O104" s="476">
        <v>3</v>
      </c>
      <c r="P104" s="475">
        <v>1263.8399999999999</v>
      </c>
      <c r="Q104" s="451">
        <v>9.0909090909090898E-2</v>
      </c>
      <c r="R104" s="437">
        <v>24</v>
      </c>
      <c r="S104" s="451">
        <v>9.0909090909090912E-2</v>
      </c>
      <c r="T104" s="476">
        <v>1</v>
      </c>
      <c r="U104" s="452">
        <v>0.33333333333333331</v>
      </c>
    </row>
    <row r="105" spans="1:21" ht="14.4" customHeight="1" x14ac:dyDescent="0.3">
      <c r="A105" s="447">
        <v>57</v>
      </c>
      <c r="B105" s="437" t="s">
        <v>305</v>
      </c>
      <c r="C105" s="437">
        <v>89301594</v>
      </c>
      <c r="D105" s="473" t="s">
        <v>305</v>
      </c>
      <c r="E105" s="474" t="s">
        <v>319</v>
      </c>
      <c r="F105" s="437" t="s">
        <v>306</v>
      </c>
      <c r="G105" s="437" t="s">
        <v>323</v>
      </c>
      <c r="H105" s="437" t="s">
        <v>511</v>
      </c>
      <c r="I105" s="437" t="s">
        <v>330</v>
      </c>
      <c r="J105" s="437" t="s">
        <v>331</v>
      </c>
      <c r="K105" s="437" t="s">
        <v>329</v>
      </c>
      <c r="L105" s="475">
        <v>108.47</v>
      </c>
      <c r="M105" s="475">
        <v>436917.15999999992</v>
      </c>
      <c r="N105" s="437">
        <v>4028</v>
      </c>
      <c r="O105" s="476">
        <v>47.5</v>
      </c>
      <c r="P105" s="475">
        <v>388105.65999999992</v>
      </c>
      <c r="Q105" s="451">
        <v>0.88828202581926508</v>
      </c>
      <c r="R105" s="437">
        <v>3578</v>
      </c>
      <c r="S105" s="451">
        <v>0.88828202581926519</v>
      </c>
      <c r="T105" s="476">
        <v>41</v>
      </c>
      <c r="U105" s="452">
        <v>0.86315789473684212</v>
      </c>
    </row>
    <row r="106" spans="1:21" ht="14.4" customHeight="1" x14ac:dyDescent="0.3">
      <c r="A106" s="447">
        <v>57</v>
      </c>
      <c r="B106" s="437" t="s">
        <v>305</v>
      </c>
      <c r="C106" s="437">
        <v>89301594</v>
      </c>
      <c r="D106" s="473" t="s">
        <v>305</v>
      </c>
      <c r="E106" s="474" t="s">
        <v>319</v>
      </c>
      <c r="F106" s="437" t="s">
        <v>306</v>
      </c>
      <c r="G106" s="437" t="s">
        <v>323</v>
      </c>
      <c r="H106" s="437" t="s">
        <v>511</v>
      </c>
      <c r="I106" s="437" t="s">
        <v>371</v>
      </c>
      <c r="J106" s="437" t="s">
        <v>336</v>
      </c>
      <c r="K106" s="437" t="s">
        <v>329</v>
      </c>
      <c r="L106" s="475">
        <v>162.28</v>
      </c>
      <c r="M106" s="475">
        <v>91688.2</v>
      </c>
      <c r="N106" s="437">
        <v>565</v>
      </c>
      <c r="O106" s="476">
        <v>6.5</v>
      </c>
      <c r="P106" s="475">
        <v>69780.399999999994</v>
      </c>
      <c r="Q106" s="451">
        <v>0.76106194690265483</v>
      </c>
      <c r="R106" s="437">
        <v>430</v>
      </c>
      <c r="S106" s="451">
        <v>0.76106194690265483</v>
      </c>
      <c r="T106" s="476">
        <v>4.5</v>
      </c>
      <c r="U106" s="452">
        <v>0.69230769230769229</v>
      </c>
    </row>
    <row r="107" spans="1:21" ht="14.4" customHeight="1" x14ac:dyDescent="0.3">
      <c r="A107" s="447">
        <v>57</v>
      </c>
      <c r="B107" s="437" t="s">
        <v>305</v>
      </c>
      <c r="C107" s="437">
        <v>89301594</v>
      </c>
      <c r="D107" s="473" t="s">
        <v>305</v>
      </c>
      <c r="E107" s="474" t="s">
        <v>319</v>
      </c>
      <c r="F107" s="437" t="s">
        <v>306</v>
      </c>
      <c r="G107" s="437" t="s">
        <v>323</v>
      </c>
      <c r="H107" s="437" t="s">
        <v>511</v>
      </c>
      <c r="I107" s="437" t="s">
        <v>372</v>
      </c>
      <c r="J107" s="437" t="s">
        <v>373</v>
      </c>
      <c r="K107" s="437" t="s">
        <v>326</v>
      </c>
      <c r="L107" s="475">
        <v>21.91</v>
      </c>
      <c r="M107" s="475">
        <v>438.2</v>
      </c>
      <c r="N107" s="437">
        <v>20</v>
      </c>
      <c r="O107" s="476">
        <v>0.5</v>
      </c>
      <c r="P107" s="475">
        <v>438.2</v>
      </c>
      <c r="Q107" s="451">
        <v>1</v>
      </c>
      <c r="R107" s="437">
        <v>20</v>
      </c>
      <c r="S107" s="451">
        <v>1</v>
      </c>
      <c r="T107" s="476">
        <v>0.5</v>
      </c>
      <c r="U107" s="452">
        <v>1</v>
      </c>
    </row>
    <row r="108" spans="1:21" ht="14.4" customHeight="1" x14ac:dyDescent="0.3">
      <c r="A108" s="447">
        <v>57</v>
      </c>
      <c r="B108" s="437" t="s">
        <v>305</v>
      </c>
      <c r="C108" s="437">
        <v>89301594</v>
      </c>
      <c r="D108" s="473" t="s">
        <v>305</v>
      </c>
      <c r="E108" s="474" t="s">
        <v>319</v>
      </c>
      <c r="F108" s="437" t="s">
        <v>306</v>
      </c>
      <c r="G108" s="437" t="s">
        <v>323</v>
      </c>
      <c r="H108" s="437" t="s">
        <v>511</v>
      </c>
      <c r="I108" s="437" t="s">
        <v>374</v>
      </c>
      <c r="J108" s="437" t="s">
        <v>375</v>
      </c>
      <c r="K108" s="437" t="s">
        <v>326</v>
      </c>
      <c r="L108" s="475">
        <v>32.380000000000003</v>
      </c>
      <c r="M108" s="475">
        <v>2266.6000000000004</v>
      </c>
      <c r="N108" s="437">
        <v>70</v>
      </c>
      <c r="O108" s="476">
        <v>1</v>
      </c>
      <c r="P108" s="475"/>
      <c r="Q108" s="451">
        <v>0</v>
      </c>
      <c r="R108" s="437"/>
      <c r="S108" s="451">
        <v>0</v>
      </c>
      <c r="T108" s="476"/>
      <c r="U108" s="452">
        <v>0</v>
      </c>
    </row>
    <row r="109" spans="1:21" ht="14.4" customHeight="1" x14ac:dyDescent="0.3">
      <c r="A109" s="447">
        <v>57</v>
      </c>
      <c r="B109" s="437" t="s">
        <v>305</v>
      </c>
      <c r="C109" s="437">
        <v>89301594</v>
      </c>
      <c r="D109" s="473" t="s">
        <v>305</v>
      </c>
      <c r="E109" s="474" t="s">
        <v>319</v>
      </c>
      <c r="F109" s="437" t="s">
        <v>306</v>
      </c>
      <c r="G109" s="437" t="s">
        <v>323</v>
      </c>
      <c r="H109" s="437" t="s">
        <v>511</v>
      </c>
      <c r="I109" s="437" t="s">
        <v>332</v>
      </c>
      <c r="J109" s="437" t="s">
        <v>333</v>
      </c>
      <c r="K109" s="437" t="s">
        <v>334</v>
      </c>
      <c r="L109" s="475">
        <v>127.34</v>
      </c>
      <c r="M109" s="475">
        <v>891.38000000000011</v>
      </c>
      <c r="N109" s="437">
        <v>7</v>
      </c>
      <c r="O109" s="476">
        <v>1</v>
      </c>
      <c r="P109" s="475">
        <v>891.38000000000011</v>
      </c>
      <c r="Q109" s="451">
        <v>1</v>
      </c>
      <c r="R109" s="437">
        <v>7</v>
      </c>
      <c r="S109" s="451">
        <v>1</v>
      </c>
      <c r="T109" s="476">
        <v>1</v>
      </c>
      <c r="U109" s="452">
        <v>1</v>
      </c>
    </row>
    <row r="110" spans="1:21" ht="14.4" customHeight="1" x14ac:dyDescent="0.3">
      <c r="A110" s="447">
        <v>57</v>
      </c>
      <c r="B110" s="437" t="s">
        <v>305</v>
      </c>
      <c r="C110" s="437">
        <v>89301594</v>
      </c>
      <c r="D110" s="473" t="s">
        <v>305</v>
      </c>
      <c r="E110" s="474" t="s">
        <v>319</v>
      </c>
      <c r="F110" s="437" t="s">
        <v>306</v>
      </c>
      <c r="G110" s="437" t="s">
        <v>323</v>
      </c>
      <c r="H110" s="437" t="s">
        <v>511</v>
      </c>
      <c r="I110" s="437" t="s">
        <v>480</v>
      </c>
      <c r="J110" s="437" t="s">
        <v>481</v>
      </c>
      <c r="K110" s="437" t="s">
        <v>380</v>
      </c>
      <c r="L110" s="475">
        <v>84.89</v>
      </c>
      <c r="M110" s="475">
        <v>84.89</v>
      </c>
      <c r="N110" s="437">
        <v>1</v>
      </c>
      <c r="O110" s="476">
        <v>1</v>
      </c>
      <c r="P110" s="475"/>
      <c r="Q110" s="451">
        <v>0</v>
      </c>
      <c r="R110" s="437"/>
      <c r="S110" s="451">
        <v>0</v>
      </c>
      <c r="T110" s="476"/>
      <c r="U110" s="452">
        <v>0</v>
      </c>
    </row>
    <row r="111" spans="1:21" ht="14.4" customHeight="1" x14ac:dyDescent="0.3">
      <c r="A111" s="447">
        <v>57</v>
      </c>
      <c r="B111" s="437" t="s">
        <v>305</v>
      </c>
      <c r="C111" s="437">
        <v>89301594</v>
      </c>
      <c r="D111" s="473" t="s">
        <v>305</v>
      </c>
      <c r="E111" s="474" t="s">
        <v>319</v>
      </c>
      <c r="F111" s="437" t="s">
        <v>306</v>
      </c>
      <c r="G111" s="437" t="s">
        <v>323</v>
      </c>
      <c r="H111" s="437" t="s">
        <v>511</v>
      </c>
      <c r="I111" s="437" t="s">
        <v>482</v>
      </c>
      <c r="J111" s="437" t="s">
        <v>483</v>
      </c>
      <c r="K111" s="437" t="s">
        <v>334</v>
      </c>
      <c r="L111" s="475">
        <v>126.28</v>
      </c>
      <c r="M111" s="475">
        <v>7576.8</v>
      </c>
      <c r="N111" s="437">
        <v>60</v>
      </c>
      <c r="O111" s="476">
        <v>1</v>
      </c>
      <c r="P111" s="475"/>
      <c r="Q111" s="451">
        <v>0</v>
      </c>
      <c r="R111" s="437"/>
      <c r="S111" s="451">
        <v>0</v>
      </c>
      <c r="T111" s="476"/>
      <c r="U111" s="452">
        <v>0</v>
      </c>
    </row>
    <row r="112" spans="1:21" ht="14.4" customHeight="1" x14ac:dyDescent="0.3">
      <c r="A112" s="447">
        <v>57</v>
      </c>
      <c r="B112" s="437" t="s">
        <v>305</v>
      </c>
      <c r="C112" s="437">
        <v>89301594</v>
      </c>
      <c r="D112" s="473" t="s">
        <v>305</v>
      </c>
      <c r="E112" s="474" t="s">
        <v>319</v>
      </c>
      <c r="F112" s="437" t="s">
        <v>306</v>
      </c>
      <c r="G112" s="437" t="s">
        <v>323</v>
      </c>
      <c r="H112" s="437" t="s">
        <v>511</v>
      </c>
      <c r="I112" s="437" t="s">
        <v>482</v>
      </c>
      <c r="J112" s="437" t="s">
        <v>483</v>
      </c>
      <c r="K112" s="437" t="s">
        <v>334</v>
      </c>
      <c r="L112" s="475">
        <v>127.34</v>
      </c>
      <c r="M112" s="475">
        <v>11460.6</v>
      </c>
      <c r="N112" s="437">
        <v>90</v>
      </c>
      <c r="O112" s="476">
        <v>3.5</v>
      </c>
      <c r="P112" s="475">
        <v>5093.6000000000004</v>
      </c>
      <c r="Q112" s="451">
        <v>0.44444444444444448</v>
      </c>
      <c r="R112" s="437">
        <v>40</v>
      </c>
      <c r="S112" s="451">
        <v>0.44444444444444442</v>
      </c>
      <c r="T112" s="476">
        <v>1.5</v>
      </c>
      <c r="U112" s="452">
        <v>0.42857142857142855</v>
      </c>
    </row>
    <row r="113" spans="1:21" ht="14.4" customHeight="1" x14ac:dyDescent="0.3">
      <c r="A113" s="447">
        <v>57</v>
      </c>
      <c r="B113" s="437" t="s">
        <v>305</v>
      </c>
      <c r="C113" s="437">
        <v>89301594</v>
      </c>
      <c r="D113" s="473" t="s">
        <v>305</v>
      </c>
      <c r="E113" s="474" t="s">
        <v>319</v>
      </c>
      <c r="F113" s="437" t="s">
        <v>306</v>
      </c>
      <c r="G113" s="437" t="s">
        <v>323</v>
      </c>
      <c r="H113" s="437" t="s">
        <v>511</v>
      </c>
      <c r="I113" s="437" t="s">
        <v>484</v>
      </c>
      <c r="J113" s="437" t="s">
        <v>485</v>
      </c>
      <c r="K113" s="437" t="s">
        <v>380</v>
      </c>
      <c r="L113" s="475">
        <v>84.89</v>
      </c>
      <c r="M113" s="475">
        <v>169.78</v>
      </c>
      <c r="N113" s="437">
        <v>2</v>
      </c>
      <c r="O113" s="476">
        <v>0.5</v>
      </c>
      <c r="P113" s="475"/>
      <c r="Q113" s="451">
        <v>0</v>
      </c>
      <c r="R113" s="437"/>
      <c r="S113" s="451">
        <v>0</v>
      </c>
      <c r="T113" s="476"/>
      <c r="U113" s="452">
        <v>0</v>
      </c>
    </row>
    <row r="114" spans="1:21" ht="14.4" customHeight="1" x14ac:dyDescent="0.3">
      <c r="A114" s="447">
        <v>57</v>
      </c>
      <c r="B114" s="437" t="s">
        <v>305</v>
      </c>
      <c r="C114" s="437">
        <v>89301594</v>
      </c>
      <c r="D114" s="473" t="s">
        <v>305</v>
      </c>
      <c r="E114" s="474" t="s">
        <v>319</v>
      </c>
      <c r="F114" s="437" t="s">
        <v>306</v>
      </c>
      <c r="G114" s="437" t="s">
        <v>323</v>
      </c>
      <c r="H114" s="437" t="s">
        <v>511</v>
      </c>
      <c r="I114" s="437" t="s">
        <v>381</v>
      </c>
      <c r="J114" s="437" t="s">
        <v>382</v>
      </c>
      <c r="K114" s="437" t="s">
        <v>380</v>
      </c>
      <c r="L114" s="475">
        <v>84.89</v>
      </c>
      <c r="M114" s="475">
        <v>169.78</v>
      </c>
      <c r="N114" s="437">
        <v>2</v>
      </c>
      <c r="O114" s="476">
        <v>0.5</v>
      </c>
      <c r="P114" s="475"/>
      <c r="Q114" s="451">
        <v>0</v>
      </c>
      <c r="R114" s="437"/>
      <c r="S114" s="451">
        <v>0</v>
      </c>
      <c r="T114" s="476"/>
      <c r="U114" s="452">
        <v>0</v>
      </c>
    </row>
    <row r="115" spans="1:21" ht="14.4" customHeight="1" x14ac:dyDescent="0.3">
      <c r="A115" s="447">
        <v>57</v>
      </c>
      <c r="B115" s="437" t="s">
        <v>305</v>
      </c>
      <c r="C115" s="437">
        <v>89301594</v>
      </c>
      <c r="D115" s="473" t="s">
        <v>305</v>
      </c>
      <c r="E115" s="474" t="s">
        <v>319</v>
      </c>
      <c r="F115" s="437" t="s">
        <v>306</v>
      </c>
      <c r="G115" s="437" t="s">
        <v>323</v>
      </c>
      <c r="H115" s="437" t="s">
        <v>308</v>
      </c>
      <c r="I115" s="437" t="s">
        <v>486</v>
      </c>
      <c r="J115" s="437" t="s">
        <v>487</v>
      </c>
      <c r="K115" s="437" t="s">
        <v>405</v>
      </c>
      <c r="L115" s="475">
        <v>168.5</v>
      </c>
      <c r="M115" s="475">
        <v>842.5</v>
      </c>
      <c r="N115" s="437">
        <v>5</v>
      </c>
      <c r="O115" s="476">
        <v>1</v>
      </c>
      <c r="P115" s="475"/>
      <c r="Q115" s="451">
        <v>0</v>
      </c>
      <c r="R115" s="437"/>
      <c r="S115" s="451">
        <v>0</v>
      </c>
      <c r="T115" s="476"/>
      <c r="U115" s="452">
        <v>0</v>
      </c>
    </row>
    <row r="116" spans="1:21" ht="14.4" customHeight="1" x14ac:dyDescent="0.3">
      <c r="A116" s="447">
        <v>57</v>
      </c>
      <c r="B116" s="437" t="s">
        <v>305</v>
      </c>
      <c r="C116" s="437">
        <v>89301594</v>
      </c>
      <c r="D116" s="473" t="s">
        <v>305</v>
      </c>
      <c r="E116" s="474" t="s">
        <v>319</v>
      </c>
      <c r="F116" s="437" t="s">
        <v>306</v>
      </c>
      <c r="G116" s="437" t="s">
        <v>323</v>
      </c>
      <c r="H116" s="437" t="s">
        <v>308</v>
      </c>
      <c r="I116" s="437" t="s">
        <v>486</v>
      </c>
      <c r="J116" s="437" t="s">
        <v>487</v>
      </c>
      <c r="K116" s="437" t="s">
        <v>405</v>
      </c>
      <c r="L116" s="475">
        <v>172.67</v>
      </c>
      <c r="M116" s="475">
        <v>2590.0499999999997</v>
      </c>
      <c r="N116" s="437">
        <v>15</v>
      </c>
      <c r="O116" s="476">
        <v>1</v>
      </c>
      <c r="P116" s="475"/>
      <c r="Q116" s="451">
        <v>0</v>
      </c>
      <c r="R116" s="437"/>
      <c r="S116" s="451">
        <v>0</v>
      </c>
      <c r="T116" s="476"/>
      <c r="U116" s="452">
        <v>0</v>
      </c>
    </row>
    <row r="117" spans="1:21" ht="14.4" customHeight="1" x14ac:dyDescent="0.3">
      <c r="A117" s="447">
        <v>57</v>
      </c>
      <c r="B117" s="437" t="s">
        <v>305</v>
      </c>
      <c r="C117" s="437">
        <v>89301594</v>
      </c>
      <c r="D117" s="473" t="s">
        <v>305</v>
      </c>
      <c r="E117" s="474" t="s">
        <v>319</v>
      </c>
      <c r="F117" s="437" t="s">
        <v>306</v>
      </c>
      <c r="G117" s="437" t="s">
        <v>323</v>
      </c>
      <c r="H117" s="437" t="s">
        <v>511</v>
      </c>
      <c r="I117" s="437" t="s">
        <v>383</v>
      </c>
      <c r="J117" s="437" t="s">
        <v>384</v>
      </c>
      <c r="K117" s="437" t="s">
        <v>334</v>
      </c>
      <c r="L117" s="475">
        <v>127.34</v>
      </c>
      <c r="M117" s="475">
        <v>2546.8000000000002</v>
      </c>
      <c r="N117" s="437">
        <v>20</v>
      </c>
      <c r="O117" s="476">
        <v>1</v>
      </c>
      <c r="P117" s="475">
        <v>2546.8000000000002</v>
      </c>
      <c r="Q117" s="451">
        <v>1</v>
      </c>
      <c r="R117" s="437">
        <v>20</v>
      </c>
      <c r="S117" s="451">
        <v>1</v>
      </c>
      <c r="T117" s="476">
        <v>1</v>
      </c>
      <c r="U117" s="452">
        <v>1</v>
      </c>
    </row>
    <row r="118" spans="1:21" ht="14.4" customHeight="1" x14ac:dyDescent="0.3">
      <c r="A118" s="447">
        <v>57</v>
      </c>
      <c r="B118" s="437" t="s">
        <v>305</v>
      </c>
      <c r="C118" s="437">
        <v>89301594</v>
      </c>
      <c r="D118" s="473" t="s">
        <v>305</v>
      </c>
      <c r="E118" s="474" t="s">
        <v>319</v>
      </c>
      <c r="F118" s="437" t="s">
        <v>306</v>
      </c>
      <c r="G118" s="437" t="s">
        <v>323</v>
      </c>
      <c r="H118" s="437" t="s">
        <v>511</v>
      </c>
      <c r="I118" s="437" t="s">
        <v>335</v>
      </c>
      <c r="J118" s="437" t="s">
        <v>336</v>
      </c>
      <c r="K118" s="437" t="s">
        <v>337</v>
      </c>
      <c r="L118" s="475">
        <v>242.63</v>
      </c>
      <c r="M118" s="475">
        <v>481620.54999999993</v>
      </c>
      <c r="N118" s="437">
        <v>1985</v>
      </c>
      <c r="O118" s="476">
        <v>29.5</v>
      </c>
      <c r="P118" s="475">
        <v>339681.99999999994</v>
      </c>
      <c r="Q118" s="451">
        <v>0.70528967254408059</v>
      </c>
      <c r="R118" s="437">
        <v>1400</v>
      </c>
      <c r="S118" s="451">
        <v>0.70528967254408059</v>
      </c>
      <c r="T118" s="476">
        <v>23</v>
      </c>
      <c r="U118" s="452">
        <v>0.77966101694915257</v>
      </c>
    </row>
    <row r="119" spans="1:21" ht="14.4" customHeight="1" x14ac:dyDescent="0.3">
      <c r="A119" s="447">
        <v>57</v>
      </c>
      <c r="B119" s="437" t="s">
        <v>305</v>
      </c>
      <c r="C119" s="437">
        <v>89301594</v>
      </c>
      <c r="D119" s="473" t="s">
        <v>305</v>
      </c>
      <c r="E119" s="474" t="s">
        <v>319</v>
      </c>
      <c r="F119" s="437" t="s">
        <v>306</v>
      </c>
      <c r="G119" s="437" t="s">
        <v>323</v>
      </c>
      <c r="H119" s="437" t="s">
        <v>308</v>
      </c>
      <c r="I119" s="437" t="s">
        <v>488</v>
      </c>
      <c r="J119" s="437" t="s">
        <v>489</v>
      </c>
      <c r="K119" s="437" t="s">
        <v>397</v>
      </c>
      <c r="L119" s="475">
        <v>34.72</v>
      </c>
      <c r="M119" s="475">
        <v>4166.3999999999996</v>
      </c>
      <c r="N119" s="437">
        <v>120</v>
      </c>
      <c r="O119" s="476">
        <v>1</v>
      </c>
      <c r="P119" s="475"/>
      <c r="Q119" s="451">
        <v>0</v>
      </c>
      <c r="R119" s="437"/>
      <c r="S119" s="451">
        <v>0</v>
      </c>
      <c r="T119" s="476"/>
      <c r="U119" s="452">
        <v>0</v>
      </c>
    </row>
    <row r="120" spans="1:21" ht="14.4" customHeight="1" x14ac:dyDescent="0.3">
      <c r="A120" s="447">
        <v>57</v>
      </c>
      <c r="B120" s="437" t="s">
        <v>305</v>
      </c>
      <c r="C120" s="437">
        <v>89301594</v>
      </c>
      <c r="D120" s="473" t="s">
        <v>305</v>
      </c>
      <c r="E120" s="474" t="s">
        <v>319</v>
      </c>
      <c r="F120" s="437" t="s">
        <v>306</v>
      </c>
      <c r="G120" s="437" t="s">
        <v>323</v>
      </c>
      <c r="H120" s="437" t="s">
        <v>511</v>
      </c>
      <c r="I120" s="437" t="s">
        <v>490</v>
      </c>
      <c r="J120" s="437" t="s">
        <v>336</v>
      </c>
      <c r="K120" s="437" t="s">
        <v>491</v>
      </c>
      <c r="L120" s="475">
        <v>1451.04</v>
      </c>
      <c r="M120" s="475">
        <v>52237.440000000002</v>
      </c>
      <c r="N120" s="437">
        <v>36</v>
      </c>
      <c r="O120" s="476">
        <v>4</v>
      </c>
      <c r="P120" s="475">
        <v>21765.599999999999</v>
      </c>
      <c r="Q120" s="451">
        <v>0.41666666666666663</v>
      </c>
      <c r="R120" s="437">
        <v>15</v>
      </c>
      <c r="S120" s="451">
        <v>0.41666666666666669</v>
      </c>
      <c r="T120" s="476">
        <v>1</v>
      </c>
      <c r="U120" s="452">
        <v>0.25</v>
      </c>
    </row>
    <row r="121" spans="1:21" ht="14.4" customHeight="1" x14ac:dyDescent="0.3">
      <c r="A121" s="447">
        <v>57</v>
      </c>
      <c r="B121" s="437" t="s">
        <v>305</v>
      </c>
      <c r="C121" s="437">
        <v>89301594</v>
      </c>
      <c r="D121" s="473" t="s">
        <v>305</v>
      </c>
      <c r="E121" s="474" t="s">
        <v>319</v>
      </c>
      <c r="F121" s="437" t="s">
        <v>306</v>
      </c>
      <c r="G121" s="437" t="s">
        <v>323</v>
      </c>
      <c r="H121" s="437" t="s">
        <v>511</v>
      </c>
      <c r="I121" s="437" t="s">
        <v>391</v>
      </c>
      <c r="J121" s="437" t="s">
        <v>392</v>
      </c>
      <c r="K121" s="437" t="s">
        <v>352</v>
      </c>
      <c r="L121" s="475">
        <v>194.26</v>
      </c>
      <c r="M121" s="475">
        <v>27002.139999999996</v>
      </c>
      <c r="N121" s="437">
        <v>139</v>
      </c>
      <c r="O121" s="476">
        <v>7.5</v>
      </c>
      <c r="P121" s="475">
        <v>9907.2599999999984</v>
      </c>
      <c r="Q121" s="451">
        <v>0.36690647482014388</v>
      </c>
      <c r="R121" s="437">
        <v>51</v>
      </c>
      <c r="S121" s="451">
        <v>0.36690647482014388</v>
      </c>
      <c r="T121" s="476">
        <v>3</v>
      </c>
      <c r="U121" s="452">
        <v>0.4</v>
      </c>
    </row>
    <row r="122" spans="1:21" ht="14.4" customHeight="1" x14ac:dyDescent="0.3">
      <c r="A122" s="447">
        <v>57</v>
      </c>
      <c r="B122" s="437" t="s">
        <v>305</v>
      </c>
      <c r="C122" s="437">
        <v>89301594</v>
      </c>
      <c r="D122" s="473" t="s">
        <v>305</v>
      </c>
      <c r="E122" s="474" t="s">
        <v>319</v>
      </c>
      <c r="F122" s="437" t="s">
        <v>306</v>
      </c>
      <c r="G122" s="437" t="s">
        <v>323</v>
      </c>
      <c r="H122" s="437" t="s">
        <v>511</v>
      </c>
      <c r="I122" s="437" t="s">
        <v>492</v>
      </c>
      <c r="J122" s="437" t="s">
        <v>493</v>
      </c>
      <c r="K122" s="437" t="s">
        <v>405</v>
      </c>
      <c r="L122" s="475">
        <v>129.51</v>
      </c>
      <c r="M122" s="475">
        <v>7770.5999999999995</v>
      </c>
      <c r="N122" s="437">
        <v>60</v>
      </c>
      <c r="O122" s="476">
        <v>0.5</v>
      </c>
      <c r="P122" s="475"/>
      <c r="Q122" s="451">
        <v>0</v>
      </c>
      <c r="R122" s="437"/>
      <c r="S122" s="451">
        <v>0</v>
      </c>
      <c r="T122" s="476"/>
      <c r="U122" s="452">
        <v>0</v>
      </c>
    </row>
    <row r="123" spans="1:21" ht="14.4" customHeight="1" x14ac:dyDescent="0.3">
      <c r="A123" s="447">
        <v>57</v>
      </c>
      <c r="B123" s="437" t="s">
        <v>305</v>
      </c>
      <c r="C123" s="437">
        <v>89301594</v>
      </c>
      <c r="D123" s="473" t="s">
        <v>305</v>
      </c>
      <c r="E123" s="474" t="s">
        <v>319</v>
      </c>
      <c r="F123" s="437" t="s">
        <v>306</v>
      </c>
      <c r="G123" s="437" t="s">
        <v>323</v>
      </c>
      <c r="H123" s="437" t="s">
        <v>511</v>
      </c>
      <c r="I123" s="437" t="s">
        <v>494</v>
      </c>
      <c r="J123" s="437" t="s">
        <v>495</v>
      </c>
      <c r="K123" s="437" t="s">
        <v>329</v>
      </c>
      <c r="L123" s="475">
        <v>100</v>
      </c>
      <c r="M123" s="475">
        <v>9000</v>
      </c>
      <c r="N123" s="437">
        <v>90</v>
      </c>
      <c r="O123" s="476">
        <v>2</v>
      </c>
      <c r="P123" s="475"/>
      <c r="Q123" s="451">
        <v>0</v>
      </c>
      <c r="R123" s="437"/>
      <c r="S123" s="451">
        <v>0</v>
      </c>
      <c r="T123" s="476"/>
      <c r="U123" s="452">
        <v>0</v>
      </c>
    </row>
    <row r="124" spans="1:21" ht="14.4" customHeight="1" x14ac:dyDescent="0.3">
      <c r="A124" s="447">
        <v>57</v>
      </c>
      <c r="B124" s="437" t="s">
        <v>305</v>
      </c>
      <c r="C124" s="437">
        <v>89301594</v>
      </c>
      <c r="D124" s="473" t="s">
        <v>305</v>
      </c>
      <c r="E124" s="474" t="s">
        <v>319</v>
      </c>
      <c r="F124" s="437" t="s">
        <v>306</v>
      </c>
      <c r="G124" s="437" t="s">
        <v>323</v>
      </c>
      <c r="H124" s="437" t="s">
        <v>308</v>
      </c>
      <c r="I124" s="437" t="s">
        <v>496</v>
      </c>
      <c r="J124" s="437" t="s">
        <v>497</v>
      </c>
      <c r="K124" s="437" t="s">
        <v>397</v>
      </c>
      <c r="L124" s="475">
        <v>34.76</v>
      </c>
      <c r="M124" s="475">
        <v>1042.8</v>
      </c>
      <c r="N124" s="437">
        <v>30</v>
      </c>
      <c r="O124" s="476">
        <v>0.5</v>
      </c>
      <c r="P124" s="475">
        <v>1042.8</v>
      </c>
      <c r="Q124" s="451">
        <v>1</v>
      </c>
      <c r="R124" s="437">
        <v>30</v>
      </c>
      <c r="S124" s="451">
        <v>1</v>
      </c>
      <c r="T124" s="476">
        <v>0.5</v>
      </c>
      <c r="U124" s="452">
        <v>1</v>
      </c>
    </row>
    <row r="125" spans="1:21" ht="14.4" customHeight="1" x14ac:dyDescent="0.3">
      <c r="A125" s="447">
        <v>57</v>
      </c>
      <c r="B125" s="437" t="s">
        <v>305</v>
      </c>
      <c r="C125" s="437">
        <v>89301594</v>
      </c>
      <c r="D125" s="473" t="s">
        <v>305</v>
      </c>
      <c r="E125" s="474" t="s">
        <v>319</v>
      </c>
      <c r="F125" s="437" t="s">
        <v>306</v>
      </c>
      <c r="G125" s="437" t="s">
        <v>498</v>
      </c>
      <c r="H125" s="437" t="s">
        <v>511</v>
      </c>
      <c r="I125" s="437" t="s">
        <v>499</v>
      </c>
      <c r="J125" s="437" t="s">
        <v>500</v>
      </c>
      <c r="K125" s="437" t="s">
        <v>501</v>
      </c>
      <c r="L125" s="475">
        <v>140.03</v>
      </c>
      <c r="M125" s="475">
        <v>420.09000000000003</v>
      </c>
      <c r="N125" s="437">
        <v>3</v>
      </c>
      <c r="O125" s="476">
        <v>0.5</v>
      </c>
      <c r="P125" s="475">
        <v>420.09000000000003</v>
      </c>
      <c r="Q125" s="451">
        <v>1</v>
      </c>
      <c r="R125" s="437">
        <v>3</v>
      </c>
      <c r="S125" s="451">
        <v>1</v>
      </c>
      <c r="T125" s="476">
        <v>0.5</v>
      </c>
      <c r="U125" s="452">
        <v>1</v>
      </c>
    </row>
    <row r="126" spans="1:21" ht="14.4" customHeight="1" x14ac:dyDescent="0.3">
      <c r="A126" s="447">
        <v>57</v>
      </c>
      <c r="B126" s="437" t="s">
        <v>305</v>
      </c>
      <c r="C126" s="437">
        <v>89301594</v>
      </c>
      <c r="D126" s="473" t="s">
        <v>305</v>
      </c>
      <c r="E126" s="474" t="s">
        <v>319</v>
      </c>
      <c r="F126" s="437" t="s">
        <v>306</v>
      </c>
      <c r="G126" s="437" t="s">
        <v>502</v>
      </c>
      <c r="H126" s="437" t="s">
        <v>308</v>
      </c>
      <c r="I126" s="437" t="s">
        <v>503</v>
      </c>
      <c r="J126" s="437" t="s">
        <v>504</v>
      </c>
      <c r="K126" s="437" t="s">
        <v>505</v>
      </c>
      <c r="L126" s="475">
        <v>116.52</v>
      </c>
      <c r="M126" s="475">
        <v>116.52</v>
      </c>
      <c r="N126" s="437">
        <v>1</v>
      </c>
      <c r="O126" s="476">
        <v>1</v>
      </c>
      <c r="P126" s="475">
        <v>116.52</v>
      </c>
      <c r="Q126" s="451">
        <v>1</v>
      </c>
      <c r="R126" s="437">
        <v>1</v>
      </c>
      <c r="S126" s="451">
        <v>1</v>
      </c>
      <c r="T126" s="476">
        <v>1</v>
      </c>
      <c r="U126" s="452">
        <v>1</v>
      </c>
    </row>
    <row r="127" spans="1:21" ht="14.4" customHeight="1" x14ac:dyDescent="0.3">
      <c r="A127" s="447">
        <v>57</v>
      </c>
      <c r="B127" s="437" t="s">
        <v>305</v>
      </c>
      <c r="C127" s="437">
        <v>89301594</v>
      </c>
      <c r="D127" s="473" t="s">
        <v>305</v>
      </c>
      <c r="E127" s="474" t="s">
        <v>319</v>
      </c>
      <c r="F127" s="437" t="s">
        <v>306</v>
      </c>
      <c r="G127" s="437" t="s">
        <v>506</v>
      </c>
      <c r="H127" s="437" t="s">
        <v>308</v>
      </c>
      <c r="I127" s="437" t="s">
        <v>507</v>
      </c>
      <c r="J127" s="437" t="s">
        <v>508</v>
      </c>
      <c r="K127" s="437" t="s">
        <v>509</v>
      </c>
      <c r="L127" s="475">
        <v>314.33999999999997</v>
      </c>
      <c r="M127" s="475">
        <v>314.33999999999997</v>
      </c>
      <c r="N127" s="437">
        <v>1</v>
      </c>
      <c r="O127" s="476">
        <v>1</v>
      </c>
      <c r="P127" s="475"/>
      <c r="Q127" s="451">
        <v>0</v>
      </c>
      <c r="R127" s="437"/>
      <c r="S127" s="451">
        <v>0</v>
      </c>
      <c r="T127" s="476"/>
      <c r="U127" s="452">
        <v>0</v>
      </c>
    </row>
    <row r="128" spans="1:21" ht="14.4" customHeight="1" thickBot="1" x14ac:dyDescent="0.35">
      <c r="A128" s="448">
        <v>57</v>
      </c>
      <c r="B128" s="440" t="s">
        <v>305</v>
      </c>
      <c r="C128" s="440">
        <v>89301594</v>
      </c>
      <c r="D128" s="477" t="s">
        <v>305</v>
      </c>
      <c r="E128" s="478" t="s">
        <v>319</v>
      </c>
      <c r="F128" s="440" t="s">
        <v>307</v>
      </c>
      <c r="G128" s="440" t="s">
        <v>320</v>
      </c>
      <c r="H128" s="440" t="s">
        <v>308</v>
      </c>
      <c r="I128" s="440" t="s">
        <v>510</v>
      </c>
      <c r="J128" s="440" t="s">
        <v>322</v>
      </c>
      <c r="K128" s="440"/>
      <c r="L128" s="479">
        <v>0</v>
      </c>
      <c r="M128" s="479">
        <v>0</v>
      </c>
      <c r="N128" s="440">
        <v>1</v>
      </c>
      <c r="O128" s="480">
        <v>1</v>
      </c>
      <c r="P128" s="479"/>
      <c r="Q128" s="453"/>
      <c r="R128" s="440"/>
      <c r="S128" s="453">
        <v>0</v>
      </c>
      <c r="T128" s="480"/>
      <c r="U128" s="45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2015-01-30T11:20:57Z</dcterms:modified>
</cp:coreProperties>
</file>