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Detail'!$A$5:$P$5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J21" i="419" l="1"/>
  <c r="AI21" i="419"/>
  <c r="AH21" i="419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I22" i="419"/>
  <c r="M22" i="419"/>
  <c r="Q22" i="419"/>
  <c r="U22" i="419"/>
  <c r="Y22" i="419"/>
  <c r="AC22" i="419"/>
  <c r="AG22" i="419"/>
  <c r="B22" i="419"/>
  <c r="F22" i="419"/>
  <c r="J22" i="419"/>
  <c r="N22" i="419"/>
  <c r="R22" i="419"/>
  <c r="V22" i="419"/>
  <c r="Z22" i="419"/>
  <c r="AD22" i="419"/>
  <c r="AH22" i="419"/>
  <c r="G22" i="419"/>
  <c r="K22" i="419"/>
  <c r="O22" i="419"/>
  <c r="S22" i="419"/>
  <c r="W22" i="419"/>
  <c r="AA22" i="419"/>
  <c r="AE22" i="419"/>
  <c r="AI22" i="419"/>
  <c r="D22" i="419"/>
  <c r="H22" i="419"/>
  <c r="L22" i="419"/>
  <c r="P22" i="419"/>
  <c r="T22" i="419"/>
  <c r="X22" i="419"/>
  <c r="AB22" i="419"/>
  <c r="AF22" i="419"/>
  <c r="AJ22" i="419"/>
  <c r="A22" i="383"/>
  <c r="G3" i="429"/>
  <c r="F3" i="429"/>
  <c r="E3" i="429"/>
  <c r="D3" i="429"/>
  <c r="C3" i="429"/>
  <c r="B3" i="429"/>
  <c r="AI26" i="419" l="1"/>
  <c r="AI25" i="419"/>
  <c r="C11" i="340" l="1"/>
  <c r="A16" i="383" l="1"/>
  <c r="AJ20" i="419" l="1"/>
  <c r="AJ23" i="419" s="1"/>
  <c r="AI20" i="419"/>
  <c r="AI23" i="419" s="1"/>
  <c r="AH20" i="419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D18" i="419" l="1"/>
  <c r="H18" i="419"/>
  <c r="T18" i="419"/>
  <c r="X18" i="419"/>
  <c r="AB18" i="419"/>
  <c r="AJ18" i="419"/>
  <c r="F18" i="419"/>
  <c r="J18" i="419"/>
  <c r="N18" i="419"/>
  <c r="R18" i="419"/>
  <c r="V18" i="419"/>
  <c r="Z18" i="419"/>
  <c r="AD18" i="419"/>
  <c r="AH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I18" i="419"/>
  <c r="C25" i="419"/>
  <c r="AI27" i="419" l="1"/>
  <c r="G26" i="419"/>
  <c r="C26" i="419"/>
  <c r="B26" i="419" l="1"/>
  <c r="B27" i="419" s="1"/>
  <c r="C28" i="419"/>
  <c r="G27" i="419"/>
  <c r="C27" i="419"/>
  <c r="AI28" i="419" l="1"/>
  <c r="G25" i="419"/>
  <c r="B25" i="419" l="1"/>
  <c r="G28" i="419"/>
  <c r="B28" i="419" s="1"/>
  <c r="A7" i="339"/>
  <c r="AG6" i="419" l="1"/>
  <c r="AC6" i="419"/>
  <c r="Y6" i="419"/>
  <c r="U6" i="419"/>
  <c r="Q6" i="419"/>
  <c r="M6" i="419"/>
  <c r="I6" i="419"/>
  <c r="E6" i="419"/>
  <c r="AJ6" i="419"/>
  <c r="AF6" i="419"/>
  <c r="AB6" i="419"/>
  <c r="X6" i="419"/>
  <c r="T6" i="419"/>
  <c r="P6" i="419"/>
  <c r="L6" i="419"/>
  <c r="H6" i="419"/>
  <c r="D6" i="419"/>
  <c r="AI6" i="419"/>
  <c r="AE6" i="419"/>
  <c r="AA6" i="419"/>
  <c r="W6" i="419"/>
  <c r="S6" i="419"/>
  <c r="O6" i="419"/>
  <c r="K6" i="419"/>
  <c r="G6" i="419"/>
  <c r="AH6" i="419"/>
  <c r="AD6" i="419"/>
  <c r="Z6" i="419"/>
  <c r="V6" i="419"/>
  <c r="R6" i="419"/>
  <c r="N6" i="419"/>
  <c r="J6" i="419"/>
  <c r="F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4" i="414"/>
  <c r="D14" i="414"/>
  <c r="C14" i="414"/>
  <c r="C17" i="414"/>
  <c r="D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C20" i="414"/>
  <c r="D20" i="414"/>
  <c r="F13" i="339" l="1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<sst xmlns="http://schemas.openxmlformats.org/spreadsheetml/2006/main" count="1582" uniqueCount="517">
  <si>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</si>
  <si>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</si>
  <si>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</si>
  <si>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</si>
  <si>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</si>
  <si>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</si>
  <si>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</si>
  <si>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</si>
  <si>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</si>
  <si>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</si>
  <si>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</si>
  <si>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</si>
  <si>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</si>
  <si>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</si>
  <si>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</si>
  <si>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</si>
  <si>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</si>
  <si>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</si>
  <si>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</si>
  <si>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</si>
  <si>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</si>
  <si>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</si>
  <si>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</si>
  <si>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</si>
  <si>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</si>
  <si>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</si>
  <si>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</si>
  <si>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</si>
  <si>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</si>
  <si>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</si>
  <si>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</si>
  <si>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</si>
  <si>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</si>
  <si>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</si>
  <si>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</si>
  <si>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</si>
  <si>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</si>
  <si>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</si>
  <si>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</si>
  <si>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</si>
  <si>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</si>
  <si>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</si>
  <si>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</si>
  <si>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</si>
  <si>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</si>
  <si>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</si>
  <si>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</si>
  <si>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</si>
  <si>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</si>
  <si>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</si>
  <si>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</si>
  <si>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</si>
  <si>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</si>
  <si>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</si>
  <si>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</si>
  <si>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</si>
  <si>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</si>
  <si>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</si>
  <si>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</si>
  <si>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</si>
  <si>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</si>
  <si>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</si>
  <si>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</si>
  <si>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</si>
  <si>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</si>
  <si>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</si>
  <si>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</si>
  <si>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</si>
  <si>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</si>
  <si>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</si>
  <si>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</si>
  <si>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</si>
  <si>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</si>
  <si>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</si>
  <si>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</si>
  <si>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</si>
  <si>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</si>
  <si>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</si>
  <si>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</si>
  <si>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</si>
  <si>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</si>
  <si>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</si>
  <si>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</si>
  <si>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</si>
  <si>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</si>
  <si>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</si>
  <si>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</si>
  <si>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</si>
  <si>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</si>
  <si>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</si>
  <si>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</si>
  <si>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</si>
  <si>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</si>
  <si>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</si>
  <si>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</si>
  <si>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</si>
  <si>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</si>
  <si>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</si>
  <si>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</si>
  <si>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</si>
  <si>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</si>
  <si>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</si>
  <si>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</si>
  <si>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</si>
  <si>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</si>
  <si>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</si>
  <si>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</si>
  <si>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</si>
  <si>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</si>
  <si>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</si>
  <si>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</si>
  <si>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</si>
  <si>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</si>
  <si>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</si>
  <si>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</si>
  <si>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</si>
  <si>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</si>
  <si>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</si>
  <si>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</si>
  <si>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</si>
  <si>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</si>
  <si>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</si>
  <si>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</si>
  <si>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</si>
  <si>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</si>
  <si>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</si>
  <si>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</si>
  <si>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</si>
  <si>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</si>
  <si>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</si>
  <si>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</si>
  <si>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</si>
  <si>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</si>
  <si>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</si>
  <si>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</si>
  <si>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</si>
  <si>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</si>
  <si>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</si>
  <si>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</si>
  <si>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</si>
  <si>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</si>
  <si>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</si>
  <si>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</si>
  <si>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</si>
  <si>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</si>
  <si>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</si>
  <si>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</si>
  <si>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</si>
  <si>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</si>
  <si>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</si>
  <si>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</si>
  <si>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</si>
  <si>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</si>
  <si>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</si>
  <si>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</si>
  <si>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</si>
  <si>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</si>
  <si>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</si>
  <si>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</si>
  <si>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</si>
  <si>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</si>
  <si>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</si>
  <si>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</si>
  <si>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</si>
  <si>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</si>
  <si>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</si>
  <si>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</si>
  <si>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</si>
  <si>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</si>
  <si>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</si>
  <si>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</si>
  <si>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</si>
  <si>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</si>
  <si>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</si>
  <si>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</si>
  <si>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</si>
  <si>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</si>
  <si>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</si>
  <si>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</si>
  <si>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</si>
  <si>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</si>
  <si>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</si>
  <si>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</si>
  <si>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</si>
  <si>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</si>
  <si>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</si>
  <si>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</si>
  <si>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</si>
  <si>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</si>
  <si>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</si>
  <si>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</si>
  <si>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</si>
  <si>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</si>
  <si>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</si>
  <si>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</si>
  <si>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</si>
  <si>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</si>
  <si>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</si>
  <si>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</si>
  <si>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</si>
  <si>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</si>
  <si>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</si>
  <si>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</si>
  <si>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</si>
  <si>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</si>
  <si>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</si>
  <si>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</si>
  <si>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</si>
  <si>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</si>
  <si>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</si>
  <si>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</si>
  <si>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</si>
  <si>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</si>
  <si>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</si>
  <si>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</si>
  <si>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</si>
  <si>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</si>
  <si>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</si>
  <si>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</si>
  <si>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</si>
  <si>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</si>
  <si>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</si>
  <si>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</si>
  <si>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</si>
  <si>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</si>
  <si>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</si>
  <si>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</si>
  <si>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</si>
  <si>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</si>
  <si>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</si>
  <si>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</si>
  <si>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</si>
  <si>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</si>
  <si>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</si>
  <si>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</si>
  <si>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</si>
  <si>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</si>
  <si>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</si>
  <si>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</si>
  <si>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</si>
  <si>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</si>
  <si>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</si>
  <si>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</si>
  <si>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</si>
  <si>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</si>
  <si>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</si>
  <si>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</si>
  <si>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</si>
  <si>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</si>
  <si>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</si>
  <si>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</si>
  <si>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</si>
  <si>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</si>
  <si>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</si>
  <si>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</si>
  <si>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</si>
  <si>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</si>
  <si>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</si>
  <si>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</si>
  <si>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 (sk.Z_513)</t>
  </si>
  <si>
    <t>50119     DDHM a textil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</si>
  <si>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</si>
  <si>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</si>
  <si>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</si>
  <si>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</si>
  <si>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</si>
  <si>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</si>
  <si>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</si>
  <si>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</si>
  <si>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</si>
  <si>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</si>
  <si>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</si>
  <si>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</si>
  <si>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</si>
  <si>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</si>
  <si>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</si>
  <si>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</si>
  <si>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</si>
  <si>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</si>
  <si>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</si>
  <si>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</si>
  <si>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</si>
  <si>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</si>
  <si>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</si>
  <si>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</si>
  <si>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</si>
  <si>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</si>
  <si>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</si>
  <si>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</si>
  <si>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</si>
  <si>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</si>
  <si>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</si>
  <si>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</si>
  <si>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</si>
  <si>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</si>
  <si>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</si>
  <si>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</si>
  <si>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</si>
  <si>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</si>
  <si>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</si>
  <si>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</si>
  <si>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>HVLP</t>
  </si>
  <si>
    <t>IPLP</t>
  </si>
  <si>
    <t/>
  </si>
  <si>
    <t>PZT</t>
  </si>
  <si>
    <t>57</t>
  </si>
  <si>
    <t>SumaKL</t>
  </si>
  <si>
    <t>89301594</t>
  </si>
  <si>
    <t>Nutriční ambulance Celkem</t>
  </si>
  <si>
    <t>SumaNS</t>
  </si>
  <si>
    <t>mezeraNS</t>
  </si>
  <si>
    <t>Hrabalová Monika</t>
  </si>
  <si>
    <t>Karásková Eva</t>
  </si>
  <si>
    <t>Vrzalová Drahomíra</t>
  </si>
  <si>
    <t>Potraviny pro zvláštní lékařské účely (PZLÚ)</t>
  </si>
  <si>
    <t>33331</t>
  </si>
  <si>
    <t>NUTRIDRINK BALÍČEK 5+1</t>
  </si>
  <si>
    <t>POR SOL 6X200ML</t>
  </si>
  <si>
    <t>33339</t>
  </si>
  <si>
    <t>DIASIP S PŘÍCHUTÍ JAHODOVOU</t>
  </si>
  <si>
    <t>POR SOL 1X200ML</t>
  </si>
  <si>
    <t>33340</t>
  </si>
  <si>
    <t>DIASIP S PŘÍCHUTÍ VANILKOVOU</t>
  </si>
  <si>
    <t>33473</t>
  </si>
  <si>
    <t>NUTRIDRINK JUICE STYLE S PŘÍCHUTÍ JAHODOVOU</t>
  </si>
  <si>
    <t>33474</t>
  </si>
  <si>
    <t>NUTRIDRINK JUICE STYLE S PŘÍCHUTÍ JABLEČNOU</t>
  </si>
  <si>
    <t>33526</t>
  </si>
  <si>
    <t>NUTRISON</t>
  </si>
  <si>
    <t>POR SOL 1X1000ML</t>
  </si>
  <si>
    <t>33739</t>
  </si>
  <si>
    <t>NUTRIDRINK COMPACT PROTEIN S PŘÍCHUTÍ VANILKOVOU</t>
  </si>
  <si>
    <t>POR SOL 4X125ML</t>
  </si>
  <si>
    <t>33741</t>
  </si>
  <si>
    <t>NUTRIDRINK COMPACT PROTEIN S PŘÍCHUTÍ BANÁNOVOU</t>
  </si>
  <si>
    <t>33742</t>
  </si>
  <si>
    <t>NUTRIDRINK COMPACT PROTEIN S PŘÍCHUTÍ JAHODOVOU</t>
  </si>
  <si>
    <t>33677</t>
  </si>
  <si>
    <t>NUTRISON ENERGY MULTI FIBRE</t>
  </si>
  <si>
    <t>POR SOL 1X1500ML</t>
  </si>
  <si>
    <t>33422</t>
  </si>
  <si>
    <t>NUTRISON ADVANCED DIASON LOW ENERGY</t>
  </si>
  <si>
    <t>33519</t>
  </si>
  <si>
    <t>ENSURE PLUS PŘÍCHUŤ ČOKOLÁDA</t>
  </si>
  <si>
    <t>POR SOL 1X220ML</t>
  </si>
  <si>
    <t>33521</t>
  </si>
  <si>
    <t>ENSURE PLUS PŘÍCHUŤ VANILKA</t>
  </si>
  <si>
    <t>33423</t>
  </si>
  <si>
    <t>NUTRISON ADVANCED PEPTISORB</t>
  </si>
  <si>
    <t>33329</t>
  </si>
  <si>
    <t>NUTRIDRINK YOGHURT S PŘÍCHUTÍ MALINA</t>
  </si>
  <si>
    <t>Jiná</t>
  </si>
  <si>
    <t>1000</t>
  </si>
  <si>
    <t>Jiný</t>
  </si>
  <si>
    <t>1401014</t>
  </si>
  <si>
    <t>Chlorid draselný</t>
  </si>
  <si>
    <t>2486</t>
  </si>
  <si>
    <t>KALIUM CHLORATUM LÉČIVA 7,5%</t>
  </si>
  <si>
    <t>INJ SOL 5X10ML 7.5%</t>
  </si>
  <si>
    <t>999999</t>
  </si>
  <si>
    <t>Kyselina ursodeoxycholová</t>
  </si>
  <si>
    <t>13808</t>
  </si>
  <si>
    <t>URSOSAN</t>
  </si>
  <si>
    <t>POR CPS DUR 100X250MG</t>
  </si>
  <si>
    <t>Laktulóza</t>
  </si>
  <si>
    <t>42547</t>
  </si>
  <si>
    <t>LACTULOSE AL SIRUP</t>
  </si>
  <si>
    <t>POR SIR 1X500ML</t>
  </si>
  <si>
    <t>Omeprazol</t>
  </si>
  <si>
    <t>25366</t>
  </si>
  <si>
    <t>HELICID 20 ZENTIVA</t>
  </si>
  <si>
    <t>POR CPS ETD 90X20MG</t>
  </si>
  <si>
    <t>33322</t>
  </si>
  <si>
    <t>NUTRIDRINK S PŘÍCHUTÍ ČOKOLÁDOVOU</t>
  </si>
  <si>
    <t>33327</t>
  </si>
  <si>
    <t>NUTRIDRINK NEUTRAL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</si>
  <si>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</si>
  <si>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</si>
  <si>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</si>
  <si>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</si>
  <si>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</si>
  <si>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</si>
  <si>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33527</t>
  </si>
  <si>
    <t>POR SOL 1X500ML</t>
  </si>
  <si>
    <t>33530</t>
  </si>
  <si>
    <t>NUTRISON MULTI FIBRE</t>
  </si>
  <si>
    <t>33531</t>
  </si>
  <si>
    <t>33704</t>
  </si>
  <si>
    <t>DIASIP S PŘÍCHUTÍ CAPPUCCINO</t>
  </si>
  <si>
    <t>33853</t>
  </si>
  <si>
    <t>NUTRIDRINK S PŘÍCHUTÍ JAHODOVOU</t>
  </si>
  <si>
    <t>POR SOL 4X200ML</t>
  </si>
  <si>
    <t>33854</t>
  </si>
  <si>
    <t>NUTRIDRINK S PŘÍCHUTÍ BANÁNOVOU</t>
  </si>
  <si>
    <t>Rabeprazol</t>
  </si>
  <si>
    <t>182072</t>
  </si>
  <si>
    <t>RABEPRAZOL MYLAN 20 MG</t>
  </si>
  <si>
    <t>POR TBL ENT 100X20MG</t>
  </si>
  <si>
    <t>Silymarin</t>
  </si>
  <si>
    <t>19571</t>
  </si>
  <si>
    <t>LAGOSA</t>
  </si>
  <si>
    <t>POR TBL OBD 100X150MG</t>
  </si>
  <si>
    <t>Obvazový materiál, náplasti</t>
  </si>
  <si>
    <t>82747</t>
  </si>
  <si>
    <t>KRYTÍ VLHKÉ - KÓD PRO OZNÁMENÍ ZAČÁTKU LÉČBY</t>
  </si>
  <si>
    <t>SIGNÁLNÍ KÓD ZP - PROSTŘEDKY PRO VLHKÉ HOJENÍ RAN</t>
  </si>
  <si>
    <t>169070</t>
  </si>
  <si>
    <t>KRYTÍ MEPILEX BORDER AG,STERIL 395260</t>
  </si>
  <si>
    <t>SE SILIKONOVOU VRSTVOU SAFETAC,7X7,5CM,AKTIVNÍ ČÁST 4X4,5CM,5KS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</si>
  <si>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</si>
  <si>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</si>
  <si>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</si>
  <si>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</si>
  <si>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A06AD11 - Laktulóza</t>
  </si>
  <si>
    <t>V06XX</t>
  </si>
  <si>
    <t>A06AD11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</si>
  <si>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</si>
  <si>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</si>
  <si>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</si>
  <si>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</si>
  <si>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</si>
  <si>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</si>
  <si>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ZA324</t>
  </si>
  <si>
    <t>Náplast tegaderm 10,0 cm x 12,0 cm bal. á 50 ks 1626W</t>
  </si>
  <si>
    <t>ZA593</t>
  </si>
  <si>
    <t>Tampon stáčený sterilní 20 x 20 cm / 5 ks 28003</t>
  </si>
  <si>
    <t>ZC854</t>
  </si>
  <si>
    <t>Kompresa NT 7,5 x 7,5 cm / 2 ks sterilní 26510</t>
  </si>
  <si>
    <t>ZD740</t>
  </si>
  <si>
    <t>Kompresa gáza sterilkompres 7,5 x 7,5 cm / 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</si>
  <si>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</si>
  <si>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</si>
  <si>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</si>
  <si>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</si>
  <si>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ZK646</t>
  </si>
  <si>
    <t>Náplast tegaderm CHG 8,5 cm x 11,5 cm na CŽK-antibakt. bal. á 25 ks 1657R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</si>
  <si>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</si>
  <si>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</si>
  <si>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</si>
  <si>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</si>
  <si>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</si>
  <si>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</si>
  <si>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</si>
  <si>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</si>
  <si>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ZB501</t>
  </si>
  <si>
    <t>Přerušovač sání fingertip sterilní bal. á 100 ks 07.031.00.000</t>
  </si>
  <si>
    <t>ZC769</t>
  </si>
  <si>
    <t>Hadička spojovací HS 1,8 x 450LL 606301</t>
  </si>
  <si>
    <t>ZC863</t>
  </si>
  <si>
    <t>Hadička spojovací HS 1,8 x 1800LL 606304</t>
  </si>
  <si>
    <t>ZH546</t>
  </si>
  <si>
    <t>Flocare infinity pack set mobile 569572 ,2778307</t>
  </si>
  <si>
    <t>ZK735</t>
  </si>
  <si>
    <t>Konektor bezjehlový caresite bal. á 200 ks dohodnutá cena 7,93 Kč bez DPH 415122</t>
  </si>
  <si>
    <t>ZA715</t>
  </si>
  <si>
    <t>Set infuzní intrafix primeline classic 150 cm 4062957</t>
  </si>
  <si>
    <t>ZB715</t>
  </si>
  <si>
    <t>Set kangaro univ. pro enterální výživu bal. á 30 ks  S777403</t>
  </si>
  <si>
    <t>ZB556</t>
  </si>
  <si>
    <t>Jehla injekční 1,2 x   40 mm růžová 4665120</t>
  </si>
  <si>
    <t>ZC634</t>
  </si>
  <si>
    <t>Jehla portacath dětská á 12 ks 22G 21-2737-24</t>
  </si>
  <si>
    <t>ZK475</t>
  </si>
  <si>
    <t>Rukavice operační latexové s pudrem ansell medigrip plus vel. 7,0 303504 (303364)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</si>
  <si>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</si>
  <si>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</si>
  <si>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</si>
  <si>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</si>
  <si>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</si>
  <si>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</si>
  <si>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</si>
  <si>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</si>
  <si>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</si>
  <si>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</si>
  <si>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</si>
  <si>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</si>
  <si>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</si>
  <si>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</si>
  <si>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</si>
  <si>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</si>
  <si>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</si>
  <si>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Molitorová Ivana</t>
  </si>
  <si>
    <t>Zdravotní výkony vykázané na pracovišti v rámci ambulantní péče dle lékařů *</t>
  </si>
  <si>
    <t>708</t>
  </si>
  <si>
    <t>V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</si>
  <si>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</si>
  <si>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</si>
  <si>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</si>
  <si>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</si>
  <si>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</si>
  <si>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</si>
  <si>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</si>
  <si>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SIGNÁLNÍ VÝKON KLINICKÉHO VYŠETŘENÍ / DO 31.12.201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</si>
  <si>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</si>
  <si>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</si>
  <si>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</si>
  <si>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</si>
  <si>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</si>
  <si>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</si>
  <si>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</si>
  <si>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</si>
  <si>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</si>
  <si>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</si>
  <si>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</si>
  <si>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</si>
  <si>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25 - Klinika ústní,čelistní a obličejové chirurgie</t>
  </si>
  <si>
    <t>30 - Oddělení geriatrie</t>
  </si>
  <si>
    <t>31 - Traumatologické oddělení</t>
  </si>
  <si>
    <t>02</t>
  </si>
  <si>
    <t>03</t>
  </si>
  <si>
    <t>04</t>
  </si>
  <si>
    <t>10</t>
  </si>
  <si>
    <t>11</t>
  </si>
  <si>
    <t>25</t>
  </si>
  <si>
    <t>30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</si>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</sst>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7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6" xfId="53" applyNumberFormat="1" applyFont="1" applyFill="1" applyBorder="1"/>
    <xf numFmtId="9" fontId="3" fillId="0" borderId="66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59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8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4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5" xfId="53" applyNumberFormat="1" applyFont="1" applyFill="1" applyBorder="1"/>
    <xf numFmtId="3" fontId="3" fillId="0" borderId="66" xfId="53" applyNumberFormat="1" applyFont="1" applyFill="1" applyBorder="1"/>
    <xf numFmtId="3" fontId="3" fillId="0" borderId="67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7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8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3" fillId="0" borderId="0" xfId="1" applyFont="1" applyFill="1"/>
    <xf numFmtId="3" fontId="52" fillId="0" borderId="0" xfId="26" applyNumberFormat="1" applyFont="1" applyFill="1" applyBorder="1" applyAlignment="1"/>
    <xf numFmtId="3" fontId="40" fillId="2" borderId="72" xfId="0" applyNumberFormat="1" applyFont="1" applyFill="1" applyBorder="1" applyAlignment="1">
      <alignment horizontal="center" vertical="center"/>
    </xf>
    <xf numFmtId="0" fontId="40" fillId="2" borderId="73" xfId="0" applyFont="1" applyFill="1" applyBorder="1" applyAlignment="1">
      <alignment horizontal="center" vertical="center"/>
    </xf>
    <xf numFmtId="0" fontId="40" fillId="2" borderId="74" xfId="0" applyFont="1" applyFill="1" applyBorder="1" applyAlignment="1">
      <alignment horizontal="center" vertical="center"/>
    </xf>
    <xf numFmtId="3" fontId="54" fillId="2" borderId="75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40" fillId="2" borderId="78" xfId="0" applyFont="1" applyFill="1" applyBorder="1" applyAlignment="1"/>
    <xf numFmtId="0" fontId="40" fillId="2" borderId="80" xfId="0" applyFont="1" applyFill="1" applyBorder="1" applyAlignment="1">
      <alignment horizontal="left" indent="1"/>
    </xf>
    <xf numFmtId="0" fontId="40" fillId="2" borderId="86" xfId="0" applyFont="1" applyFill="1" applyBorder="1" applyAlignment="1">
      <alignment horizontal="left" indent="1"/>
    </xf>
    <xf numFmtId="0" fontId="40" fillId="4" borderId="78" xfId="0" applyFont="1" applyFill="1" applyBorder="1" applyAlignment="1"/>
    <xf numFmtId="0" fontId="40" fillId="4" borderId="80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2" borderId="80" xfId="0" quotePrefix="1" applyFont="1" applyFill="1" applyBorder="1" applyAlignment="1">
      <alignment horizontal="left" indent="2"/>
    </xf>
    <xf numFmtId="0" fontId="33" fillId="2" borderId="86" xfId="0" quotePrefix="1" applyFont="1" applyFill="1" applyBorder="1" applyAlignment="1">
      <alignment horizontal="left" indent="2"/>
    </xf>
    <xf numFmtId="0" fontId="40" fillId="2" borderId="78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6" xfId="0" applyFont="1" applyFill="1" applyBorder="1" applyAlignment="1">
      <alignment horizontal="left" indent="1"/>
    </xf>
    <xf numFmtId="0" fontId="33" fillId="0" borderId="96" xfId="0" applyFont="1" applyBorder="1"/>
    <xf numFmtId="3" fontId="33" fillId="0" borderId="96" xfId="0" applyNumberFormat="1" applyFont="1" applyBorder="1"/>
    <xf numFmtId="0" fontId="40" fillId="4" borderId="70" xfId="0" applyFont="1" applyFill="1" applyBorder="1" applyAlignment="1">
      <alignment horizontal="center" vertical="center"/>
    </xf>
    <xf numFmtId="0" fontId="40" fillId="4" borderId="59" xfId="0" applyFont="1" applyFill="1" applyBorder="1" applyAlignment="1">
      <alignment horizontal="center" vertical="center"/>
    </xf>
    <xf numFmtId="3" fontId="40" fillId="2" borderId="95" xfId="0" applyNumberFormat="1" applyFont="1" applyFill="1" applyBorder="1" applyAlignment="1">
      <alignment horizontal="center" vertical="center"/>
    </xf>
    <xf numFmtId="3" fontId="54" fillId="2" borderId="93" xfId="0" applyNumberFormat="1" applyFont="1" applyFill="1" applyBorder="1" applyAlignment="1">
      <alignment horizontal="center" vertical="center" wrapText="1"/>
    </xf>
    <xf numFmtId="173" fontId="40" fillId="4" borderId="79" xfId="0" applyNumberFormat="1" applyFont="1" applyFill="1" applyBorder="1" applyAlignment="1"/>
    <xf numFmtId="173" fontId="40" fillId="4" borderId="72" xfId="0" applyNumberFormat="1" applyFont="1" applyFill="1" applyBorder="1" applyAlignment="1"/>
    <xf numFmtId="173" fontId="40" fillId="4" borderId="73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0" borderId="81" xfId="0" applyNumberFormat="1" applyFont="1" applyBorder="1"/>
    <xf numFmtId="173" fontId="33" fillId="0" borderId="85" xfId="0" applyNumberFormat="1" applyFont="1" applyBorder="1"/>
    <xf numFmtId="173" fontId="33" fillId="0" borderId="83" xfId="0" applyNumberFormat="1" applyFont="1" applyBorder="1"/>
    <xf numFmtId="173" fontId="33" fillId="0" borderId="84" xfId="0" applyNumberFormat="1" applyFont="1" applyBorder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76" xfId="0" applyNumberFormat="1" applyFont="1" applyBorder="1"/>
    <xf numFmtId="173" fontId="33" fillId="0" borderId="77" xfId="0" applyNumberFormat="1" applyFont="1" applyBorder="1"/>
    <xf numFmtId="173" fontId="40" fillId="2" borderId="94" xfId="0" applyNumberFormat="1" applyFont="1" applyFill="1" applyBorder="1" applyAlignment="1"/>
    <xf numFmtId="173" fontId="40" fillId="2" borderId="72" xfId="0" applyNumberFormat="1" applyFont="1" applyFill="1" applyBorder="1" applyAlignment="1"/>
    <xf numFmtId="173" fontId="40" fillId="2" borderId="73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0" borderId="87" xfId="0" applyNumberFormat="1" applyFont="1" applyBorder="1"/>
    <xf numFmtId="173" fontId="33" fillId="0" borderId="88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79" xfId="0" applyNumberFormat="1" applyFont="1" applyBorder="1"/>
    <xf numFmtId="173" fontId="33" fillId="0" borderId="95" xfId="0" applyNumberFormat="1" applyFont="1" applyBorder="1"/>
    <xf numFmtId="173" fontId="33" fillId="0" borderId="73" xfId="0" applyNumberFormat="1" applyFont="1" applyBorder="1"/>
    <xf numFmtId="173" fontId="33" fillId="0" borderId="74" xfId="0" applyNumberFormat="1" applyFont="1" applyBorder="1"/>
    <xf numFmtId="174" fontId="40" fillId="2" borderId="79" xfId="0" applyNumberFormat="1" applyFont="1" applyFill="1" applyBorder="1" applyAlignment="1"/>
    <xf numFmtId="174" fontId="33" fillId="2" borderId="72" xfId="0" applyNumberFormat="1" applyFont="1" applyFill="1" applyBorder="1" applyAlignment="1"/>
    <xf numFmtId="174" fontId="33" fillId="2" borderId="73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40" fillId="0" borderId="81" xfId="0" applyNumberFormat="1" applyFont="1" applyBorder="1"/>
    <xf numFmtId="174" fontId="33" fillId="0" borderId="82" xfId="0" applyNumberFormat="1" applyFont="1" applyBorder="1"/>
    <xf numFmtId="174" fontId="33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40" fillId="4" borderId="79" xfId="0" applyNumberFormat="1" applyFont="1" applyFill="1" applyBorder="1" applyAlignment="1">
      <alignment horizontal="center"/>
    </xf>
    <xf numFmtId="175" fontId="40" fillId="0" borderId="87" xfId="0" applyNumberFormat="1" applyFont="1" applyBorder="1"/>
    <xf numFmtId="0" fontId="32" fillId="2" borderId="105" xfId="74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33" fillId="0" borderId="96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1" xfId="0" applyNumberFormat="1" applyFont="1" applyBorder="1"/>
    <xf numFmtId="9" fontId="33" fillId="0" borderId="85" xfId="0" applyNumberFormat="1" applyFont="1" applyBorder="1"/>
    <xf numFmtId="9" fontId="33" fillId="0" borderId="83" xfId="0" applyNumberFormat="1" applyFont="1" applyBorder="1"/>
    <xf numFmtId="9" fontId="33" fillId="0" borderId="84" xfId="0" applyNumberFormat="1" applyFont="1" applyBorder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6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0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0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3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1" xfId="53" applyFont="1" applyFill="1" applyBorder="1" applyAlignment="1">
      <alignment horizontal="right"/>
    </xf>
    <xf numFmtId="0" fontId="5" fillId="2" borderId="62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3" xfId="79" applyFont="1" applyFill="1" applyBorder="1" applyAlignment="1">
      <alignment horizontal="left"/>
    </xf>
    <xf numFmtId="173" fontId="33" fillId="0" borderId="104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173" fontId="33" fillId="0" borderId="93" xfId="0" applyNumberFormat="1" applyFont="1" applyBorder="1" applyAlignment="1">
      <alignment horizontal="right"/>
    </xf>
    <xf numFmtId="175" fontId="33" fillId="0" borderId="97" xfId="0" applyNumberFormat="1" applyFont="1" applyBorder="1" applyAlignment="1">
      <alignment horizontal="right"/>
    </xf>
    <xf numFmtId="175" fontId="33" fillId="0" borderId="81" xfId="0" applyNumberFormat="1" applyFont="1" applyBorder="1" applyAlignment="1">
      <alignment horizontal="right"/>
    </xf>
    <xf numFmtId="173" fontId="33" fillId="0" borderId="98" xfId="0" applyNumberFormat="1" applyFont="1" applyBorder="1" applyAlignment="1">
      <alignment horizontal="right"/>
    </xf>
    <xf numFmtId="173" fontId="33" fillId="0" borderId="92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175" fontId="33" fillId="0" borderId="101" xfId="0" applyNumberFormat="1" applyFont="1" applyBorder="1" applyAlignment="1">
      <alignment horizontal="right"/>
    </xf>
    <xf numFmtId="175" fontId="33" fillId="0" borderId="85" xfId="0" applyNumberFormat="1" applyFont="1" applyBorder="1" applyAlignment="1">
      <alignment horizontal="right"/>
    </xf>
    <xf numFmtId="173" fontId="33" fillId="0" borderId="97" xfId="0" applyNumberFormat="1" applyFont="1" applyBorder="1" applyAlignment="1">
      <alignment horizontal="right"/>
    </xf>
    <xf numFmtId="173" fontId="33" fillId="0" borderId="81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33" fillId="0" borderId="101" xfId="0" applyNumberFormat="1" applyFont="1" applyBorder="1" applyAlignment="1">
      <alignment horizontal="right"/>
    </xf>
    <xf numFmtId="173" fontId="33" fillId="0" borderId="85" xfId="0" applyNumberFormat="1" applyFont="1" applyBorder="1" applyAlignment="1">
      <alignment horizontal="right"/>
    </xf>
    <xf numFmtId="173" fontId="40" fillId="4" borderId="99" xfId="0" applyNumberFormat="1" applyFont="1" applyFill="1" applyBorder="1" applyAlignment="1">
      <alignment horizontal="center"/>
    </xf>
    <xf numFmtId="173" fontId="40" fillId="4" borderId="100" xfId="0" applyNumberFormat="1" applyFont="1" applyFill="1" applyBorder="1" applyAlignment="1">
      <alignment horizontal="center"/>
    </xf>
    <xf numFmtId="173" fontId="40" fillId="4" borderId="95" xfId="0" applyNumberFormat="1" applyFont="1" applyFill="1" applyBorder="1" applyAlignment="1">
      <alignment horizontal="center"/>
    </xf>
    <xf numFmtId="173" fontId="33" fillId="0" borderId="97" xfId="0" applyNumberFormat="1" applyFont="1" applyBorder="1" applyAlignment="1">
      <alignment horizontal="right" wrapText="1"/>
    </xf>
    <xf numFmtId="173" fontId="33" fillId="0" borderId="101" xfId="0" applyNumberFormat="1" applyFont="1" applyBorder="1" applyAlignment="1">
      <alignment horizontal="right" wrapText="1"/>
    </xf>
    <xf numFmtId="173" fontId="33" fillId="0" borderId="85" xfId="0" applyNumberFormat="1" applyFont="1" applyBorder="1" applyAlignment="1">
      <alignment horizontal="right" wrapText="1"/>
    </xf>
    <xf numFmtId="0" fontId="2" fillId="0" borderId="1" xfId="26" applyFont="1" applyFill="1" applyBorder="1" applyAlignment="1"/>
    <xf numFmtId="166" fontId="40" fillId="2" borderId="71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3" fontId="40" fillId="4" borderId="79" xfId="0" applyNumberFormat="1" applyFont="1" applyFill="1" applyBorder="1" applyAlignment="1">
      <alignment horizontal="center"/>
    </xf>
    <xf numFmtId="0" fontId="0" fillId="0" borderId="81" xfId="0" applyBorder="1" applyAlignment="1">
      <alignment horizontal="right"/>
    </xf>
    <xf numFmtId="173" fontId="40" fillId="4" borderId="10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0" fillId="2" borderId="58" xfId="0" applyFont="1" applyFill="1" applyBorder="1" applyAlignment="1">
      <alignment vertical="center"/>
    </xf>
    <xf numFmtId="3" fontId="32" fillId="2" borderId="60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6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1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0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70" xfId="0" applyNumberFormat="1" applyFont="1" applyFill="1" applyBorder="1" applyAlignment="1">
      <alignment horizontal="center" vertical="top"/>
    </xf>
    <xf numFmtId="0" fontId="32" fillId="2" borderId="60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4" fillId="2" borderId="49" xfId="0" applyNumberFormat="1" applyFont="1" applyFill="1" applyBorder="1" applyAlignment="1">
      <alignment horizontal="center" vertical="top"/>
    </xf>
    <xf numFmtId="3" fontId="34" fillId="7" borderId="108" xfId="0" applyNumberFormat="1" applyFont="1" applyFill="1" applyBorder="1" applyAlignment="1">
      <alignment horizontal="right" vertical="top"/>
    </xf>
    <xf numFmtId="3" fontId="34" fillId="7" borderId="109" xfId="0" applyNumberFormat="1" applyFont="1" applyFill="1" applyBorder="1" applyAlignment="1">
      <alignment horizontal="right" vertical="top"/>
    </xf>
    <xf numFmtId="176" fontId="34" fillId="7" borderId="110" xfId="0" applyNumberFormat="1" applyFont="1" applyFill="1" applyBorder="1" applyAlignment="1">
      <alignment horizontal="right" vertical="top"/>
    </xf>
    <xf numFmtId="3" fontId="34" fillId="0" borderId="108" xfId="0" applyNumberFormat="1" applyFont="1" applyBorder="1" applyAlignment="1">
      <alignment horizontal="right" vertical="top"/>
    </xf>
    <xf numFmtId="176" fontId="34" fillId="7" borderId="111" xfId="0" applyNumberFormat="1" applyFont="1" applyFill="1" applyBorder="1" applyAlignment="1">
      <alignment horizontal="right" vertical="top"/>
    </xf>
    <xf numFmtId="3" fontId="36" fillId="7" borderId="113" xfId="0" applyNumberFormat="1" applyFont="1" applyFill="1" applyBorder="1" applyAlignment="1">
      <alignment horizontal="right" vertical="top"/>
    </xf>
    <xf numFmtId="3" fontId="36" fillId="7" borderId="114" xfId="0" applyNumberFormat="1" applyFont="1" applyFill="1" applyBorder="1" applyAlignment="1">
      <alignment horizontal="right" vertical="top"/>
    </xf>
    <xf numFmtId="0" fontId="36" fillId="7" borderId="115" xfId="0" applyFont="1" applyFill="1" applyBorder="1" applyAlignment="1">
      <alignment horizontal="right" vertical="top"/>
    </xf>
    <xf numFmtId="3" fontId="36" fillId="0" borderId="113" xfId="0" applyNumberFormat="1" applyFont="1" applyBorder="1" applyAlignment="1">
      <alignment horizontal="right" vertical="top"/>
    </xf>
    <xf numFmtId="0" fontId="36" fillId="7" borderId="116" xfId="0" applyFont="1" applyFill="1" applyBorder="1" applyAlignment="1">
      <alignment horizontal="right" vertical="top"/>
    </xf>
    <xf numFmtId="0" fontId="34" fillId="7" borderId="110" xfId="0" applyFont="1" applyFill="1" applyBorder="1" applyAlignment="1">
      <alignment horizontal="right" vertical="top"/>
    </xf>
    <xf numFmtId="0" fontId="34" fillId="7" borderId="111" xfId="0" applyFont="1" applyFill="1" applyBorder="1" applyAlignment="1">
      <alignment horizontal="right" vertical="top"/>
    </xf>
    <xf numFmtId="176" fontId="36" fillId="7" borderId="115" xfId="0" applyNumberFormat="1" applyFont="1" applyFill="1" applyBorder="1" applyAlignment="1">
      <alignment horizontal="right" vertical="top"/>
    </xf>
    <xf numFmtId="176" fontId="36" fillId="7" borderId="116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0" borderId="119" xfId="0" applyFont="1" applyBorder="1" applyAlignment="1">
      <alignment horizontal="right" vertical="top"/>
    </xf>
    <xf numFmtId="176" fontId="36" fillId="7" borderId="120" xfId="0" applyNumberFormat="1" applyFont="1" applyFill="1" applyBorder="1" applyAlignment="1">
      <alignment horizontal="right" vertical="top"/>
    </xf>
    <xf numFmtId="0" fontId="38" fillId="8" borderId="107" xfId="0" applyFont="1" applyFill="1" applyBorder="1" applyAlignment="1">
      <alignment vertical="top"/>
    </xf>
    <xf numFmtId="0" fontId="38" fillId="8" borderId="107" xfId="0" applyFont="1" applyFill="1" applyBorder="1" applyAlignment="1">
      <alignment vertical="top" indent="2"/>
    </xf>
    <xf numFmtId="0" fontId="38" fillId="8" borderId="107" xfId="0" applyFont="1" applyFill="1" applyBorder="1" applyAlignment="1">
      <alignment vertical="top" indent="4"/>
    </xf>
    <xf numFmtId="0" fontId="39" fillId="8" borderId="112" xfId="0" applyFont="1" applyFill="1" applyBorder="1" applyAlignment="1">
      <alignment vertical="top" indent="6"/>
    </xf>
    <xf numFmtId="0" fontId="38" fillId="8" borderId="107" xfId="0" applyFont="1" applyFill="1" applyBorder="1" applyAlignment="1">
      <alignment vertical="top" indent="8"/>
    </xf>
    <xf numFmtId="0" fontId="39" fillId="8" borderId="112" xfId="0" applyFont="1" applyFill="1" applyBorder="1" applyAlignment="1">
      <alignment vertical="top" indent="2"/>
    </xf>
    <xf numFmtId="0" fontId="39" fillId="8" borderId="112" xfId="0" applyFont="1" applyFill="1" applyBorder="1" applyAlignment="1">
      <alignment vertical="top" indent="4"/>
    </xf>
    <xf numFmtId="0" fontId="39" fillId="8" borderId="112" xfId="0" applyFont="1" applyFill="1" applyBorder="1" applyAlignment="1">
      <alignment vertical="top"/>
    </xf>
    <xf numFmtId="0" fontId="33" fillId="8" borderId="107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3" fillId="2" borderId="121" xfId="79" applyFont="1" applyFill="1" applyBorder="1" applyAlignment="1">
      <alignment horizontal="left"/>
    </xf>
    <xf numFmtId="0" fontId="40" fillId="8" borderId="105" xfId="0" applyFont="1" applyFill="1" applyBorder="1"/>
    <xf numFmtId="0" fontId="40" fillId="8" borderId="103" xfId="0" applyFont="1" applyFill="1" applyBorder="1"/>
    <xf numFmtId="0" fontId="40" fillId="8" borderId="104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2" xfId="0" applyNumberFormat="1" applyFont="1" applyFill="1" applyBorder="1"/>
    <xf numFmtId="0" fontId="33" fillId="0" borderId="73" xfId="0" applyFont="1" applyFill="1" applyBorder="1"/>
    <xf numFmtId="3" fontId="33" fillId="0" borderId="73" xfId="0" applyNumberFormat="1" applyFont="1" applyFill="1" applyBorder="1"/>
    <xf numFmtId="3" fontId="33" fillId="0" borderId="82" xfId="0" applyNumberFormat="1" applyFont="1" applyFill="1" applyBorder="1"/>
    <xf numFmtId="0" fontId="33" fillId="0" borderId="83" xfId="0" applyFont="1" applyFill="1" applyBorder="1"/>
    <xf numFmtId="3" fontId="33" fillId="0" borderId="83" xfId="0" applyNumberFormat="1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99" xfId="0" applyNumberFormat="1" applyFont="1" applyFill="1" applyBorder="1"/>
    <xf numFmtId="3" fontId="33" fillId="0" borderId="97" xfId="0" applyNumberFormat="1" applyFont="1" applyFill="1" applyBorder="1"/>
    <xf numFmtId="3" fontId="33" fillId="0" borderId="98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0" fontId="33" fillId="0" borderId="82" xfId="0" applyFont="1" applyFill="1" applyBorder="1"/>
    <xf numFmtId="0" fontId="33" fillId="0" borderId="75" xfId="0" applyFont="1" applyFill="1" applyBorder="1"/>
    <xf numFmtId="9" fontId="33" fillId="0" borderId="73" xfId="0" applyNumberFormat="1" applyFont="1" applyFill="1" applyBorder="1"/>
    <xf numFmtId="9" fontId="33" fillId="0" borderId="74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0" fontId="33" fillId="0" borderId="105" xfId="0" applyFont="1" applyFill="1" applyBorder="1"/>
    <xf numFmtId="0" fontId="33" fillId="0" borderId="103" xfId="0" applyFont="1" applyFill="1" applyBorder="1"/>
    <xf numFmtId="0" fontId="33" fillId="0" borderId="104" xfId="0" applyFont="1" applyFill="1" applyBorder="1"/>
    <xf numFmtId="3" fontId="33" fillId="0" borderId="95" xfId="0" applyNumberFormat="1" applyFont="1" applyFill="1" applyBorder="1"/>
    <xf numFmtId="3" fontId="33" fillId="0" borderId="85" xfId="0" applyNumberFormat="1" applyFont="1" applyFill="1" applyBorder="1"/>
    <xf numFmtId="3" fontId="33" fillId="0" borderId="93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4" fontId="33" fillId="0" borderId="83" xfId="0" applyNumberFormat="1" applyFont="1" applyFill="1" applyBorder="1"/>
    <xf numFmtId="165" fontId="33" fillId="0" borderId="83" xfId="0" applyNumberFormat="1" applyFont="1" applyFill="1" applyBorder="1"/>
    <xf numFmtId="0" fontId="33" fillId="0" borderId="76" xfId="0" applyFont="1" applyFill="1" applyBorder="1" applyAlignment="1">
      <alignment horizontal="right"/>
    </xf>
    <xf numFmtId="0" fontId="33" fillId="0" borderId="76" xfId="0" applyFont="1" applyFill="1" applyBorder="1" applyAlignment="1">
      <alignment horizontal="left"/>
    </xf>
    <xf numFmtId="164" fontId="33" fillId="0" borderId="76" xfId="0" applyNumberFormat="1" applyFont="1" applyFill="1" applyBorder="1"/>
    <xf numFmtId="165" fontId="33" fillId="0" borderId="7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69" xfId="0" applyNumberFormat="1" applyFont="1" applyFill="1" applyBorder="1"/>
    <xf numFmtId="3" fontId="40" fillId="2" borderId="123" xfId="0" applyNumberFormat="1" applyFont="1" applyFill="1" applyBorder="1"/>
    <xf numFmtId="3" fontId="33" fillId="0" borderId="24" xfId="0" applyNumberFormat="1" applyFont="1" applyFill="1" applyBorder="1"/>
    <xf numFmtId="3" fontId="33" fillId="0" borderId="84" xfId="0" applyNumberFormat="1" applyFont="1" applyFill="1" applyBorder="1"/>
    <xf numFmtId="3" fontId="33" fillId="0" borderId="7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23" xfId="0" applyFont="1" applyFill="1" applyBorder="1"/>
    <xf numFmtId="0" fontId="40" fillId="0" borderId="82" xfId="0" applyFont="1" applyFill="1" applyBorder="1"/>
    <xf numFmtId="0" fontId="40" fillId="0" borderId="129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3" fontId="32" fillId="2" borderId="122" xfId="53" applyNumberFormat="1" applyFont="1" applyFill="1" applyBorder="1" applyAlignment="1">
      <alignment horizontal="left"/>
    </xf>
    <xf numFmtId="3" fontId="32" fillId="2" borderId="123" xfId="53" applyNumberFormat="1" applyFont="1" applyFill="1" applyBorder="1" applyAlignment="1">
      <alignment horizontal="left"/>
    </xf>
    <xf numFmtId="164" fontId="33" fillId="0" borderId="28" xfId="0" applyNumberFormat="1" applyFont="1" applyFill="1" applyBorder="1" applyAlignment="1">
      <alignment horizontal="right"/>
    </xf>
    <xf numFmtId="164" fontId="33" fillId="0" borderId="83" xfId="0" applyNumberFormat="1" applyFont="1" applyFill="1" applyBorder="1" applyAlignment="1">
      <alignment horizontal="right"/>
    </xf>
    <xf numFmtId="164" fontId="33" fillId="0" borderId="76" xfId="0" applyNumberFormat="1" applyFont="1" applyFill="1" applyBorder="1" applyAlignment="1">
      <alignment horizontal="right"/>
    </xf>
    <xf numFmtId="0" fontId="33" fillId="2" borderId="123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6" xfId="0" applyNumberFormat="1" applyFont="1" applyFill="1" applyBorder="1"/>
    <xf numFmtId="0" fontId="33" fillId="0" borderId="26" xfId="0" applyFont="1" applyFill="1" applyBorder="1"/>
    <xf numFmtId="0" fontId="40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15" xfId="26" applyNumberFormat="1" applyFont="1" applyFill="1" applyBorder="1"/>
    <xf numFmtId="169" fontId="33" fillId="0" borderId="28" xfId="0" applyNumberFormat="1" applyFont="1" applyFill="1" applyBorder="1"/>
    <xf numFmtId="169" fontId="33" fillId="0" borderId="24" xfId="0" applyNumberFormat="1" applyFont="1" applyFill="1" applyBorder="1"/>
    <xf numFmtId="169" fontId="33" fillId="0" borderId="83" xfId="0" applyNumberFormat="1" applyFont="1" applyFill="1" applyBorder="1"/>
    <xf numFmtId="169" fontId="33" fillId="0" borderId="84" xfId="0" applyNumberFormat="1" applyFont="1" applyFill="1" applyBorder="1"/>
    <xf numFmtId="169" fontId="33" fillId="0" borderId="76" xfId="0" applyNumberFormat="1" applyFont="1" applyFill="1" applyBorder="1"/>
    <xf numFmtId="169" fontId="33" fillId="0" borderId="77" xfId="0" applyNumberFormat="1" applyFont="1" applyFill="1" applyBorder="1"/>
    <xf numFmtId="0" fontId="40" fillId="0" borderId="75" xfId="0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1.0887718320194217</c:v>
                </c:pt>
                <c:pt idx="1">
                  <c:v>0.86010690346427787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0952"/>
        <c:axId val="15208305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1.7285779396279484</c:v>
                </c:pt>
                <c:pt idx="1">
                  <c:v>1.7285779396279484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831736"/>
        <c:axId val="1520832128"/>
      </c:scatterChart>
      <c:catAx>
        <c:axId val="152083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83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830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0830952"/>
        <c:crosses val="autoZero"/>
        <c:crossBetween val="between"/>
      </c:valAx>
      <c:valAx>
        <c:axId val="1520831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0832128"/>
        <c:crosses val="max"/>
        <c:crossBetween val="midCat"/>
      </c:valAx>
      <c:valAx>
        <c:axId val="1520832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08317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1" t="s">
        <v>107</v>
      </c>
      <c r="B1" s="321"/>
    </row>
    <row r="2" spans="1:3" ht="14.4" customHeight="1" thickBot="1" x14ac:dyDescent="0.35">
      <c r="A2" s="231" t="s">
        <v>244</v>
      </c>
      <c r="B2" s="46"/>
    </row>
    <row r="3" spans="1:3" ht="14.4" customHeight="1" thickBot="1" x14ac:dyDescent="0.35">
      <c r="A3" s="317" t="s">
        <v>136</v>
      </c>
      <c r="B3" s="318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118</v>
      </c>
      <c r="C4" s="47" t="s">
        <v>119</v>
      </c>
    </row>
    <row r="5" spans="1:3" ht="14.4" customHeight="1" x14ac:dyDescent="0.3">
      <c r="A5" s="146" t="str">
        <f t="shared" si="0"/>
        <v>HI</v>
      </c>
      <c r="B5" s="89" t="s">
        <v>133</v>
      </c>
      <c r="C5" s="47" t="s">
        <v>110</v>
      </c>
    </row>
    <row r="6" spans="1:3" ht="14.4" customHeight="1" x14ac:dyDescent="0.3">
      <c r="A6" s="147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7" t="str">
        <f t="shared" si="0"/>
        <v>Man Tab</v>
      </c>
      <c r="B7" s="90" t="s">
        <v>246</v>
      </c>
      <c r="C7" s="47" t="s">
        <v>112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9" t="s">
        <v>108</v>
      </c>
      <c r="B10" s="318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134</v>
      </c>
      <c r="C11" s="47" t="s">
        <v>113</v>
      </c>
    </row>
    <row r="12" spans="1:3" ht="14.4" customHeight="1" x14ac:dyDescent="0.3">
      <c r="A12" s="147" t="str">
        <f t="shared" si="1"/>
        <v>LRp Lékaři</v>
      </c>
      <c r="B12" s="90" t="s">
        <v>142</v>
      </c>
      <c r="C12" s="47" t="s">
        <v>143</v>
      </c>
    </row>
    <row r="13" spans="1:3" ht="14.4" customHeight="1" x14ac:dyDescent="0.3">
      <c r="A13" s="147" t="str">
        <f t="shared" si="1"/>
        <v>LRp Detail</v>
      </c>
      <c r="B13" s="90" t="s">
        <v>410</v>
      </c>
      <c r="C13" s="47" t="s">
        <v>114</v>
      </c>
    </row>
    <row r="14" spans="1:3" ht="28.8" customHeight="1" x14ac:dyDescent="0.3">
      <c r="A14" s="147" t="str">
        <f t="shared" si="1"/>
        <v>LRp PL</v>
      </c>
      <c r="B14" s="532" t="s">
        <v>411</v>
      </c>
      <c r="C14" s="47" t="s">
        <v>139</v>
      </c>
    </row>
    <row r="15" spans="1:3" ht="14.4" customHeight="1" x14ac:dyDescent="0.3">
      <c r="A15" s="147" t="str">
        <f>HYPERLINK("#'"&amp;C15&amp;"'!A1",C15)</f>
        <v>LRp PL Detail</v>
      </c>
      <c r="B15" s="90" t="s">
        <v>416</v>
      </c>
      <c r="C15" s="47" t="s">
        <v>140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135</v>
      </c>
      <c r="C16" s="47" t="s">
        <v>115</v>
      </c>
    </row>
    <row r="17" spans="1:3" ht="14.4" customHeight="1" x14ac:dyDescent="0.3">
      <c r="A17" s="147" t="str">
        <f t="shared" si="1"/>
        <v>MŽ Detail</v>
      </c>
      <c r="B17" s="90" t="s">
        <v>474</v>
      </c>
      <c r="C17" s="47" t="s">
        <v>116</v>
      </c>
    </row>
    <row r="18" spans="1:3" ht="14.4" customHeight="1" thickBot="1" x14ac:dyDescent="0.35">
      <c r="A18" s="149" t="str">
        <f t="shared" si="1"/>
        <v>Osobní náklady</v>
      </c>
      <c r="B18" s="90" t="s">
        <v>105</v>
      </c>
      <c r="C18" s="47" t="s">
        <v>117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0" t="s">
        <v>109</v>
      </c>
      <c r="B20" s="318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479</v>
      </c>
      <c r="C21" s="47" t="s">
        <v>120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482</v>
      </c>
      <c r="C22" s="47" t="s">
        <v>222</v>
      </c>
    </row>
    <row r="23" spans="1:3" ht="14.4" customHeight="1" x14ac:dyDescent="0.3">
      <c r="A23" s="147" t="str">
        <f t="shared" si="3"/>
        <v>ZV Vykáz.-A Detail</v>
      </c>
      <c r="B23" s="90" t="s">
        <v>499</v>
      </c>
      <c r="C23" s="47" t="s">
        <v>121</v>
      </c>
    </row>
    <row r="24" spans="1:3" ht="14.4" customHeight="1" x14ac:dyDescent="0.3">
      <c r="A24" s="147" t="str">
        <f t="shared" si="3"/>
        <v>ZV Vykáz.-H</v>
      </c>
      <c r="B24" s="90" t="s">
        <v>124</v>
      </c>
      <c r="C24" s="47" t="s">
        <v>122</v>
      </c>
    </row>
    <row r="25" spans="1:3" ht="14.4" customHeight="1" x14ac:dyDescent="0.3">
      <c r="A25" s="147" t="str">
        <f t="shared" si="3"/>
        <v>ZV Vykáz.-H Detail</v>
      </c>
      <c r="B25" s="90" t="s">
        <v>516</v>
      </c>
      <c r="C25" s="47" t="s">
        <v>123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6" t="s">
        <v>411</v>
      </c>
      <c r="B1" s="357"/>
      <c r="C1" s="357"/>
      <c r="D1" s="357"/>
      <c r="E1" s="357"/>
      <c r="F1" s="357"/>
    </row>
    <row r="2" spans="1:6" ht="14.4" customHeight="1" thickBot="1" x14ac:dyDescent="0.35">
      <c r="A2" s="231" t="s">
        <v>244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8" t="s">
        <v>127</v>
      </c>
      <c r="C3" s="359"/>
      <c r="D3" s="360" t="s">
        <v>126</v>
      </c>
      <c r="E3" s="359"/>
      <c r="F3" s="80" t="s">
        <v>3</v>
      </c>
    </row>
    <row r="4" spans="1:6" ht="14.4" customHeight="1" thickBot="1" x14ac:dyDescent="0.35">
      <c r="A4" s="515" t="s">
        <v>157</v>
      </c>
      <c r="B4" s="516" t="s">
        <v>13</v>
      </c>
      <c r="C4" s="517" t="s">
        <v>2</v>
      </c>
      <c r="D4" s="516" t="s">
        <v>13</v>
      </c>
      <c r="E4" s="517" t="s">
        <v>2</v>
      </c>
      <c r="F4" s="518" t="s">
        <v>13</v>
      </c>
    </row>
    <row r="5" spans="1:6" ht="14.4" customHeight="1" x14ac:dyDescent="0.3">
      <c r="A5" s="529" t="s">
        <v>311</v>
      </c>
      <c r="B5" s="116">
        <v>2849.6</v>
      </c>
      <c r="C5" s="506">
        <v>3.3018145380414303E-2</v>
      </c>
      <c r="D5" s="116">
        <v>83454.460000000021</v>
      </c>
      <c r="E5" s="506">
        <v>0.96698185461958563</v>
      </c>
      <c r="F5" s="519">
        <v>86304.060000000027</v>
      </c>
    </row>
    <row r="6" spans="1:6" ht="14.4" customHeight="1" x14ac:dyDescent="0.3">
      <c r="A6" s="530" t="s">
        <v>313</v>
      </c>
      <c r="B6" s="472"/>
      <c r="C6" s="485">
        <v>0</v>
      </c>
      <c r="D6" s="472">
        <v>322922.52999999997</v>
      </c>
      <c r="E6" s="485">
        <v>1</v>
      </c>
      <c r="F6" s="520">
        <v>322922.52999999997</v>
      </c>
    </row>
    <row r="7" spans="1:6" ht="14.4" customHeight="1" thickBot="1" x14ac:dyDescent="0.35">
      <c r="A7" s="531" t="s">
        <v>312</v>
      </c>
      <c r="B7" s="522"/>
      <c r="C7" s="523">
        <v>0</v>
      </c>
      <c r="D7" s="522">
        <v>1895.4</v>
      </c>
      <c r="E7" s="523">
        <v>1</v>
      </c>
      <c r="F7" s="524">
        <v>1895.4</v>
      </c>
    </row>
    <row r="8" spans="1:6" ht="14.4" customHeight="1" thickBot="1" x14ac:dyDescent="0.35">
      <c r="A8" s="525" t="s">
        <v>3</v>
      </c>
      <c r="B8" s="526">
        <v>2849.6</v>
      </c>
      <c r="C8" s="527">
        <v>6.9312760429088216E-3</v>
      </c>
      <c r="D8" s="526">
        <v>408272.39</v>
      </c>
      <c r="E8" s="527">
        <v>0.99306872395709123</v>
      </c>
      <c r="F8" s="528">
        <v>411121.99</v>
      </c>
    </row>
    <row r="9" spans="1:6" ht="14.4" customHeight="1" thickBot="1" x14ac:dyDescent="0.35"/>
    <row r="10" spans="1:6" ht="14.4" customHeight="1" x14ac:dyDescent="0.3">
      <c r="A10" s="529" t="s">
        <v>412</v>
      </c>
      <c r="B10" s="116">
        <v>2849.6</v>
      </c>
      <c r="C10" s="506">
        <v>6.931276042908819E-3</v>
      </c>
      <c r="D10" s="116">
        <v>408272.39000000013</v>
      </c>
      <c r="E10" s="506">
        <v>0.99306872395709123</v>
      </c>
      <c r="F10" s="519">
        <v>411121.99000000011</v>
      </c>
    </row>
    <row r="11" spans="1:6" ht="14.4" customHeight="1" thickBot="1" x14ac:dyDescent="0.35">
      <c r="A11" s="531" t="s">
        <v>413</v>
      </c>
      <c r="B11" s="522"/>
      <c r="C11" s="523"/>
      <c r="D11" s="522">
        <v>0</v>
      </c>
      <c r="E11" s="523"/>
      <c r="F11" s="524">
        <v>0</v>
      </c>
    </row>
    <row r="12" spans="1:6" ht="14.4" customHeight="1" thickBot="1" x14ac:dyDescent="0.35">
      <c r="A12" s="525" t="s">
        <v>3</v>
      </c>
      <c r="B12" s="526">
        <v>2849.6</v>
      </c>
      <c r="C12" s="527">
        <v>6.931276042908819E-3</v>
      </c>
      <c r="D12" s="526">
        <v>408272.39000000013</v>
      </c>
      <c r="E12" s="527">
        <v>0.99306872395709123</v>
      </c>
      <c r="F12" s="528">
        <v>411121.99000000011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{1912C705-5142-4463-8B92-5C66AC1E2EB3}</x14:id>
        </ext>
      </extLst>
    </cfRule>
  </conditionalFormatting>
  <conditionalFormatting sqref="F10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{1170CDE8-F1C6-4811-B725-3D9C337711AA}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12C705-5142-4463-8B92-5C66AC1E2E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1170CDE8-F1C6-4811-B725-3D9C337711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7" t="s">
        <v>416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21"/>
      <c r="M1" s="321"/>
    </row>
    <row r="2" spans="1:13" ht="14.4" customHeight="1" thickBot="1" x14ac:dyDescent="0.35">
      <c r="A2" s="231" t="s">
        <v>244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125</v>
      </c>
      <c r="F3" s="43">
        <f>SUBTOTAL(9,F6:F1048576)</f>
        <v>80</v>
      </c>
      <c r="G3" s="43">
        <f>SUBTOTAL(9,G6:G1048576)</f>
        <v>2849.6</v>
      </c>
      <c r="H3" s="44">
        <f>IF(M3=0,0,G3/M3)</f>
        <v>6.9312760429088198E-3</v>
      </c>
      <c r="I3" s="43">
        <f>SUBTOTAL(9,I6:I1048576)</f>
        <v>3012</v>
      </c>
      <c r="J3" s="43">
        <f>SUBTOTAL(9,J6:J1048576)</f>
        <v>408272.38999999996</v>
      </c>
      <c r="K3" s="44">
        <f>IF(M3=0,0,J3/M3)</f>
        <v>0.993068723957091</v>
      </c>
      <c r="L3" s="43">
        <f>SUBTOTAL(9,L6:L1048576)</f>
        <v>3092</v>
      </c>
      <c r="M3" s="45">
        <f>SUBTOTAL(9,M6:M1048576)</f>
        <v>411121.99000000005</v>
      </c>
    </row>
    <row r="4" spans="1:13" ht="14.4" customHeight="1" thickBot="1" x14ac:dyDescent="0.35">
      <c r="A4" s="41"/>
      <c r="B4" s="41"/>
      <c r="C4" s="41"/>
      <c r="D4" s="41"/>
      <c r="E4" s="42"/>
      <c r="F4" s="361" t="s">
        <v>127</v>
      </c>
      <c r="G4" s="362"/>
      <c r="H4" s="363"/>
      <c r="I4" s="364" t="s">
        <v>126</v>
      </c>
      <c r="J4" s="362"/>
      <c r="K4" s="363"/>
      <c r="L4" s="365" t="s">
        <v>3</v>
      </c>
      <c r="M4" s="366"/>
    </row>
    <row r="5" spans="1:13" ht="14.4" customHeight="1" thickBot="1" x14ac:dyDescent="0.35">
      <c r="A5" s="515" t="s">
        <v>132</v>
      </c>
      <c r="B5" s="533" t="s">
        <v>128</v>
      </c>
      <c r="C5" s="533" t="s">
        <v>69</v>
      </c>
      <c r="D5" s="533" t="s">
        <v>129</v>
      </c>
      <c r="E5" s="533" t="s">
        <v>130</v>
      </c>
      <c r="F5" s="534" t="s">
        <v>27</v>
      </c>
      <c r="G5" s="534" t="s">
        <v>13</v>
      </c>
      <c r="H5" s="517" t="s">
        <v>131</v>
      </c>
      <c r="I5" s="516" t="s">
        <v>27</v>
      </c>
      <c r="J5" s="534" t="s">
        <v>13</v>
      </c>
      <c r="K5" s="517" t="s">
        <v>131</v>
      </c>
      <c r="L5" s="516" t="s">
        <v>27</v>
      </c>
      <c r="M5" s="535" t="s">
        <v>13</v>
      </c>
    </row>
    <row r="6" spans="1:13" ht="14.4" customHeight="1" x14ac:dyDescent="0.3">
      <c r="A6" s="500" t="s">
        <v>311</v>
      </c>
      <c r="B6" s="501" t="s">
        <v>414</v>
      </c>
      <c r="C6" s="501" t="s">
        <v>315</v>
      </c>
      <c r="D6" s="501" t="s">
        <v>316</v>
      </c>
      <c r="E6" s="501" t="s">
        <v>317</v>
      </c>
      <c r="F6" s="116"/>
      <c r="G6" s="116"/>
      <c r="H6" s="506">
        <v>0</v>
      </c>
      <c r="I6" s="116">
        <v>44</v>
      </c>
      <c r="J6" s="116">
        <v>8547.4399999999987</v>
      </c>
      <c r="K6" s="506">
        <v>1</v>
      </c>
      <c r="L6" s="116">
        <v>44</v>
      </c>
      <c r="M6" s="519">
        <v>8547.4399999999987</v>
      </c>
    </row>
    <row r="7" spans="1:13" ht="14.4" customHeight="1" x14ac:dyDescent="0.3">
      <c r="A7" s="481" t="s">
        <v>311</v>
      </c>
      <c r="B7" s="471" t="s">
        <v>414</v>
      </c>
      <c r="C7" s="471" t="s">
        <v>318</v>
      </c>
      <c r="D7" s="471" t="s">
        <v>319</v>
      </c>
      <c r="E7" s="471" t="s">
        <v>320</v>
      </c>
      <c r="F7" s="472"/>
      <c r="G7" s="472"/>
      <c r="H7" s="485">
        <v>0</v>
      </c>
      <c r="I7" s="472">
        <v>28</v>
      </c>
      <c r="J7" s="472">
        <v>589.67999999999995</v>
      </c>
      <c r="K7" s="485">
        <v>1</v>
      </c>
      <c r="L7" s="472">
        <v>28</v>
      </c>
      <c r="M7" s="520">
        <v>589.67999999999995</v>
      </c>
    </row>
    <row r="8" spans="1:13" ht="14.4" customHeight="1" x14ac:dyDescent="0.3">
      <c r="A8" s="481" t="s">
        <v>311</v>
      </c>
      <c r="B8" s="471" t="s">
        <v>414</v>
      </c>
      <c r="C8" s="471" t="s">
        <v>321</v>
      </c>
      <c r="D8" s="471" t="s">
        <v>322</v>
      </c>
      <c r="E8" s="471" t="s">
        <v>320</v>
      </c>
      <c r="F8" s="472"/>
      <c r="G8" s="472"/>
      <c r="H8" s="485">
        <v>0</v>
      </c>
      <c r="I8" s="472">
        <v>28</v>
      </c>
      <c r="J8" s="472">
        <v>589.67999999999995</v>
      </c>
      <c r="K8" s="485">
        <v>1</v>
      </c>
      <c r="L8" s="472">
        <v>28</v>
      </c>
      <c r="M8" s="520">
        <v>589.67999999999995</v>
      </c>
    </row>
    <row r="9" spans="1:13" ht="14.4" customHeight="1" x14ac:dyDescent="0.3">
      <c r="A9" s="481" t="s">
        <v>311</v>
      </c>
      <c r="B9" s="471" t="s">
        <v>414</v>
      </c>
      <c r="C9" s="471" t="s">
        <v>340</v>
      </c>
      <c r="D9" s="471" t="s">
        <v>341</v>
      </c>
      <c r="E9" s="471" t="s">
        <v>329</v>
      </c>
      <c r="F9" s="472"/>
      <c r="G9" s="472"/>
      <c r="H9" s="485">
        <v>0</v>
      </c>
      <c r="I9" s="472">
        <v>6</v>
      </c>
      <c r="J9" s="472">
        <v>473.93999999999994</v>
      </c>
      <c r="K9" s="485">
        <v>1</v>
      </c>
      <c r="L9" s="472">
        <v>6</v>
      </c>
      <c r="M9" s="520">
        <v>473.93999999999994</v>
      </c>
    </row>
    <row r="10" spans="1:13" ht="14.4" customHeight="1" x14ac:dyDescent="0.3">
      <c r="A10" s="481" t="s">
        <v>311</v>
      </c>
      <c r="B10" s="471" t="s">
        <v>414</v>
      </c>
      <c r="C10" s="471" t="s">
        <v>323</v>
      </c>
      <c r="D10" s="471" t="s">
        <v>324</v>
      </c>
      <c r="E10" s="471" t="s">
        <v>320</v>
      </c>
      <c r="F10" s="472"/>
      <c r="G10" s="472"/>
      <c r="H10" s="485">
        <v>0</v>
      </c>
      <c r="I10" s="472">
        <v>15</v>
      </c>
      <c r="J10" s="472">
        <v>473.85</v>
      </c>
      <c r="K10" s="485">
        <v>1</v>
      </c>
      <c r="L10" s="472">
        <v>15</v>
      </c>
      <c r="M10" s="520">
        <v>473.85</v>
      </c>
    </row>
    <row r="11" spans="1:13" ht="14.4" customHeight="1" x14ac:dyDescent="0.3">
      <c r="A11" s="481" t="s">
        <v>311</v>
      </c>
      <c r="B11" s="471" t="s">
        <v>414</v>
      </c>
      <c r="C11" s="471" t="s">
        <v>325</v>
      </c>
      <c r="D11" s="471" t="s">
        <v>326</v>
      </c>
      <c r="E11" s="471" t="s">
        <v>320</v>
      </c>
      <c r="F11" s="472"/>
      <c r="G11" s="472"/>
      <c r="H11" s="485">
        <v>0</v>
      </c>
      <c r="I11" s="472">
        <v>15</v>
      </c>
      <c r="J11" s="472">
        <v>473.85</v>
      </c>
      <c r="K11" s="485">
        <v>1</v>
      </c>
      <c r="L11" s="472">
        <v>15</v>
      </c>
      <c r="M11" s="520">
        <v>473.85</v>
      </c>
    </row>
    <row r="12" spans="1:13" ht="14.4" customHeight="1" x14ac:dyDescent="0.3">
      <c r="A12" s="481" t="s">
        <v>311</v>
      </c>
      <c r="B12" s="471" t="s">
        <v>414</v>
      </c>
      <c r="C12" s="471" t="s">
        <v>327</v>
      </c>
      <c r="D12" s="471" t="s">
        <v>328</v>
      </c>
      <c r="E12" s="471" t="s">
        <v>329</v>
      </c>
      <c r="F12" s="472"/>
      <c r="G12" s="472"/>
      <c r="H12" s="485">
        <v>0</v>
      </c>
      <c r="I12" s="472">
        <v>60</v>
      </c>
      <c r="J12" s="472">
        <v>6318.6</v>
      </c>
      <c r="K12" s="485">
        <v>1</v>
      </c>
      <c r="L12" s="472">
        <v>60</v>
      </c>
      <c r="M12" s="520">
        <v>6318.6</v>
      </c>
    </row>
    <row r="13" spans="1:13" ht="14.4" customHeight="1" x14ac:dyDescent="0.3">
      <c r="A13" s="481" t="s">
        <v>311</v>
      </c>
      <c r="B13" s="471" t="s">
        <v>414</v>
      </c>
      <c r="C13" s="471" t="s">
        <v>330</v>
      </c>
      <c r="D13" s="471" t="s">
        <v>331</v>
      </c>
      <c r="E13" s="471" t="s">
        <v>332</v>
      </c>
      <c r="F13" s="472"/>
      <c r="G13" s="472"/>
      <c r="H13" s="485">
        <v>0</v>
      </c>
      <c r="I13" s="472">
        <v>7</v>
      </c>
      <c r="J13" s="472">
        <v>891.38</v>
      </c>
      <c r="K13" s="485">
        <v>1</v>
      </c>
      <c r="L13" s="472">
        <v>7</v>
      </c>
      <c r="M13" s="520">
        <v>891.38</v>
      </c>
    </row>
    <row r="14" spans="1:13" ht="14.4" customHeight="1" x14ac:dyDescent="0.3">
      <c r="A14" s="481" t="s">
        <v>311</v>
      </c>
      <c r="B14" s="471" t="s">
        <v>414</v>
      </c>
      <c r="C14" s="471" t="s">
        <v>333</v>
      </c>
      <c r="D14" s="471" t="s">
        <v>334</v>
      </c>
      <c r="E14" s="471" t="s">
        <v>332</v>
      </c>
      <c r="F14" s="472"/>
      <c r="G14" s="472"/>
      <c r="H14" s="485">
        <v>0</v>
      </c>
      <c r="I14" s="472">
        <v>7</v>
      </c>
      <c r="J14" s="472">
        <v>891.38</v>
      </c>
      <c r="K14" s="485">
        <v>1</v>
      </c>
      <c r="L14" s="472">
        <v>7</v>
      </c>
      <c r="M14" s="520">
        <v>891.38</v>
      </c>
    </row>
    <row r="15" spans="1:13" ht="14.4" customHeight="1" x14ac:dyDescent="0.3">
      <c r="A15" s="481" t="s">
        <v>311</v>
      </c>
      <c r="B15" s="471" t="s">
        <v>414</v>
      </c>
      <c r="C15" s="471" t="s">
        <v>335</v>
      </c>
      <c r="D15" s="471" t="s">
        <v>336</v>
      </c>
      <c r="E15" s="471" t="s">
        <v>332</v>
      </c>
      <c r="F15" s="472"/>
      <c r="G15" s="472"/>
      <c r="H15" s="485">
        <v>0</v>
      </c>
      <c r="I15" s="472">
        <v>7</v>
      </c>
      <c r="J15" s="472">
        <v>891.38</v>
      </c>
      <c r="K15" s="485">
        <v>1</v>
      </c>
      <c r="L15" s="472">
        <v>7</v>
      </c>
      <c r="M15" s="520">
        <v>891.38</v>
      </c>
    </row>
    <row r="16" spans="1:13" ht="14.4" customHeight="1" x14ac:dyDescent="0.3">
      <c r="A16" s="481" t="s">
        <v>311</v>
      </c>
      <c r="B16" s="471" t="s">
        <v>414</v>
      </c>
      <c r="C16" s="471" t="s">
        <v>337</v>
      </c>
      <c r="D16" s="471" t="s">
        <v>338</v>
      </c>
      <c r="E16" s="471" t="s">
        <v>339</v>
      </c>
      <c r="F16" s="472"/>
      <c r="G16" s="472"/>
      <c r="H16" s="485">
        <v>0</v>
      </c>
      <c r="I16" s="472">
        <v>256</v>
      </c>
      <c r="J16" s="472">
        <v>62113.279999999999</v>
      </c>
      <c r="K16" s="485">
        <v>1</v>
      </c>
      <c r="L16" s="472">
        <v>256</v>
      </c>
      <c r="M16" s="520">
        <v>62113.279999999999</v>
      </c>
    </row>
    <row r="17" spans="1:13" ht="14.4" customHeight="1" x14ac:dyDescent="0.3">
      <c r="A17" s="481" t="s">
        <v>311</v>
      </c>
      <c r="B17" s="471" t="s">
        <v>414</v>
      </c>
      <c r="C17" s="471" t="s">
        <v>345</v>
      </c>
      <c r="D17" s="471" t="s">
        <v>346</v>
      </c>
      <c r="E17" s="471" t="s">
        <v>344</v>
      </c>
      <c r="F17" s="472">
        <v>40</v>
      </c>
      <c r="G17" s="472">
        <v>1424.8</v>
      </c>
      <c r="H17" s="485">
        <v>1</v>
      </c>
      <c r="I17" s="472"/>
      <c r="J17" s="472"/>
      <c r="K17" s="485">
        <v>0</v>
      </c>
      <c r="L17" s="472">
        <v>40</v>
      </c>
      <c r="M17" s="520">
        <v>1424.8</v>
      </c>
    </row>
    <row r="18" spans="1:13" ht="14.4" customHeight="1" x14ac:dyDescent="0.3">
      <c r="A18" s="481" t="s">
        <v>311</v>
      </c>
      <c r="B18" s="471" t="s">
        <v>414</v>
      </c>
      <c r="C18" s="471" t="s">
        <v>342</v>
      </c>
      <c r="D18" s="471" t="s">
        <v>343</v>
      </c>
      <c r="E18" s="471" t="s">
        <v>344</v>
      </c>
      <c r="F18" s="472">
        <v>40</v>
      </c>
      <c r="G18" s="472">
        <v>1424.8</v>
      </c>
      <c r="H18" s="485">
        <v>1</v>
      </c>
      <c r="I18" s="472"/>
      <c r="J18" s="472"/>
      <c r="K18" s="485">
        <v>0</v>
      </c>
      <c r="L18" s="472">
        <v>40</v>
      </c>
      <c r="M18" s="520">
        <v>1424.8</v>
      </c>
    </row>
    <row r="19" spans="1:13" ht="14.4" customHeight="1" x14ac:dyDescent="0.3">
      <c r="A19" s="481" t="s">
        <v>311</v>
      </c>
      <c r="B19" s="471" t="s">
        <v>414</v>
      </c>
      <c r="C19" s="471" t="s">
        <v>347</v>
      </c>
      <c r="D19" s="471" t="s">
        <v>348</v>
      </c>
      <c r="E19" s="471" t="s">
        <v>329</v>
      </c>
      <c r="F19" s="472"/>
      <c r="G19" s="472"/>
      <c r="H19" s="485">
        <v>0</v>
      </c>
      <c r="I19" s="472">
        <v>12</v>
      </c>
      <c r="J19" s="472">
        <v>1200</v>
      </c>
      <c r="K19" s="485">
        <v>1</v>
      </c>
      <c r="L19" s="472">
        <v>12</v>
      </c>
      <c r="M19" s="520">
        <v>1200</v>
      </c>
    </row>
    <row r="20" spans="1:13" ht="14.4" customHeight="1" x14ac:dyDescent="0.3">
      <c r="A20" s="481" t="s">
        <v>312</v>
      </c>
      <c r="B20" s="471" t="s">
        <v>414</v>
      </c>
      <c r="C20" s="471" t="s">
        <v>349</v>
      </c>
      <c r="D20" s="471" t="s">
        <v>350</v>
      </c>
      <c r="E20" s="471" t="s">
        <v>320</v>
      </c>
      <c r="F20" s="472"/>
      <c r="G20" s="472"/>
      <c r="H20" s="485">
        <v>0</v>
      </c>
      <c r="I20" s="472">
        <v>30</v>
      </c>
      <c r="J20" s="472">
        <v>947.7</v>
      </c>
      <c r="K20" s="485">
        <v>1</v>
      </c>
      <c r="L20" s="472">
        <v>30</v>
      </c>
      <c r="M20" s="520">
        <v>947.7</v>
      </c>
    </row>
    <row r="21" spans="1:13" ht="14.4" customHeight="1" x14ac:dyDescent="0.3">
      <c r="A21" s="481" t="s">
        <v>312</v>
      </c>
      <c r="B21" s="471" t="s">
        <v>414</v>
      </c>
      <c r="C21" s="471" t="s">
        <v>325</v>
      </c>
      <c r="D21" s="471" t="s">
        <v>326</v>
      </c>
      <c r="E21" s="471" t="s">
        <v>320</v>
      </c>
      <c r="F21" s="472"/>
      <c r="G21" s="472"/>
      <c r="H21" s="485">
        <v>0</v>
      </c>
      <c r="I21" s="472">
        <v>30</v>
      </c>
      <c r="J21" s="472">
        <v>947.7</v>
      </c>
      <c r="K21" s="485">
        <v>1</v>
      </c>
      <c r="L21" s="472">
        <v>30</v>
      </c>
      <c r="M21" s="520">
        <v>947.7</v>
      </c>
    </row>
    <row r="22" spans="1:13" ht="14.4" customHeight="1" x14ac:dyDescent="0.3">
      <c r="A22" s="481" t="s">
        <v>313</v>
      </c>
      <c r="B22" s="471" t="s">
        <v>415</v>
      </c>
      <c r="C22" s="471" t="s">
        <v>365</v>
      </c>
      <c r="D22" s="471" t="s">
        <v>366</v>
      </c>
      <c r="E22" s="471" t="s">
        <v>367</v>
      </c>
      <c r="F22" s="472"/>
      <c r="G22" s="472"/>
      <c r="H22" s="485"/>
      <c r="I22" s="472">
        <v>1</v>
      </c>
      <c r="J22" s="472">
        <v>0</v>
      </c>
      <c r="K22" s="485"/>
      <c r="L22" s="472">
        <v>1</v>
      </c>
      <c r="M22" s="520">
        <v>0</v>
      </c>
    </row>
    <row r="23" spans="1:13" ht="14.4" customHeight="1" x14ac:dyDescent="0.3">
      <c r="A23" s="481" t="s">
        <v>313</v>
      </c>
      <c r="B23" s="471" t="s">
        <v>414</v>
      </c>
      <c r="C23" s="471" t="s">
        <v>372</v>
      </c>
      <c r="D23" s="471" t="s">
        <v>373</v>
      </c>
      <c r="E23" s="471" t="s">
        <v>320</v>
      </c>
      <c r="F23" s="472"/>
      <c r="G23" s="472"/>
      <c r="H23" s="485">
        <v>0</v>
      </c>
      <c r="I23" s="472">
        <v>48</v>
      </c>
      <c r="J23" s="472">
        <v>1564.8000000000002</v>
      </c>
      <c r="K23" s="485">
        <v>1</v>
      </c>
      <c r="L23" s="472">
        <v>48</v>
      </c>
      <c r="M23" s="520">
        <v>1564.8000000000002</v>
      </c>
    </row>
    <row r="24" spans="1:13" ht="14.4" customHeight="1" x14ac:dyDescent="0.3">
      <c r="A24" s="481" t="s">
        <v>313</v>
      </c>
      <c r="B24" s="471" t="s">
        <v>414</v>
      </c>
      <c r="C24" s="471" t="s">
        <v>374</v>
      </c>
      <c r="D24" s="471" t="s">
        <v>375</v>
      </c>
      <c r="E24" s="471" t="s">
        <v>320</v>
      </c>
      <c r="F24" s="472"/>
      <c r="G24" s="472"/>
      <c r="H24" s="485">
        <v>0</v>
      </c>
      <c r="I24" s="472">
        <v>70</v>
      </c>
      <c r="J24" s="472">
        <v>2266.6000000000004</v>
      </c>
      <c r="K24" s="485">
        <v>1</v>
      </c>
      <c r="L24" s="472">
        <v>70</v>
      </c>
      <c r="M24" s="520">
        <v>2266.6000000000004</v>
      </c>
    </row>
    <row r="25" spans="1:13" ht="14.4" customHeight="1" x14ac:dyDescent="0.3">
      <c r="A25" s="481" t="s">
        <v>313</v>
      </c>
      <c r="B25" s="471" t="s">
        <v>414</v>
      </c>
      <c r="C25" s="471" t="s">
        <v>315</v>
      </c>
      <c r="D25" s="471" t="s">
        <v>316</v>
      </c>
      <c r="E25" s="471" t="s">
        <v>317</v>
      </c>
      <c r="F25" s="472"/>
      <c r="G25" s="472"/>
      <c r="H25" s="485">
        <v>0</v>
      </c>
      <c r="I25" s="472">
        <v>483</v>
      </c>
      <c r="J25" s="472">
        <v>93827.579999999987</v>
      </c>
      <c r="K25" s="485">
        <v>1</v>
      </c>
      <c r="L25" s="472">
        <v>483</v>
      </c>
      <c r="M25" s="520">
        <v>93827.579999999987</v>
      </c>
    </row>
    <row r="26" spans="1:13" ht="14.4" customHeight="1" x14ac:dyDescent="0.3">
      <c r="A26" s="481" t="s">
        <v>313</v>
      </c>
      <c r="B26" s="471" t="s">
        <v>414</v>
      </c>
      <c r="C26" s="471" t="s">
        <v>321</v>
      </c>
      <c r="D26" s="471" t="s">
        <v>322</v>
      </c>
      <c r="E26" s="471" t="s">
        <v>320</v>
      </c>
      <c r="F26" s="472"/>
      <c r="G26" s="472"/>
      <c r="H26" s="485">
        <v>0</v>
      </c>
      <c r="I26" s="472">
        <v>30</v>
      </c>
      <c r="J26" s="472">
        <v>631.79999999999995</v>
      </c>
      <c r="K26" s="485">
        <v>1</v>
      </c>
      <c r="L26" s="472">
        <v>30</v>
      </c>
      <c r="M26" s="520">
        <v>631.79999999999995</v>
      </c>
    </row>
    <row r="27" spans="1:13" ht="14.4" customHeight="1" x14ac:dyDescent="0.3">
      <c r="A27" s="481" t="s">
        <v>313</v>
      </c>
      <c r="B27" s="471" t="s">
        <v>414</v>
      </c>
      <c r="C27" s="471" t="s">
        <v>376</v>
      </c>
      <c r="D27" s="471" t="s">
        <v>377</v>
      </c>
      <c r="E27" s="471" t="s">
        <v>320</v>
      </c>
      <c r="F27" s="472"/>
      <c r="G27" s="472"/>
      <c r="H27" s="485">
        <v>0</v>
      </c>
      <c r="I27" s="472">
        <v>210</v>
      </c>
      <c r="J27" s="472">
        <v>5529.2999999999993</v>
      </c>
      <c r="K27" s="485">
        <v>1</v>
      </c>
      <c r="L27" s="472">
        <v>210</v>
      </c>
      <c r="M27" s="520">
        <v>5529.2999999999993</v>
      </c>
    </row>
    <row r="28" spans="1:13" ht="14.4" customHeight="1" x14ac:dyDescent="0.3">
      <c r="A28" s="481" t="s">
        <v>313</v>
      </c>
      <c r="B28" s="471" t="s">
        <v>414</v>
      </c>
      <c r="C28" s="471" t="s">
        <v>378</v>
      </c>
      <c r="D28" s="471" t="s">
        <v>379</v>
      </c>
      <c r="E28" s="471" t="s">
        <v>320</v>
      </c>
      <c r="F28" s="472"/>
      <c r="G28" s="472"/>
      <c r="H28" s="485">
        <v>0</v>
      </c>
      <c r="I28" s="472">
        <v>70</v>
      </c>
      <c r="J28" s="472">
        <v>1843.1</v>
      </c>
      <c r="K28" s="485">
        <v>1</v>
      </c>
      <c r="L28" s="472">
        <v>70</v>
      </c>
      <c r="M28" s="520">
        <v>1843.1</v>
      </c>
    </row>
    <row r="29" spans="1:13" ht="14.4" customHeight="1" x14ac:dyDescent="0.3">
      <c r="A29" s="481" t="s">
        <v>313</v>
      </c>
      <c r="B29" s="471" t="s">
        <v>414</v>
      </c>
      <c r="C29" s="471" t="s">
        <v>380</v>
      </c>
      <c r="D29" s="471" t="s">
        <v>381</v>
      </c>
      <c r="E29" s="471" t="s">
        <v>320</v>
      </c>
      <c r="F29" s="472"/>
      <c r="G29" s="472"/>
      <c r="H29" s="485">
        <v>0</v>
      </c>
      <c r="I29" s="472">
        <v>80</v>
      </c>
      <c r="J29" s="472">
        <v>2106.3999999999996</v>
      </c>
      <c r="K29" s="485">
        <v>1</v>
      </c>
      <c r="L29" s="472">
        <v>80</v>
      </c>
      <c r="M29" s="520">
        <v>2106.3999999999996</v>
      </c>
    </row>
    <row r="30" spans="1:13" ht="14.4" customHeight="1" x14ac:dyDescent="0.3">
      <c r="A30" s="481" t="s">
        <v>313</v>
      </c>
      <c r="B30" s="471" t="s">
        <v>414</v>
      </c>
      <c r="C30" s="471" t="s">
        <v>340</v>
      </c>
      <c r="D30" s="471" t="s">
        <v>341</v>
      </c>
      <c r="E30" s="471" t="s">
        <v>329</v>
      </c>
      <c r="F30" s="472"/>
      <c r="G30" s="472"/>
      <c r="H30" s="485">
        <v>0</v>
      </c>
      <c r="I30" s="472">
        <v>60</v>
      </c>
      <c r="J30" s="472">
        <v>4739.3999999999996</v>
      </c>
      <c r="K30" s="485">
        <v>1</v>
      </c>
      <c r="L30" s="472">
        <v>60</v>
      </c>
      <c r="M30" s="520">
        <v>4739.3999999999996</v>
      </c>
    </row>
    <row r="31" spans="1:13" ht="14.4" customHeight="1" x14ac:dyDescent="0.3">
      <c r="A31" s="481" t="s">
        <v>313</v>
      </c>
      <c r="B31" s="471" t="s">
        <v>414</v>
      </c>
      <c r="C31" s="471" t="s">
        <v>325</v>
      </c>
      <c r="D31" s="471" t="s">
        <v>326</v>
      </c>
      <c r="E31" s="471" t="s">
        <v>320</v>
      </c>
      <c r="F31" s="472"/>
      <c r="G31" s="472"/>
      <c r="H31" s="485">
        <v>0</v>
      </c>
      <c r="I31" s="472">
        <v>10</v>
      </c>
      <c r="J31" s="472">
        <v>315.89999999999998</v>
      </c>
      <c r="K31" s="485">
        <v>1</v>
      </c>
      <c r="L31" s="472">
        <v>10</v>
      </c>
      <c r="M31" s="520">
        <v>315.89999999999998</v>
      </c>
    </row>
    <row r="32" spans="1:13" ht="14.4" customHeight="1" x14ac:dyDescent="0.3">
      <c r="A32" s="481" t="s">
        <v>313</v>
      </c>
      <c r="B32" s="471" t="s">
        <v>414</v>
      </c>
      <c r="C32" s="471" t="s">
        <v>327</v>
      </c>
      <c r="D32" s="471" t="s">
        <v>328</v>
      </c>
      <c r="E32" s="471" t="s">
        <v>329</v>
      </c>
      <c r="F32" s="472"/>
      <c r="G32" s="472"/>
      <c r="H32" s="485">
        <v>0</v>
      </c>
      <c r="I32" s="472">
        <v>180</v>
      </c>
      <c r="J32" s="472">
        <v>18955.800000000003</v>
      </c>
      <c r="K32" s="485">
        <v>1</v>
      </c>
      <c r="L32" s="472">
        <v>180</v>
      </c>
      <c r="M32" s="520">
        <v>18955.800000000003</v>
      </c>
    </row>
    <row r="33" spans="1:13" ht="14.4" customHeight="1" x14ac:dyDescent="0.3">
      <c r="A33" s="481" t="s">
        <v>313</v>
      </c>
      <c r="B33" s="471" t="s">
        <v>414</v>
      </c>
      <c r="C33" s="471" t="s">
        <v>382</v>
      </c>
      <c r="D33" s="471" t="s">
        <v>328</v>
      </c>
      <c r="E33" s="471" t="s">
        <v>383</v>
      </c>
      <c r="F33" s="472"/>
      <c r="G33" s="472"/>
      <c r="H33" s="485">
        <v>0</v>
      </c>
      <c r="I33" s="472">
        <v>120</v>
      </c>
      <c r="J33" s="472">
        <v>6319.2</v>
      </c>
      <c r="K33" s="485">
        <v>1</v>
      </c>
      <c r="L33" s="472">
        <v>120</v>
      </c>
      <c r="M33" s="520">
        <v>6319.2</v>
      </c>
    </row>
    <row r="34" spans="1:13" ht="14.4" customHeight="1" x14ac:dyDescent="0.3">
      <c r="A34" s="481" t="s">
        <v>313</v>
      </c>
      <c r="B34" s="471" t="s">
        <v>414</v>
      </c>
      <c r="C34" s="471" t="s">
        <v>384</v>
      </c>
      <c r="D34" s="471" t="s">
        <v>385</v>
      </c>
      <c r="E34" s="471" t="s">
        <v>329</v>
      </c>
      <c r="F34" s="472"/>
      <c r="G34" s="472"/>
      <c r="H34" s="485">
        <v>0</v>
      </c>
      <c r="I34" s="472">
        <v>270</v>
      </c>
      <c r="J34" s="472">
        <v>29286.9</v>
      </c>
      <c r="K34" s="485">
        <v>1</v>
      </c>
      <c r="L34" s="472">
        <v>270</v>
      </c>
      <c r="M34" s="520">
        <v>29286.9</v>
      </c>
    </row>
    <row r="35" spans="1:13" ht="14.4" customHeight="1" x14ac:dyDescent="0.3">
      <c r="A35" s="481" t="s">
        <v>313</v>
      </c>
      <c r="B35" s="471" t="s">
        <v>414</v>
      </c>
      <c r="C35" s="471" t="s">
        <v>387</v>
      </c>
      <c r="D35" s="471" t="s">
        <v>388</v>
      </c>
      <c r="E35" s="471" t="s">
        <v>320</v>
      </c>
      <c r="F35" s="472"/>
      <c r="G35" s="472"/>
      <c r="H35" s="485">
        <v>0</v>
      </c>
      <c r="I35" s="472">
        <v>30</v>
      </c>
      <c r="J35" s="472">
        <v>657.3</v>
      </c>
      <c r="K35" s="485">
        <v>1</v>
      </c>
      <c r="L35" s="472">
        <v>30</v>
      </c>
      <c r="M35" s="520">
        <v>657.3</v>
      </c>
    </row>
    <row r="36" spans="1:13" ht="14.4" customHeight="1" x14ac:dyDescent="0.3">
      <c r="A36" s="481" t="s">
        <v>313</v>
      </c>
      <c r="B36" s="471" t="s">
        <v>414</v>
      </c>
      <c r="C36" s="471" t="s">
        <v>330</v>
      </c>
      <c r="D36" s="471" t="s">
        <v>331</v>
      </c>
      <c r="E36" s="471" t="s">
        <v>332</v>
      </c>
      <c r="F36" s="472"/>
      <c r="G36" s="472"/>
      <c r="H36" s="485">
        <v>0</v>
      </c>
      <c r="I36" s="472">
        <v>40</v>
      </c>
      <c r="J36" s="472">
        <v>5093.6000000000004</v>
      </c>
      <c r="K36" s="485">
        <v>1</v>
      </c>
      <c r="L36" s="472">
        <v>40</v>
      </c>
      <c r="M36" s="520">
        <v>5093.6000000000004</v>
      </c>
    </row>
    <row r="37" spans="1:13" ht="14.4" customHeight="1" x14ac:dyDescent="0.3">
      <c r="A37" s="481" t="s">
        <v>313</v>
      </c>
      <c r="B37" s="471" t="s">
        <v>414</v>
      </c>
      <c r="C37" s="471" t="s">
        <v>333</v>
      </c>
      <c r="D37" s="471" t="s">
        <v>334</v>
      </c>
      <c r="E37" s="471" t="s">
        <v>332</v>
      </c>
      <c r="F37" s="472"/>
      <c r="G37" s="472"/>
      <c r="H37" s="485">
        <v>0</v>
      </c>
      <c r="I37" s="472">
        <v>10</v>
      </c>
      <c r="J37" s="472">
        <v>1273.4000000000001</v>
      </c>
      <c r="K37" s="485">
        <v>1</v>
      </c>
      <c r="L37" s="472">
        <v>10</v>
      </c>
      <c r="M37" s="520">
        <v>1273.4000000000001</v>
      </c>
    </row>
    <row r="38" spans="1:13" ht="14.4" customHeight="1" x14ac:dyDescent="0.3">
      <c r="A38" s="481" t="s">
        <v>313</v>
      </c>
      <c r="B38" s="471" t="s">
        <v>414</v>
      </c>
      <c r="C38" s="471" t="s">
        <v>335</v>
      </c>
      <c r="D38" s="471" t="s">
        <v>336</v>
      </c>
      <c r="E38" s="471" t="s">
        <v>332</v>
      </c>
      <c r="F38" s="472"/>
      <c r="G38" s="472"/>
      <c r="H38" s="485">
        <v>0</v>
      </c>
      <c r="I38" s="472">
        <v>10</v>
      </c>
      <c r="J38" s="472">
        <v>1273.4000000000001</v>
      </c>
      <c r="K38" s="485">
        <v>1</v>
      </c>
      <c r="L38" s="472">
        <v>10</v>
      </c>
      <c r="M38" s="520">
        <v>1273.4000000000001</v>
      </c>
    </row>
    <row r="39" spans="1:13" ht="14.4" customHeight="1" x14ac:dyDescent="0.3">
      <c r="A39" s="481" t="s">
        <v>313</v>
      </c>
      <c r="B39" s="471" t="s">
        <v>414</v>
      </c>
      <c r="C39" s="471" t="s">
        <v>386</v>
      </c>
      <c r="D39" s="471" t="s">
        <v>338</v>
      </c>
      <c r="E39" s="471" t="s">
        <v>329</v>
      </c>
      <c r="F39" s="472"/>
      <c r="G39" s="472"/>
      <c r="H39" s="485">
        <v>0</v>
      </c>
      <c r="I39" s="472">
        <v>180</v>
      </c>
      <c r="J39" s="472">
        <v>29210.400000000001</v>
      </c>
      <c r="K39" s="485">
        <v>1</v>
      </c>
      <c r="L39" s="472">
        <v>180</v>
      </c>
      <c r="M39" s="520">
        <v>29210.400000000001</v>
      </c>
    </row>
    <row r="40" spans="1:13" ht="14.4" customHeight="1" x14ac:dyDescent="0.3">
      <c r="A40" s="481" t="s">
        <v>313</v>
      </c>
      <c r="B40" s="471" t="s">
        <v>414</v>
      </c>
      <c r="C40" s="471" t="s">
        <v>337</v>
      </c>
      <c r="D40" s="471" t="s">
        <v>338</v>
      </c>
      <c r="E40" s="471" t="s">
        <v>339</v>
      </c>
      <c r="F40" s="472"/>
      <c r="G40" s="472"/>
      <c r="H40" s="485">
        <v>0</v>
      </c>
      <c r="I40" s="472">
        <v>420</v>
      </c>
      <c r="J40" s="472">
        <v>101904.6</v>
      </c>
      <c r="K40" s="485">
        <v>1</v>
      </c>
      <c r="L40" s="472">
        <v>420</v>
      </c>
      <c r="M40" s="520">
        <v>101904.6</v>
      </c>
    </row>
    <row r="41" spans="1:13" ht="14.4" customHeight="1" x14ac:dyDescent="0.3">
      <c r="A41" s="481" t="s">
        <v>313</v>
      </c>
      <c r="B41" s="471" t="s">
        <v>414</v>
      </c>
      <c r="C41" s="471" t="s">
        <v>392</v>
      </c>
      <c r="D41" s="471" t="s">
        <v>393</v>
      </c>
      <c r="E41" s="471" t="s">
        <v>391</v>
      </c>
      <c r="F41" s="472"/>
      <c r="G41" s="472"/>
      <c r="H41" s="485">
        <v>0</v>
      </c>
      <c r="I41" s="472">
        <v>30</v>
      </c>
      <c r="J41" s="472">
        <v>3885.2999999999997</v>
      </c>
      <c r="K41" s="485">
        <v>1</v>
      </c>
      <c r="L41" s="472">
        <v>30</v>
      </c>
      <c r="M41" s="520">
        <v>3885.2999999999997</v>
      </c>
    </row>
    <row r="42" spans="1:13" ht="14.4" customHeight="1" x14ac:dyDescent="0.3">
      <c r="A42" s="481" t="s">
        <v>313</v>
      </c>
      <c r="B42" s="471" t="s">
        <v>414</v>
      </c>
      <c r="C42" s="471" t="s">
        <v>389</v>
      </c>
      <c r="D42" s="471" t="s">
        <v>390</v>
      </c>
      <c r="E42" s="471" t="s">
        <v>391</v>
      </c>
      <c r="F42" s="472"/>
      <c r="G42" s="472"/>
      <c r="H42" s="485">
        <v>0</v>
      </c>
      <c r="I42" s="472">
        <v>25</v>
      </c>
      <c r="J42" s="472">
        <v>3237.75</v>
      </c>
      <c r="K42" s="485">
        <v>1</v>
      </c>
      <c r="L42" s="472">
        <v>25</v>
      </c>
      <c r="M42" s="520">
        <v>3237.75</v>
      </c>
    </row>
    <row r="43" spans="1:13" ht="14.4" customHeight="1" thickBot="1" x14ac:dyDescent="0.35">
      <c r="A43" s="482" t="s">
        <v>313</v>
      </c>
      <c r="B43" s="474" t="s">
        <v>414</v>
      </c>
      <c r="C43" s="474" t="s">
        <v>347</v>
      </c>
      <c r="D43" s="474" t="s">
        <v>348</v>
      </c>
      <c r="E43" s="474" t="s">
        <v>329</v>
      </c>
      <c r="F43" s="475"/>
      <c r="G43" s="475"/>
      <c r="H43" s="487">
        <v>0</v>
      </c>
      <c r="I43" s="475">
        <v>90</v>
      </c>
      <c r="J43" s="475">
        <v>9000</v>
      </c>
      <c r="K43" s="487">
        <v>1</v>
      </c>
      <c r="L43" s="475">
        <v>90</v>
      </c>
      <c r="M43" s="521">
        <v>9000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0" t="s">
        <v>135</v>
      </c>
      <c r="B1" s="351"/>
      <c r="C1" s="351"/>
      <c r="D1" s="351"/>
      <c r="E1" s="351"/>
      <c r="F1" s="351"/>
      <c r="G1" s="322"/>
      <c r="H1" s="352"/>
      <c r="I1" s="352"/>
    </row>
    <row r="2" spans="1:10" ht="14.4" customHeight="1" thickBot="1" x14ac:dyDescent="0.35">
      <c r="A2" s="231" t="s">
        <v>244</v>
      </c>
      <c r="B2" s="207"/>
      <c r="C2" s="207"/>
      <c r="D2" s="207"/>
      <c r="E2" s="207"/>
      <c r="F2" s="207"/>
    </row>
    <row r="3" spans="1:10" ht="14.4" customHeight="1" thickBot="1" x14ac:dyDescent="0.35">
      <c r="A3" s="231"/>
      <c r="B3" s="207"/>
      <c r="C3" s="299">
        <v>2013</v>
      </c>
      <c r="D3" s="300">
        <v>2014</v>
      </c>
      <c r="E3" s="7"/>
      <c r="F3" s="345">
        <v>2015</v>
      </c>
      <c r="G3" s="346"/>
      <c r="H3" s="346"/>
      <c r="I3" s="347"/>
    </row>
    <row r="4" spans="1:10" ht="14.4" customHeight="1" thickBot="1" x14ac:dyDescent="0.35">
      <c r="A4" s="304" t="s">
        <v>0</v>
      </c>
      <c r="B4" s="305" t="s">
        <v>219</v>
      </c>
      <c r="C4" s="348" t="s">
        <v>71</v>
      </c>
      <c r="D4" s="349"/>
      <c r="E4" s="306"/>
      <c r="F4" s="301" t="s">
        <v>71</v>
      </c>
      <c r="G4" s="302" t="s">
        <v>72</v>
      </c>
      <c r="H4" s="302" t="s">
        <v>66</v>
      </c>
      <c r="I4" s="303" t="s">
        <v>73</v>
      </c>
    </row>
    <row r="5" spans="1:10" ht="14.4" customHeight="1" x14ac:dyDescent="0.3">
      <c r="A5" s="457" t="s">
        <v>305</v>
      </c>
      <c r="B5" s="458" t="s">
        <v>300</v>
      </c>
      <c r="C5" s="536" t="s">
        <v>303</v>
      </c>
      <c r="D5" s="536" t="s">
        <v>303</v>
      </c>
      <c r="E5" s="536"/>
      <c r="F5" s="536" t="s">
        <v>303</v>
      </c>
      <c r="G5" s="536" t="s">
        <v>303</v>
      </c>
      <c r="H5" s="536" t="s">
        <v>303</v>
      </c>
      <c r="I5" s="537" t="s">
        <v>303</v>
      </c>
      <c r="J5" s="459" t="s">
        <v>67</v>
      </c>
    </row>
    <row r="6" spans="1:10" ht="14.4" customHeight="1" x14ac:dyDescent="0.3">
      <c r="A6" s="457" t="s">
        <v>305</v>
      </c>
      <c r="B6" s="458" t="s">
        <v>254</v>
      </c>
      <c r="C6" s="536">
        <v>2.3199100000000001</v>
      </c>
      <c r="D6" s="536">
        <v>2.9211799999999997</v>
      </c>
      <c r="E6" s="536"/>
      <c r="F6" s="536">
        <v>11.675199999999</v>
      </c>
      <c r="G6" s="536">
        <v>3.8333332125924997</v>
      </c>
      <c r="H6" s="536">
        <v>7.8418667874065004</v>
      </c>
      <c r="I6" s="537">
        <v>3.045704443758233</v>
      </c>
      <c r="J6" s="459" t="s">
        <v>1</v>
      </c>
    </row>
    <row r="7" spans="1:10" ht="14.4" customHeight="1" x14ac:dyDescent="0.3">
      <c r="A7" s="457" t="s">
        <v>305</v>
      </c>
      <c r="B7" s="458" t="s">
        <v>255</v>
      </c>
      <c r="C7" s="536">
        <v>5.6098999999999997</v>
      </c>
      <c r="D7" s="536">
        <v>59.477850000000004</v>
      </c>
      <c r="E7" s="536"/>
      <c r="F7" s="536">
        <v>44.724649999999997</v>
      </c>
      <c r="G7" s="536">
        <v>52.833331669211333</v>
      </c>
      <c r="H7" s="536">
        <v>-8.1086816692113359</v>
      </c>
      <c r="I7" s="537">
        <v>0.84652337051201565</v>
      </c>
      <c r="J7" s="459" t="s">
        <v>1</v>
      </c>
    </row>
    <row r="8" spans="1:10" ht="14.4" customHeight="1" x14ac:dyDescent="0.3">
      <c r="A8" s="457" t="s">
        <v>305</v>
      </c>
      <c r="B8" s="458" t="s">
        <v>256</v>
      </c>
      <c r="C8" s="536">
        <v>8.4822000000000006</v>
      </c>
      <c r="D8" s="536">
        <v>1.7157</v>
      </c>
      <c r="E8" s="536"/>
      <c r="F8" s="536">
        <v>12.20856</v>
      </c>
      <c r="G8" s="536">
        <v>8.8333330551046672</v>
      </c>
      <c r="H8" s="536">
        <v>3.3752269448953331</v>
      </c>
      <c r="I8" s="537">
        <v>1.3821011756083208</v>
      </c>
      <c r="J8" s="459" t="s">
        <v>1</v>
      </c>
    </row>
    <row r="9" spans="1:10" ht="14.4" customHeight="1" x14ac:dyDescent="0.3">
      <c r="A9" s="457" t="s">
        <v>305</v>
      </c>
      <c r="B9" s="458" t="s">
        <v>257</v>
      </c>
      <c r="C9" s="536">
        <v>0.13979999999999998</v>
      </c>
      <c r="D9" s="536">
        <v>3.1459999999999999</v>
      </c>
      <c r="E9" s="536"/>
      <c r="F9" s="536">
        <v>1.8290299999999999</v>
      </c>
      <c r="G9" s="536">
        <v>2.8333332440901664</v>
      </c>
      <c r="H9" s="536">
        <v>-1.0043032440901665</v>
      </c>
      <c r="I9" s="537">
        <v>0.64554002033295377</v>
      </c>
      <c r="J9" s="459" t="s">
        <v>1</v>
      </c>
    </row>
    <row r="10" spans="1:10" ht="14.4" customHeight="1" x14ac:dyDescent="0.3">
      <c r="A10" s="457" t="s">
        <v>305</v>
      </c>
      <c r="B10" s="458" t="s">
        <v>258</v>
      </c>
      <c r="C10" s="536">
        <v>1.2796700000000001</v>
      </c>
      <c r="D10" s="536">
        <v>1.875</v>
      </c>
      <c r="E10" s="536"/>
      <c r="F10" s="536">
        <v>0.67500000000000004</v>
      </c>
      <c r="G10" s="536">
        <v>2.4999999212559998</v>
      </c>
      <c r="H10" s="536">
        <v>-1.8249999212559997</v>
      </c>
      <c r="I10" s="537">
        <v>0.2700000085043523</v>
      </c>
      <c r="J10" s="459" t="s">
        <v>1</v>
      </c>
    </row>
    <row r="11" spans="1:10" ht="14.4" customHeight="1" x14ac:dyDescent="0.3">
      <c r="A11" s="457" t="s">
        <v>305</v>
      </c>
      <c r="B11" s="458" t="s">
        <v>259</v>
      </c>
      <c r="C11" s="536">
        <v>0</v>
      </c>
      <c r="D11" s="536">
        <v>0</v>
      </c>
      <c r="E11" s="536"/>
      <c r="F11" s="536">
        <v>0</v>
      </c>
      <c r="G11" s="536">
        <v>3.166666566924333</v>
      </c>
      <c r="H11" s="536">
        <v>-3.166666566924333</v>
      </c>
      <c r="I11" s="537">
        <v>0</v>
      </c>
      <c r="J11" s="459" t="s">
        <v>1</v>
      </c>
    </row>
    <row r="12" spans="1:10" ht="14.4" customHeight="1" x14ac:dyDescent="0.3">
      <c r="A12" s="457" t="s">
        <v>305</v>
      </c>
      <c r="B12" s="458" t="s">
        <v>308</v>
      </c>
      <c r="C12" s="536">
        <v>17.831480000000003</v>
      </c>
      <c r="D12" s="536">
        <v>69.135730000000009</v>
      </c>
      <c r="E12" s="536"/>
      <c r="F12" s="536">
        <v>71.112439999998998</v>
      </c>
      <c r="G12" s="536">
        <v>73.99999766917901</v>
      </c>
      <c r="H12" s="536">
        <v>-2.887557669180012</v>
      </c>
      <c r="I12" s="537">
        <v>0.96097894918741766</v>
      </c>
      <c r="J12" s="459" t="s">
        <v>306</v>
      </c>
    </row>
    <row r="14" spans="1:10" ht="14.4" customHeight="1" x14ac:dyDescent="0.3">
      <c r="A14" s="457" t="s">
        <v>305</v>
      </c>
      <c r="B14" s="458" t="s">
        <v>300</v>
      </c>
      <c r="C14" s="536" t="s">
        <v>303</v>
      </c>
      <c r="D14" s="536" t="s">
        <v>303</v>
      </c>
      <c r="E14" s="536"/>
      <c r="F14" s="536" t="s">
        <v>303</v>
      </c>
      <c r="G14" s="536" t="s">
        <v>303</v>
      </c>
      <c r="H14" s="536" t="s">
        <v>303</v>
      </c>
      <c r="I14" s="537" t="s">
        <v>303</v>
      </c>
      <c r="J14" s="459" t="s">
        <v>67</v>
      </c>
    </row>
    <row r="15" spans="1:10" ht="14.4" customHeight="1" x14ac:dyDescent="0.3">
      <c r="A15" s="457" t="s">
        <v>417</v>
      </c>
      <c r="B15" s="458" t="s">
        <v>418</v>
      </c>
      <c r="C15" s="536" t="s">
        <v>303</v>
      </c>
      <c r="D15" s="536" t="s">
        <v>303</v>
      </c>
      <c r="E15" s="536"/>
      <c r="F15" s="536" t="s">
        <v>303</v>
      </c>
      <c r="G15" s="536" t="s">
        <v>303</v>
      </c>
      <c r="H15" s="536" t="s">
        <v>303</v>
      </c>
      <c r="I15" s="537" t="s">
        <v>303</v>
      </c>
      <c r="J15" s="459" t="s">
        <v>0</v>
      </c>
    </row>
    <row r="16" spans="1:10" ht="14.4" customHeight="1" x14ac:dyDescent="0.3">
      <c r="A16" s="457" t="s">
        <v>417</v>
      </c>
      <c r="B16" s="458" t="s">
        <v>254</v>
      </c>
      <c r="C16" s="536">
        <v>2.3199100000000001</v>
      </c>
      <c r="D16" s="536">
        <v>2.9211799999999997</v>
      </c>
      <c r="E16" s="536"/>
      <c r="F16" s="536">
        <v>11.675199999999</v>
      </c>
      <c r="G16" s="536">
        <v>3.8333332125924997</v>
      </c>
      <c r="H16" s="536">
        <v>7.8418667874065004</v>
      </c>
      <c r="I16" s="537">
        <v>3.045704443758233</v>
      </c>
      <c r="J16" s="459" t="s">
        <v>1</v>
      </c>
    </row>
    <row r="17" spans="1:10" ht="14.4" customHeight="1" x14ac:dyDescent="0.3">
      <c r="A17" s="457" t="s">
        <v>417</v>
      </c>
      <c r="B17" s="458" t="s">
        <v>255</v>
      </c>
      <c r="C17" s="536">
        <v>5.6098999999999997</v>
      </c>
      <c r="D17" s="536">
        <v>59.477850000000004</v>
      </c>
      <c r="E17" s="536"/>
      <c r="F17" s="536">
        <v>44.724649999999997</v>
      </c>
      <c r="G17" s="536">
        <v>52.833331669211333</v>
      </c>
      <c r="H17" s="536">
        <v>-8.1086816692113359</v>
      </c>
      <c r="I17" s="537">
        <v>0.84652337051201565</v>
      </c>
      <c r="J17" s="459" t="s">
        <v>1</v>
      </c>
    </row>
    <row r="18" spans="1:10" ht="14.4" customHeight="1" x14ac:dyDescent="0.3">
      <c r="A18" s="457" t="s">
        <v>417</v>
      </c>
      <c r="B18" s="458" t="s">
        <v>256</v>
      </c>
      <c r="C18" s="536">
        <v>8.4822000000000006</v>
      </c>
      <c r="D18" s="536">
        <v>1.7157</v>
      </c>
      <c r="E18" s="536"/>
      <c r="F18" s="536">
        <v>12.20856</v>
      </c>
      <c r="G18" s="536">
        <v>8.8333330551046672</v>
      </c>
      <c r="H18" s="536">
        <v>3.3752269448953331</v>
      </c>
      <c r="I18" s="537">
        <v>1.3821011756083208</v>
      </c>
      <c r="J18" s="459" t="s">
        <v>1</v>
      </c>
    </row>
    <row r="19" spans="1:10" ht="14.4" customHeight="1" x14ac:dyDescent="0.3">
      <c r="A19" s="457" t="s">
        <v>417</v>
      </c>
      <c r="B19" s="458" t="s">
        <v>257</v>
      </c>
      <c r="C19" s="536">
        <v>0.13979999999999998</v>
      </c>
      <c r="D19" s="536">
        <v>3.1459999999999999</v>
      </c>
      <c r="E19" s="536"/>
      <c r="F19" s="536">
        <v>1.8290299999999999</v>
      </c>
      <c r="G19" s="536">
        <v>2.8333332440901664</v>
      </c>
      <c r="H19" s="536">
        <v>-1.0043032440901665</v>
      </c>
      <c r="I19" s="537">
        <v>0.64554002033295377</v>
      </c>
      <c r="J19" s="459" t="s">
        <v>1</v>
      </c>
    </row>
    <row r="20" spans="1:10" ht="14.4" customHeight="1" x14ac:dyDescent="0.3">
      <c r="A20" s="457" t="s">
        <v>417</v>
      </c>
      <c r="B20" s="458" t="s">
        <v>258</v>
      </c>
      <c r="C20" s="536">
        <v>1.2796700000000001</v>
      </c>
      <c r="D20" s="536">
        <v>1.875</v>
      </c>
      <c r="E20" s="536"/>
      <c r="F20" s="536">
        <v>0.67500000000000004</v>
      </c>
      <c r="G20" s="536">
        <v>2.4999999212559998</v>
      </c>
      <c r="H20" s="536">
        <v>-1.8249999212559997</v>
      </c>
      <c r="I20" s="537">
        <v>0.2700000085043523</v>
      </c>
      <c r="J20" s="459" t="s">
        <v>1</v>
      </c>
    </row>
    <row r="21" spans="1:10" ht="14.4" customHeight="1" x14ac:dyDescent="0.3">
      <c r="A21" s="457" t="s">
        <v>417</v>
      </c>
      <c r="B21" s="458" t="s">
        <v>259</v>
      </c>
      <c r="C21" s="536">
        <v>0</v>
      </c>
      <c r="D21" s="536">
        <v>0</v>
      </c>
      <c r="E21" s="536"/>
      <c r="F21" s="536">
        <v>0</v>
      </c>
      <c r="G21" s="536">
        <v>3.166666566924333</v>
      </c>
      <c r="H21" s="536">
        <v>-3.166666566924333</v>
      </c>
      <c r="I21" s="537">
        <v>0</v>
      </c>
      <c r="J21" s="459" t="s">
        <v>1</v>
      </c>
    </row>
    <row r="22" spans="1:10" ht="14.4" customHeight="1" x14ac:dyDescent="0.3">
      <c r="A22" s="457" t="s">
        <v>417</v>
      </c>
      <c r="B22" s="458" t="s">
        <v>419</v>
      </c>
      <c r="C22" s="536">
        <v>17.831480000000003</v>
      </c>
      <c r="D22" s="536">
        <v>69.135730000000009</v>
      </c>
      <c r="E22" s="536"/>
      <c r="F22" s="536">
        <v>71.112439999998998</v>
      </c>
      <c r="G22" s="536">
        <v>73.99999766917901</v>
      </c>
      <c r="H22" s="536">
        <v>-2.887557669180012</v>
      </c>
      <c r="I22" s="537">
        <v>0.96097894918741766</v>
      </c>
      <c r="J22" s="459" t="s">
        <v>309</v>
      </c>
    </row>
    <row r="23" spans="1:10" ht="14.4" customHeight="1" x14ac:dyDescent="0.3">
      <c r="A23" s="457" t="s">
        <v>303</v>
      </c>
      <c r="B23" s="458" t="s">
        <v>303</v>
      </c>
      <c r="C23" s="536" t="s">
        <v>303</v>
      </c>
      <c r="D23" s="536" t="s">
        <v>303</v>
      </c>
      <c r="E23" s="536"/>
      <c r="F23" s="536" t="s">
        <v>303</v>
      </c>
      <c r="G23" s="536" t="s">
        <v>303</v>
      </c>
      <c r="H23" s="536" t="s">
        <v>303</v>
      </c>
      <c r="I23" s="537" t="s">
        <v>303</v>
      </c>
      <c r="J23" s="459" t="s">
        <v>310</v>
      </c>
    </row>
    <row r="24" spans="1:10" ht="14.4" customHeight="1" x14ac:dyDescent="0.3">
      <c r="A24" s="457" t="s">
        <v>305</v>
      </c>
      <c r="B24" s="458" t="s">
        <v>308</v>
      </c>
      <c r="C24" s="536">
        <v>17.831480000000003</v>
      </c>
      <c r="D24" s="536">
        <v>69.135730000000009</v>
      </c>
      <c r="E24" s="536"/>
      <c r="F24" s="536">
        <v>71.112439999998998</v>
      </c>
      <c r="G24" s="536">
        <v>73.99999766917901</v>
      </c>
      <c r="H24" s="536">
        <v>-2.887557669180012</v>
      </c>
      <c r="I24" s="537">
        <v>0.96097894918741766</v>
      </c>
      <c r="J24" s="459" t="s">
        <v>306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55" t="s">
        <v>474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4.4" customHeight="1" thickBot="1" x14ac:dyDescent="0.35">
      <c r="A2" s="231" t="s">
        <v>244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3"/>
      <c r="D3" s="354"/>
      <c r="E3" s="354"/>
      <c r="F3" s="354"/>
      <c r="G3" s="354"/>
      <c r="H3" s="142" t="s">
        <v>125</v>
      </c>
      <c r="I3" s="98">
        <f>IF(J3&lt;&gt;0,K3/J3,0)</f>
        <v>13.470816442508049</v>
      </c>
      <c r="J3" s="98">
        <f>SUBTOTAL(9,J5:J1048576)</f>
        <v>5279</v>
      </c>
      <c r="K3" s="99">
        <f>SUBTOTAL(9,K5:K1048576)</f>
        <v>71112.439999999988</v>
      </c>
    </row>
    <row r="4" spans="1:11" s="209" customFormat="1" ht="14.4" customHeight="1" thickBot="1" x14ac:dyDescent="0.35">
      <c r="A4" s="538" t="s">
        <v>4</v>
      </c>
      <c r="B4" s="539" t="s">
        <v>5</v>
      </c>
      <c r="C4" s="539" t="s">
        <v>0</v>
      </c>
      <c r="D4" s="539" t="s">
        <v>6</v>
      </c>
      <c r="E4" s="539" t="s">
        <v>7</v>
      </c>
      <c r="F4" s="539" t="s">
        <v>1</v>
      </c>
      <c r="G4" s="539" t="s">
        <v>69</v>
      </c>
      <c r="H4" s="540" t="s">
        <v>10</v>
      </c>
      <c r="I4" s="541" t="s">
        <v>138</v>
      </c>
      <c r="J4" s="541" t="s">
        <v>12</v>
      </c>
      <c r="K4" s="542" t="s">
        <v>152</v>
      </c>
    </row>
    <row r="5" spans="1:11" ht="14.4" customHeight="1" x14ac:dyDescent="0.3">
      <c r="A5" s="500" t="s">
        <v>305</v>
      </c>
      <c r="B5" s="501" t="s">
        <v>300</v>
      </c>
      <c r="C5" s="504" t="s">
        <v>417</v>
      </c>
      <c r="D5" s="543" t="s">
        <v>300</v>
      </c>
      <c r="E5" s="504" t="s">
        <v>464</v>
      </c>
      <c r="F5" s="543" t="s">
        <v>465</v>
      </c>
      <c r="G5" s="504" t="s">
        <v>420</v>
      </c>
      <c r="H5" s="504" t="s">
        <v>421</v>
      </c>
      <c r="I5" s="116">
        <v>42.45</v>
      </c>
      <c r="J5" s="116">
        <v>2</v>
      </c>
      <c r="K5" s="519">
        <v>84.9</v>
      </c>
    </row>
    <row r="6" spans="1:11" ht="14.4" customHeight="1" x14ac:dyDescent="0.3">
      <c r="A6" s="481" t="s">
        <v>305</v>
      </c>
      <c r="B6" s="471" t="s">
        <v>300</v>
      </c>
      <c r="C6" s="509" t="s">
        <v>417</v>
      </c>
      <c r="D6" s="544" t="s">
        <v>300</v>
      </c>
      <c r="E6" s="509" t="s">
        <v>464</v>
      </c>
      <c r="F6" s="544" t="s">
        <v>465</v>
      </c>
      <c r="G6" s="509" t="s">
        <v>422</v>
      </c>
      <c r="H6" s="509" t="s">
        <v>423</v>
      </c>
      <c r="I6" s="472">
        <v>4.6100000000000003</v>
      </c>
      <c r="J6" s="472">
        <v>50</v>
      </c>
      <c r="K6" s="520">
        <v>230.5</v>
      </c>
    </row>
    <row r="7" spans="1:11" ht="14.4" customHeight="1" x14ac:dyDescent="0.3">
      <c r="A7" s="481" t="s">
        <v>305</v>
      </c>
      <c r="B7" s="471" t="s">
        <v>300</v>
      </c>
      <c r="C7" s="509" t="s">
        <v>417</v>
      </c>
      <c r="D7" s="544" t="s">
        <v>300</v>
      </c>
      <c r="E7" s="509" t="s">
        <v>464</v>
      </c>
      <c r="F7" s="544" t="s">
        <v>465</v>
      </c>
      <c r="G7" s="509" t="s">
        <v>424</v>
      </c>
      <c r="H7" s="509" t="s">
        <v>425</v>
      </c>
      <c r="I7" s="472">
        <v>0.59</v>
      </c>
      <c r="J7" s="472">
        <v>200</v>
      </c>
      <c r="K7" s="520">
        <v>118</v>
      </c>
    </row>
    <row r="8" spans="1:11" ht="14.4" customHeight="1" x14ac:dyDescent="0.3">
      <c r="A8" s="481" t="s">
        <v>305</v>
      </c>
      <c r="B8" s="471" t="s">
        <v>300</v>
      </c>
      <c r="C8" s="509" t="s">
        <v>417</v>
      </c>
      <c r="D8" s="544" t="s">
        <v>300</v>
      </c>
      <c r="E8" s="509" t="s">
        <v>464</v>
      </c>
      <c r="F8" s="544" t="s">
        <v>465</v>
      </c>
      <c r="G8" s="509" t="s">
        <v>426</v>
      </c>
      <c r="H8" s="509" t="s">
        <v>427</v>
      </c>
      <c r="I8" s="472">
        <v>1.1749999999999998</v>
      </c>
      <c r="J8" s="472">
        <v>1200</v>
      </c>
      <c r="K8" s="520">
        <v>1412</v>
      </c>
    </row>
    <row r="9" spans="1:11" ht="14.4" customHeight="1" x14ac:dyDescent="0.3">
      <c r="A9" s="481" t="s">
        <v>305</v>
      </c>
      <c r="B9" s="471" t="s">
        <v>300</v>
      </c>
      <c r="C9" s="509" t="s">
        <v>417</v>
      </c>
      <c r="D9" s="544" t="s">
        <v>300</v>
      </c>
      <c r="E9" s="509" t="s">
        <v>464</v>
      </c>
      <c r="F9" s="544" t="s">
        <v>465</v>
      </c>
      <c r="G9" s="509" t="s">
        <v>428</v>
      </c>
      <c r="H9" s="509" t="s">
        <v>429</v>
      </c>
      <c r="I9" s="472">
        <v>0.56000000000000005</v>
      </c>
      <c r="J9" s="472">
        <v>500</v>
      </c>
      <c r="K9" s="520">
        <v>280</v>
      </c>
    </row>
    <row r="10" spans="1:11" ht="14.4" customHeight="1" x14ac:dyDescent="0.3">
      <c r="A10" s="481" t="s">
        <v>305</v>
      </c>
      <c r="B10" s="471" t="s">
        <v>300</v>
      </c>
      <c r="C10" s="509" t="s">
        <v>417</v>
      </c>
      <c r="D10" s="544" t="s">
        <v>300</v>
      </c>
      <c r="E10" s="509" t="s">
        <v>464</v>
      </c>
      <c r="F10" s="544" t="s">
        <v>465</v>
      </c>
      <c r="G10" s="509" t="s">
        <v>430</v>
      </c>
      <c r="H10" s="509" t="s">
        <v>431</v>
      </c>
      <c r="I10" s="472">
        <v>0.86</v>
      </c>
      <c r="J10" s="472">
        <v>100</v>
      </c>
      <c r="K10" s="520">
        <v>86</v>
      </c>
    </row>
    <row r="11" spans="1:11" ht="14.4" customHeight="1" x14ac:dyDescent="0.3">
      <c r="A11" s="481" t="s">
        <v>305</v>
      </c>
      <c r="B11" s="471" t="s">
        <v>300</v>
      </c>
      <c r="C11" s="509" t="s">
        <v>417</v>
      </c>
      <c r="D11" s="544" t="s">
        <v>300</v>
      </c>
      <c r="E11" s="509" t="s">
        <v>464</v>
      </c>
      <c r="F11" s="544" t="s">
        <v>465</v>
      </c>
      <c r="G11" s="509" t="s">
        <v>432</v>
      </c>
      <c r="H11" s="509" t="s">
        <v>433</v>
      </c>
      <c r="I11" s="472">
        <v>1.52</v>
      </c>
      <c r="J11" s="472">
        <v>100</v>
      </c>
      <c r="K11" s="520">
        <v>152</v>
      </c>
    </row>
    <row r="12" spans="1:11" ht="14.4" customHeight="1" x14ac:dyDescent="0.3">
      <c r="A12" s="481" t="s">
        <v>305</v>
      </c>
      <c r="B12" s="471" t="s">
        <v>300</v>
      </c>
      <c r="C12" s="509" t="s">
        <v>417</v>
      </c>
      <c r="D12" s="544" t="s">
        <v>300</v>
      </c>
      <c r="E12" s="509" t="s">
        <v>464</v>
      </c>
      <c r="F12" s="544" t="s">
        <v>465</v>
      </c>
      <c r="G12" s="509" t="s">
        <v>434</v>
      </c>
      <c r="H12" s="509" t="s">
        <v>435</v>
      </c>
      <c r="I12" s="472">
        <v>186.24</v>
      </c>
      <c r="J12" s="472">
        <v>50</v>
      </c>
      <c r="K12" s="520">
        <v>9311.7999999999993</v>
      </c>
    </row>
    <row r="13" spans="1:11" ht="14.4" customHeight="1" x14ac:dyDescent="0.3">
      <c r="A13" s="481" t="s">
        <v>305</v>
      </c>
      <c r="B13" s="471" t="s">
        <v>300</v>
      </c>
      <c r="C13" s="509" t="s">
        <v>417</v>
      </c>
      <c r="D13" s="544" t="s">
        <v>300</v>
      </c>
      <c r="E13" s="509" t="s">
        <v>466</v>
      </c>
      <c r="F13" s="544" t="s">
        <v>467</v>
      </c>
      <c r="G13" s="509" t="s">
        <v>436</v>
      </c>
      <c r="H13" s="509" t="s">
        <v>437</v>
      </c>
      <c r="I13" s="472">
        <v>2.97</v>
      </c>
      <c r="J13" s="472">
        <v>15</v>
      </c>
      <c r="K13" s="520">
        <v>44.55</v>
      </c>
    </row>
    <row r="14" spans="1:11" ht="14.4" customHeight="1" x14ac:dyDescent="0.3">
      <c r="A14" s="481" t="s">
        <v>305</v>
      </c>
      <c r="B14" s="471" t="s">
        <v>300</v>
      </c>
      <c r="C14" s="509" t="s">
        <v>417</v>
      </c>
      <c r="D14" s="544" t="s">
        <v>300</v>
      </c>
      <c r="E14" s="509" t="s">
        <v>466</v>
      </c>
      <c r="F14" s="544" t="s">
        <v>467</v>
      </c>
      <c r="G14" s="509" t="s">
        <v>438</v>
      </c>
      <c r="H14" s="509" t="s">
        <v>439</v>
      </c>
      <c r="I14" s="472">
        <v>11.14</v>
      </c>
      <c r="J14" s="472">
        <v>100</v>
      </c>
      <c r="K14" s="520">
        <v>1114</v>
      </c>
    </row>
    <row r="15" spans="1:11" ht="14.4" customHeight="1" x14ac:dyDescent="0.3">
      <c r="A15" s="481" t="s">
        <v>305</v>
      </c>
      <c r="B15" s="471" t="s">
        <v>300</v>
      </c>
      <c r="C15" s="509" t="s">
        <v>417</v>
      </c>
      <c r="D15" s="544" t="s">
        <v>300</v>
      </c>
      <c r="E15" s="509" t="s">
        <v>466</v>
      </c>
      <c r="F15" s="544" t="s">
        <v>467</v>
      </c>
      <c r="G15" s="509" t="s">
        <v>440</v>
      </c>
      <c r="H15" s="509" t="s">
        <v>441</v>
      </c>
      <c r="I15" s="472">
        <v>1.0900000000000001</v>
      </c>
      <c r="J15" s="472">
        <v>700</v>
      </c>
      <c r="K15" s="520">
        <v>763</v>
      </c>
    </row>
    <row r="16" spans="1:11" ht="14.4" customHeight="1" x14ac:dyDescent="0.3">
      <c r="A16" s="481" t="s">
        <v>305</v>
      </c>
      <c r="B16" s="471" t="s">
        <v>300</v>
      </c>
      <c r="C16" s="509" t="s">
        <v>417</v>
      </c>
      <c r="D16" s="544" t="s">
        <v>300</v>
      </c>
      <c r="E16" s="509" t="s">
        <v>466</v>
      </c>
      <c r="F16" s="544" t="s">
        <v>467</v>
      </c>
      <c r="G16" s="509" t="s">
        <v>442</v>
      </c>
      <c r="H16" s="509" t="s">
        <v>443</v>
      </c>
      <c r="I16" s="472">
        <v>1.6749999999999998</v>
      </c>
      <c r="J16" s="472">
        <v>550</v>
      </c>
      <c r="K16" s="520">
        <v>922.5</v>
      </c>
    </row>
    <row r="17" spans="1:11" ht="14.4" customHeight="1" x14ac:dyDescent="0.3">
      <c r="A17" s="481" t="s">
        <v>305</v>
      </c>
      <c r="B17" s="471" t="s">
        <v>300</v>
      </c>
      <c r="C17" s="509" t="s">
        <v>417</v>
      </c>
      <c r="D17" s="544" t="s">
        <v>300</v>
      </c>
      <c r="E17" s="509" t="s">
        <v>466</v>
      </c>
      <c r="F17" s="544" t="s">
        <v>467</v>
      </c>
      <c r="G17" s="509" t="s">
        <v>444</v>
      </c>
      <c r="H17" s="509" t="s">
        <v>445</v>
      </c>
      <c r="I17" s="472">
        <v>2.64</v>
      </c>
      <c r="J17" s="472">
        <v>10</v>
      </c>
      <c r="K17" s="520">
        <v>26.4</v>
      </c>
    </row>
    <row r="18" spans="1:11" ht="14.4" customHeight="1" x14ac:dyDescent="0.3">
      <c r="A18" s="481" t="s">
        <v>305</v>
      </c>
      <c r="B18" s="471" t="s">
        <v>300</v>
      </c>
      <c r="C18" s="509" t="s">
        <v>417</v>
      </c>
      <c r="D18" s="544" t="s">
        <v>300</v>
      </c>
      <c r="E18" s="509" t="s">
        <v>466</v>
      </c>
      <c r="F18" s="544" t="s">
        <v>467</v>
      </c>
      <c r="G18" s="509" t="s">
        <v>446</v>
      </c>
      <c r="H18" s="509" t="s">
        <v>447</v>
      </c>
      <c r="I18" s="472">
        <v>5.13</v>
      </c>
      <c r="J18" s="472">
        <v>110</v>
      </c>
      <c r="K18" s="520">
        <v>564.29999999999995</v>
      </c>
    </row>
    <row r="19" spans="1:11" ht="14.4" customHeight="1" x14ac:dyDescent="0.3">
      <c r="A19" s="481" t="s">
        <v>305</v>
      </c>
      <c r="B19" s="471" t="s">
        <v>300</v>
      </c>
      <c r="C19" s="509" t="s">
        <v>417</v>
      </c>
      <c r="D19" s="544" t="s">
        <v>300</v>
      </c>
      <c r="E19" s="509" t="s">
        <v>466</v>
      </c>
      <c r="F19" s="544" t="s">
        <v>467</v>
      </c>
      <c r="G19" s="509" t="s">
        <v>448</v>
      </c>
      <c r="H19" s="509" t="s">
        <v>449</v>
      </c>
      <c r="I19" s="472">
        <v>7.95</v>
      </c>
      <c r="J19" s="472">
        <v>250</v>
      </c>
      <c r="K19" s="520">
        <v>1987.5</v>
      </c>
    </row>
    <row r="20" spans="1:11" ht="14.4" customHeight="1" x14ac:dyDescent="0.3">
      <c r="A20" s="481" t="s">
        <v>305</v>
      </c>
      <c r="B20" s="471" t="s">
        <v>300</v>
      </c>
      <c r="C20" s="509" t="s">
        <v>417</v>
      </c>
      <c r="D20" s="544" t="s">
        <v>300</v>
      </c>
      <c r="E20" s="509" t="s">
        <v>466</v>
      </c>
      <c r="F20" s="544" t="s">
        <v>467</v>
      </c>
      <c r="G20" s="509" t="s">
        <v>450</v>
      </c>
      <c r="H20" s="509" t="s">
        <v>451</v>
      </c>
      <c r="I20" s="472">
        <v>216.7475</v>
      </c>
      <c r="J20" s="472">
        <v>180</v>
      </c>
      <c r="K20" s="520">
        <v>39014.699999999997</v>
      </c>
    </row>
    <row r="21" spans="1:11" ht="14.4" customHeight="1" x14ac:dyDescent="0.3">
      <c r="A21" s="481" t="s">
        <v>305</v>
      </c>
      <c r="B21" s="471" t="s">
        <v>300</v>
      </c>
      <c r="C21" s="509" t="s">
        <v>417</v>
      </c>
      <c r="D21" s="544" t="s">
        <v>300</v>
      </c>
      <c r="E21" s="509" t="s">
        <v>466</v>
      </c>
      <c r="F21" s="544" t="s">
        <v>467</v>
      </c>
      <c r="G21" s="509" t="s">
        <v>452</v>
      </c>
      <c r="H21" s="509" t="s">
        <v>453</v>
      </c>
      <c r="I21" s="472">
        <v>9.59</v>
      </c>
      <c r="J21" s="472">
        <v>30</v>
      </c>
      <c r="K21" s="520">
        <v>287.7</v>
      </c>
    </row>
    <row r="22" spans="1:11" ht="14.4" customHeight="1" x14ac:dyDescent="0.3">
      <c r="A22" s="481" t="s">
        <v>305</v>
      </c>
      <c r="B22" s="471" t="s">
        <v>300</v>
      </c>
      <c r="C22" s="509" t="s">
        <v>417</v>
      </c>
      <c r="D22" s="544" t="s">
        <v>300</v>
      </c>
      <c r="E22" s="509" t="s">
        <v>468</v>
      </c>
      <c r="F22" s="544" t="s">
        <v>469</v>
      </c>
      <c r="G22" s="509" t="s">
        <v>454</v>
      </c>
      <c r="H22" s="509" t="s">
        <v>455</v>
      </c>
      <c r="I22" s="472">
        <v>8.17</v>
      </c>
      <c r="J22" s="472">
        <v>300</v>
      </c>
      <c r="K22" s="520">
        <v>2451</v>
      </c>
    </row>
    <row r="23" spans="1:11" ht="14.4" customHeight="1" x14ac:dyDescent="0.3">
      <c r="A23" s="481" t="s">
        <v>305</v>
      </c>
      <c r="B23" s="471" t="s">
        <v>300</v>
      </c>
      <c r="C23" s="509" t="s">
        <v>417</v>
      </c>
      <c r="D23" s="544" t="s">
        <v>300</v>
      </c>
      <c r="E23" s="509" t="s">
        <v>468</v>
      </c>
      <c r="F23" s="544" t="s">
        <v>469</v>
      </c>
      <c r="G23" s="509" t="s">
        <v>456</v>
      </c>
      <c r="H23" s="509" t="s">
        <v>457</v>
      </c>
      <c r="I23" s="472">
        <v>162.625</v>
      </c>
      <c r="J23" s="472">
        <v>60</v>
      </c>
      <c r="K23" s="520">
        <v>9757.5600000000013</v>
      </c>
    </row>
    <row r="24" spans="1:11" ht="14.4" customHeight="1" x14ac:dyDescent="0.3">
      <c r="A24" s="481" t="s">
        <v>305</v>
      </c>
      <c r="B24" s="471" t="s">
        <v>300</v>
      </c>
      <c r="C24" s="509" t="s">
        <v>417</v>
      </c>
      <c r="D24" s="544" t="s">
        <v>300</v>
      </c>
      <c r="E24" s="509" t="s">
        <v>470</v>
      </c>
      <c r="F24" s="544" t="s">
        <v>471</v>
      </c>
      <c r="G24" s="509" t="s">
        <v>458</v>
      </c>
      <c r="H24" s="509" t="s">
        <v>459</v>
      </c>
      <c r="I24" s="472">
        <v>0.48499999999999999</v>
      </c>
      <c r="J24" s="472">
        <v>670</v>
      </c>
      <c r="K24" s="520">
        <v>323.3</v>
      </c>
    </row>
    <row r="25" spans="1:11" ht="14.4" customHeight="1" x14ac:dyDescent="0.3">
      <c r="A25" s="481" t="s">
        <v>305</v>
      </c>
      <c r="B25" s="471" t="s">
        <v>300</v>
      </c>
      <c r="C25" s="509" t="s">
        <v>417</v>
      </c>
      <c r="D25" s="544" t="s">
        <v>300</v>
      </c>
      <c r="E25" s="509" t="s">
        <v>470</v>
      </c>
      <c r="F25" s="544" t="s">
        <v>471</v>
      </c>
      <c r="G25" s="509" t="s">
        <v>460</v>
      </c>
      <c r="H25" s="509" t="s">
        <v>461</v>
      </c>
      <c r="I25" s="472">
        <v>125.48</v>
      </c>
      <c r="J25" s="472">
        <v>12</v>
      </c>
      <c r="K25" s="520">
        <v>1505.73</v>
      </c>
    </row>
    <row r="26" spans="1:11" ht="14.4" customHeight="1" thickBot="1" x14ac:dyDescent="0.35">
      <c r="A26" s="482" t="s">
        <v>305</v>
      </c>
      <c r="B26" s="474" t="s">
        <v>300</v>
      </c>
      <c r="C26" s="513" t="s">
        <v>417</v>
      </c>
      <c r="D26" s="545" t="s">
        <v>300</v>
      </c>
      <c r="E26" s="513" t="s">
        <v>472</v>
      </c>
      <c r="F26" s="545" t="s">
        <v>473</v>
      </c>
      <c r="G26" s="513" t="s">
        <v>462</v>
      </c>
      <c r="H26" s="513" t="s">
        <v>463</v>
      </c>
      <c r="I26" s="475">
        <v>7.5</v>
      </c>
      <c r="J26" s="475">
        <v>90</v>
      </c>
      <c r="K26" s="521">
        <v>675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J1"/>
    </sheetView>
  </sheetViews>
  <sheetFormatPr defaultRowHeight="14.4" outlineLevelRow="1" x14ac:dyDescent="0.3"/>
  <cols>
    <col min="1" max="1" width="37.21875" customWidth="1"/>
    <col min="2" max="36" width="13.109375" customWidth="1"/>
  </cols>
  <sheetData>
    <row r="1" spans="1:36" ht="18.600000000000001" thickBot="1" x14ac:dyDescent="0.4">
      <c r="A1" s="403" t="s">
        <v>105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</row>
    <row r="2" spans="1:36" ht="15" thickBot="1" x14ac:dyDescent="0.35">
      <c r="A2" s="231" t="s">
        <v>244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</row>
    <row r="3" spans="1:36" x14ac:dyDescent="0.3">
      <c r="A3" s="252" t="s">
        <v>179</v>
      </c>
      <c r="B3" s="404" t="s">
        <v>158</v>
      </c>
      <c r="C3" s="233">
        <v>0</v>
      </c>
      <c r="D3" s="234">
        <v>101</v>
      </c>
      <c r="E3" s="234">
        <v>102</v>
      </c>
      <c r="F3" s="254">
        <v>203</v>
      </c>
      <c r="G3" s="254">
        <v>305</v>
      </c>
      <c r="H3" s="254">
        <v>306</v>
      </c>
      <c r="I3" s="254">
        <v>408</v>
      </c>
      <c r="J3" s="254">
        <v>409</v>
      </c>
      <c r="K3" s="254">
        <v>410</v>
      </c>
      <c r="L3" s="254">
        <v>415</v>
      </c>
      <c r="M3" s="254">
        <v>416</v>
      </c>
      <c r="N3" s="254">
        <v>418</v>
      </c>
      <c r="O3" s="254">
        <v>419</v>
      </c>
      <c r="P3" s="254">
        <v>420</v>
      </c>
      <c r="Q3" s="254">
        <v>421</v>
      </c>
      <c r="R3" s="254">
        <v>522</v>
      </c>
      <c r="S3" s="254">
        <v>523</v>
      </c>
      <c r="T3" s="254">
        <v>524</v>
      </c>
      <c r="U3" s="254">
        <v>525</v>
      </c>
      <c r="V3" s="254">
        <v>526</v>
      </c>
      <c r="W3" s="254">
        <v>527</v>
      </c>
      <c r="X3" s="254">
        <v>528</v>
      </c>
      <c r="Y3" s="254">
        <v>629</v>
      </c>
      <c r="Z3" s="254">
        <v>630</v>
      </c>
      <c r="AA3" s="254">
        <v>636</v>
      </c>
      <c r="AB3" s="254">
        <v>637</v>
      </c>
      <c r="AC3" s="254">
        <v>640</v>
      </c>
      <c r="AD3" s="254">
        <v>642</v>
      </c>
      <c r="AE3" s="254">
        <v>743</v>
      </c>
      <c r="AF3" s="234">
        <v>745</v>
      </c>
      <c r="AG3" s="234">
        <v>746</v>
      </c>
      <c r="AH3" s="234">
        <v>747</v>
      </c>
      <c r="AI3" s="234">
        <v>930</v>
      </c>
      <c r="AJ3" s="235">
        <v>940</v>
      </c>
    </row>
    <row r="4" spans="1:36" ht="36.6" outlineLevel="1" thickBot="1" x14ac:dyDescent="0.35">
      <c r="A4" s="253">
        <v>2015</v>
      </c>
      <c r="B4" s="405"/>
      <c r="C4" s="236" t="s">
        <v>159</v>
      </c>
      <c r="D4" s="237" t="s">
        <v>160</v>
      </c>
      <c r="E4" s="237" t="s">
        <v>161</v>
      </c>
      <c r="F4" s="255" t="s">
        <v>162</v>
      </c>
      <c r="G4" s="255" t="s">
        <v>191</v>
      </c>
      <c r="H4" s="255" t="s">
        <v>192</v>
      </c>
      <c r="I4" s="255" t="s">
        <v>193</v>
      </c>
      <c r="J4" s="255" t="s">
        <v>194</v>
      </c>
      <c r="K4" s="255" t="s">
        <v>195</v>
      </c>
      <c r="L4" s="255" t="s">
        <v>196</v>
      </c>
      <c r="M4" s="255" t="s">
        <v>197</v>
      </c>
      <c r="N4" s="255" t="s">
        <v>198</v>
      </c>
      <c r="O4" s="255" t="s">
        <v>199</v>
      </c>
      <c r="P4" s="255" t="s">
        <v>200</v>
      </c>
      <c r="Q4" s="255" t="s">
        <v>201</v>
      </c>
      <c r="R4" s="255" t="s">
        <v>202</v>
      </c>
      <c r="S4" s="255" t="s">
        <v>203</v>
      </c>
      <c r="T4" s="255" t="s">
        <v>204</v>
      </c>
      <c r="U4" s="255" t="s">
        <v>205</v>
      </c>
      <c r="V4" s="255" t="s">
        <v>206</v>
      </c>
      <c r="W4" s="255" t="s">
        <v>207</v>
      </c>
      <c r="X4" s="255" t="s">
        <v>217</v>
      </c>
      <c r="Y4" s="255" t="s">
        <v>208</v>
      </c>
      <c r="Z4" s="255" t="s">
        <v>218</v>
      </c>
      <c r="AA4" s="255" t="s">
        <v>209</v>
      </c>
      <c r="AB4" s="255" t="s">
        <v>210</v>
      </c>
      <c r="AC4" s="255" t="s">
        <v>211</v>
      </c>
      <c r="AD4" s="255" t="s">
        <v>212</v>
      </c>
      <c r="AE4" s="255" t="s">
        <v>213</v>
      </c>
      <c r="AF4" s="237" t="s">
        <v>214</v>
      </c>
      <c r="AG4" s="237" t="s">
        <v>215</v>
      </c>
      <c r="AH4" s="237" t="s">
        <v>216</v>
      </c>
      <c r="AI4" s="237" t="s">
        <v>181</v>
      </c>
      <c r="AJ4" s="238" t="s">
        <v>163</v>
      </c>
    </row>
    <row r="5" spans="1:36" x14ac:dyDescent="0.3">
      <c r="A5" s="239" t="s">
        <v>164</v>
      </c>
      <c r="B5" s="280"/>
      <c r="C5" s="281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3"/>
    </row>
    <row r="6" spans="1:36" ht="15" collapsed="1" thickBot="1" x14ac:dyDescent="0.35">
      <c r="A6" s="240" t="s">
        <v>71</v>
      </c>
      <c r="B6" s="284" t="e">
        <f xml:space="preserve">
TRUNC(IF($A$4&lt;=12,SUMIFS(#REF!,#REF!,$A$4,#REF!,1),SUMIFS(#REF!,#REF!,1)/#REF!),1)</f>
        <v>#REF!</v>
      </c>
      <c r="C6" s="285" t="e">
        <f xml:space="preserve">
TRUNC(IF($A$4&lt;=12,SUMIFS(#REF!,#REF!,$A$4,#REF!,1),SUMIFS(#REF!,#REF!,1)/#REF!),1)</f>
        <v>#REF!</v>
      </c>
      <c r="D6" s="286" t="e">
        <f xml:space="preserve">
TRUNC(IF($A$4&lt;=12,SUMIFS(#REF!,#REF!,$A$4,#REF!,1),SUMIFS(#REF!,#REF!,1)/#REF!),1)</f>
        <v>#REF!</v>
      </c>
      <c r="E6" s="286" t="e">
        <f xml:space="preserve">
TRUNC(IF($A$4&lt;=12,SUMIFS(#REF!,#REF!,$A$4,#REF!,1),SUMIFS(#REF!,#REF!,1)/#REF!),1)</f>
        <v>#REF!</v>
      </c>
      <c r="F6" s="286" t="e">
        <f xml:space="preserve">
TRUNC(IF($A$4&lt;=12,SUMIFS(#REF!,#REF!,$A$4,#REF!,1),SUMIFS(#REF!,#REF!,1)/#REF!),1)</f>
        <v>#REF!</v>
      </c>
      <c r="G6" s="286" t="e">
        <f xml:space="preserve">
TRUNC(IF($A$4&lt;=12,SUMIFS(#REF!,#REF!,$A$4,#REF!,1),SUMIFS(#REF!,#REF!,1)/#REF!),1)</f>
        <v>#REF!</v>
      </c>
      <c r="H6" s="286" t="e">
        <f xml:space="preserve">
TRUNC(IF($A$4&lt;=12,SUMIFS(#REF!,#REF!,$A$4,#REF!,1),SUMIFS(#REF!,#REF!,1)/#REF!),1)</f>
        <v>#REF!</v>
      </c>
      <c r="I6" s="286" t="e">
        <f xml:space="preserve">
TRUNC(IF($A$4&lt;=12,SUMIFS(#REF!,#REF!,$A$4,#REF!,1),SUMIFS(#REF!,#REF!,1)/#REF!),1)</f>
        <v>#REF!</v>
      </c>
      <c r="J6" s="286" t="e">
        <f xml:space="preserve">
TRUNC(IF($A$4&lt;=12,SUMIFS(#REF!,#REF!,$A$4,#REF!,1),SUMIFS(#REF!,#REF!,1)/#REF!),1)</f>
        <v>#REF!</v>
      </c>
      <c r="K6" s="286" t="e">
        <f xml:space="preserve">
TRUNC(IF($A$4&lt;=12,SUMIFS(#REF!,#REF!,$A$4,#REF!,1),SUMIFS(#REF!,#REF!,1)/#REF!),1)</f>
        <v>#REF!</v>
      </c>
      <c r="L6" s="286" t="e">
        <f xml:space="preserve">
TRUNC(IF($A$4&lt;=12,SUMIFS(#REF!,#REF!,$A$4,#REF!,1),SUMIFS(#REF!,#REF!,1)/#REF!),1)</f>
        <v>#REF!</v>
      </c>
      <c r="M6" s="286" t="e">
        <f xml:space="preserve">
TRUNC(IF($A$4&lt;=12,SUMIFS(#REF!,#REF!,$A$4,#REF!,1),SUMIFS(#REF!,#REF!,1)/#REF!),1)</f>
        <v>#REF!</v>
      </c>
      <c r="N6" s="286" t="e">
        <f xml:space="preserve">
TRUNC(IF($A$4&lt;=12,SUMIFS(#REF!,#REF!,$A$4,#REF!,1),SUMIFS(#REF!,#REF!,1)/#REF!),1)</f>
        <v>#REF!</v>
      </c>
      <c r="O6" s="286" t="e">
        <f xml:space="preserve">
TRUNC(IF($A$4&lt;=12,SUMIFS(#REF!,#REF!,$A$4,#REF!,1),SUMIFS(#REF!,#REF!,1)/#REF!),1)</f>
        <v>#REF!</v>
      </c>
      <c r="P6" s="286" t="e">
        <f xml:space="preserve">
TRUNC(IF($A$4&lt;=12,SUMIFS(#REF!,#REF!,$A$4,#REF!,1),SUMIFS(#REF!,#REF!,1)/#REF!),1)</f>
        <v>#REF!</v>
      </c>
      <c r="Q6" s="286" t="e">
        <f xml:space="preserve">
TRUNC(IF($A$4&lt;=12,SUMIFS(#REF!,#REF!,$A$4,#REF!,1),SUMIFS(#REF!,#REF!,1)/#REF!),1)</f>
        <v>#REF!</v>
      </c>
      <c r="R6" s="286" t="e">
        <f xml:space="preserve">
TRUNC(IF($A$4&lt;=12,SUMIFS(#REF!,#REF!,$A$4,#REF!,1),SUMIFS(#REF!,#REF!,1)/#REF!),1)</f>
        <v>#REF!</v>
      </c>
      <c r="S6" s="286" t="e">
        <f xml:space="preserve">
TRUNC(IF($A$4&lt;=12,SUMIFS(#REF!,#REF!,$A$4,#REF!,1),SUMIFS(#REF!,#REF!,1)/#REF!),1)</f>
        <v>#REF!</v>
      </c>
      <c r="T6" s="286" t="e">
        <f xml:space="preserve">
TRUNC(IF($A$4&lt;=12,SUMIFS(#REF!,#REF!,$A$4,#REF!,1),SUMIFS(#REF!,#REF!,1)/#REF!),1)</f>
        <v>#REF!</v>
      </c>
      <c r="U6" s="286" t="e">
        <f xml:space="preserve">
TRUNC(IF($A$4&lt;=12,SUMIFS(#REF!,#REF!,$A$4,#REF!,1),SUMIFS(#REF!,#REF!,1)/#REF!),1)</f>
        <v>#REF!</v>
      </c>
      <c r="V6" s="286" t="e">
        <f xml:space="preserve">
TRUNC(IF($A$4&lt;=12,SUMIFS(#REF!,#REF!,$A$4,#REF!,1),SUMIFS(#REF!,#REF!,1)/#REF!),1)</f>
        <v>#REF!</v>
      </c>
      <c r="W6" s="286" t="e">
        <f xml:space="preserve">
TRUNC(IF($A$4&lt;=12,SUMIFS(#REF!,#REF!,$A$4,#REF!,1),SUMIFS(#REF!,#REF!,1)/#REF!),1)</f>
        <v>#REF!</v>
      </c>
      <c r="X6" s="286" t="e">
        <f xml:space="preserve">
TRUNC(IF($A$4&lt;=12,SUMIFS(#REF!,#REF!,$A$4,#REF!,1),SUMIFS(#REF!,#REF!,1)/#REF!),1)</f>
        <v>#REF!</v>
      </c>
      <c r="Y6" s="286" t="e">
        <f xml:space="preserve">
TRUNC(IF($A$4&lt;=12,SUMIFS(#REF!,#REF!,$A$4,#REF!,1),SUMIFS(#REF!,#REF!,1)/#REF!),1)</f>
        <v>#REF!</v>
      </c>
      <c r="Z6" s="286" t="e">
        <f xml:space="preserve">
TRUNC(IF($A$4&lt;=12,SUMIFS(#REF!,#REF!,$A$4,#REF!,1),SUMIFS(#REF!,#REF!,1)/#REF!),1)</f>
        <v>#REF!</v>
      </c>
      <c r="AA6" s="286" t="e">
        <f xml:space="preserve">
TRUNC(IF($A$4&lt;=12,SUMIFS(#REF!,#REF!,$A$4,#REF!,1),SUMIFS(#REF!,#REF!,1)/#REF!),1)</f>
        <v>#REF!</v>
      </c>
      <c r="AB6" s="286" t="e">
        <f xml:space="preserve">
TRUNC(IF($A$4&lt;=12,SUMIFS(#REF!,#REF!,$A$4,#REF!,1),SUMIFS(#REF!,#REF!,1)/#REF!),1)</f>
        <v>#REF!</v>
      </c>
      <c r="AC6" s="286" t="e">
        <f xml:space="preserve">
TRUNC(IF($A$4&lt;=12,SUMIFS(#REF!,#REF!,$A$4,#REF!,1),SUMIFS(#REF!,#REF!,1)/#REF!),1)</f>
        <v>#REF!</v>
      </c>
      <c r="AD6" s="286" t="e">
        <f xml:space="preserve">
TRUNC(IF($A$4&lt;=12,SUMIFS(#REF!,#REF!,$A$4,#REF!,1),SUMIFS(#REF!,#REF!,1)/#REF!),1)</f>
        <v>#REF!</v>
      </c>
      <c r="AE6" s="286" t="e">
        <f xml:space="preserve">
TRUNC(IF($A$4&lt;=12,SUMIFS(#REF!,#REF!,$A$4,#REF!,1),SUMIFS(#REF!,#REF!,1)/#REF!),1)</f>
        <v>#REF!</v>
      </c>
      <c r="AF6" s="286" t="e">
        <f xml:space="preserve">
TRUNC(IF($A$4&lt;=12,SUMIFS(#REF!,#REF!,$A$4,#REF!,1),SUMIFS(#REF!,#REF!,1)/#REF!),1)</f>
        <v>#REF!</v>
      </c>
      <c r="AG6" s="286" t="e">
        <f xml:space="preserve">
TRUNC(IF($A$4&lt;=12,SUMIFS(#REF!,#REF!,$A$4,#REF!,1),SUMIFS(#REF!,#REF!,1)/#REF!),1)</f>
        <v>#REF!</v>
      </c>
      <c r="AH6" s="286" t="e">
        <f xml:space="preserve">
TRUNC(IF($A$4&lt;=12,SUMIFS(#REF!,#REF!,$A$4,#REF!,1),SUMIFS(#REF!,#REF!,1)/#REF!),1)</f>
        <v>#REF!</v>
      </c>
      <c r="AI6" s="286" t="e">
        <f xml:space="preserve">
TRUNC(IF($A$4&lt;=12,SUMIFS(#REF!,#REF!,$A$4,#REF!,1),SUMIFS(#REF!,#REF!,1)/#REF!),1)</f>
        <v>#REF!</v>
      </c>
      <c r="AJ6" s="287" t="e">
        <f xml:space="preserve">
TRUNC(IF($A$4&lt;=12,SUMIFS(#REF!,#REF!,$A$4,#REF!,1),SUMIFS(#REF!,#REF!,1)/#REF!),1)</f>
        <v>#REF!</v>
      </c>
    </row>
    <row r="7" spans="1:36" ht="15" hidden="1" outlineLevel="1" thickBot="1" x14ac:dyDescent="0.35">
      <c r="A7" s="240" t="s">
        <v>106</v>
      </c>
      <c r="B7" s="284"/>
      <c r="C7" s="288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7"/>
    </row>
    <row r="8" spans="1:36" ht="15" hidden="1" outlineLevel="1" thickBot="1" x14ac:dyDescent="0.35">
      <c r="A8" s="240" t="s">
        <v>73</v>
      </c>
      <c r="B8" s="284"/>
      <c r="C8" s="288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7"/>
    </row>
    <row r="9" spans="1:36" ht="15" hidden="1" outlineLevel="1" thickBot="1" x14ac:dyDescent="0.35">
      <c r="A9" s="241" t="s">
        <v>66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2"/>
    </row>
    <row r="10" spans="1:36" x14ac:dyDescent="0.3">
      <c r="A10" s="242" t="s">
        <v>165</v>
      </c>
      <c r="B10" s="256"/>
      <c r="C10" s="257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9"/>
    </row>
    <row r="11" spans="1:36" x14ac:dyDescent="0.3">
      <c r="A11" s="243" t="s">
        <v>166</v>
      </c>
      <c r="B11" s="260" t="e">
        <f xml:space="preserve">
IF($A$4&lt;=12,SUMIFS(#REF!,#REF!,$A$4,#REF!,2),SUMIFS(#REF!,#REF!,2))</f>
        <v>#REF!</v>
      </c>
      <c r="C11" s="261" t="e">
        <f xml:space="preserve">
IF($A$4&lt;=12,SUMIFS(#REF!,#REF!,$A$4,#REF!,2),SUMIFS(#REF!,#REF!,2))</f>
        <v>#REF!</v>
      </c>
      <c r="D11" s="262" t="e">
        <f xml:space="preserve">
IF($A$4&lt;=12,SUMIFS(#REF!,#REF!,$A$4,#REF!,2),SUMIFS(#REF!,#REF!,2))</f>
        <v>#REF!</v>
      </c>
      <c r="E11" s="262" t="e">
        <f xml:space="preserve">
IF($A$4&lt;=12,SUMIFS(#REF!,#REF!,$A$4,#REF!,2),SUMIFS(#REF!,#REF!,2))</f>
        <v>#REF!</v>
      </c>
      <c r="F11" s="262" t="e">
        <f xml:space="preserve">
IF($A$4&lt;=12,SUMIFS(#REF!,#REF!,$A$4,#REF!,2),SUMIFS(#REF!,#REF!,2))</f>
        <v>#REF!</v>
      </c>
      <c r="G11" s="262" t="e">
        <f xml:space="preserve">
IF($A$4&lt;=12,SUMIFS(#REF!,#REF!,$A$4,#REF!,2),SUMIFS(#REF!,#REF!,2))</f>
        <v>#REF!</v>
      </c>
      <c r="H11" s="262" t="e">
        <f xml:space="preserve">
IF($A$4&lt;=12,SUMIFS(#REF!,#REF!,$A$4,#REF!,2),SUMIFS(#REF!,#REF!,2))</f>
        <v>#REF!</v>
      </c>
      <c r="I11" s="262" t="e">
        <f xml:space="preserve">
IF($A$4&lt;=12,SUMIFS(#REF!,#REF!,$A$4,#REF!,2),SUMIFS(#REF!,#REF!,2))</f>
        <v>#REF!</v>
      </c>
      <c r="J11" s="262" t="e">
        <f xml:space="preserve">
IF($A$4&lt;=12,SUMIFS(#REF!,#REF!,$A$4,#REF!,2),SUMIFS(#REF!,#REF!,2))</f>
        <v>#REF!</v>
      </c>
      <c r="K11" s="262" t="e">
        <f xml:space="preserve">
IF($A$4&lt;=12,SUMIFS(#REF!,#REF!,$A$4,#REF!,2),SUMIFS(#REF!,#REF!,2))</f>
        <v>#REF!</v>
      </c>
      <c r="L11" s="262" t="e">
        <f xml:space="preserve">
IF($A$4&lt;=12,SUMIFS(#REF!,#REF!,$A$4,#REF!,2),SUMIFS(#REF!,#REF!,2))</f>
        <v>#REF!</v>
      </c>
      <c r="M11" s="262" t="e">
        <f xml:space="preserve">
IF($A$4&lt;=12,SUMIFS(#REF!,#REF!,$A$4,#REF!,2),SUMIFS(#REF!,#REF!,2))</f>
        <v>#REF!</v>
      </c>
      <c r="N11" s="262" t="e">
        <f xml:space="preserve">
IF($A$4&lt;=12,SUMIFS(#REF!,#REF!,$A$4,#REF!,2),SUMIFS(#REF!,#REF!,2))</f>
        <v>#REF!</v>
      </c>
      <c r="O11" s="262" t="e">
        <f xml:space="preserve">
IF($A$4&lt;=12,SUMIFS(#REF!,#REF!,$A$4,#REF!,2),SUMIFS(#REF!,#REF!,2))</f>
        <v>#REF!</v>
      </c>
      <c r="P11" s="262" t="e">
        <f xml:space="preserve">
IF($A$4&lt;=12,SUMIFS(#REF!,#REF!,$A$4,#REF!,2),SUMIFS(#REF!,#REF!,2))</f>
        <v>#REF!</v>
      </c>
      <c r="Q11" s="262" t="e">
        <f xml:space="preserve">
IF($A$4&lt;=12,SUMIFS(#REF!,#REF!,$A$4,#REF!,2),SUMIFS(#REF!,#REF!,2))</f>
        <v>#REF!</v>
      </c>
      <c r="R11" s="262" t="e">
        <f xml:space="preserve">
IF($A$4&lt;=12,SUMIFS(#REF!,#REF!,$A$4,#REF!,2),SUMIFS(#REF!,#REF!,2))</f>
        <v>#REF!</v>
      </c>
      <c r="S11" s="262" t="e">
        <f xml:space="preserve">
IF($A$4&lt;=12,SUMIFS(#REF!,#REF!,$A$4,#REF!,2),SUMIFS(#REF!,#REF!,2))</f>
        <v>#REF!</v>
      </c>
      <c r="T11" s="262" t="e">
        <f xml:space="preserve">
IF($A$4&lt;=12,SUMIFS(#REF!,#REF!,$A$4,#REF!,2),SUMIFS(#REF!,#REF!,2))</f>
        <v>#REF!</v>
      </c>
      <c r="U11" s="262" t="e">
        <f xml:space="preserve">
IF($A$4&lt;=12,SUMIFS(#REF!,#REF!,$A$4,#REF!,2),SUMIFS(#REF!,#REF!,2))</f>
        <v>#REF!</v>
      </c>
      <c r="V11" s="262" t="e">
        <f xml:space="preserve">
IF($A$4&lt;=12,SUMIFS(#REF!,#REF!,$A$4,#REF!,2),SUMIFS(#REF!,#REF!,2))</f>
        <v>#REF!</v>
      </c>
      <c r="W11" s="262" t="e">
        <f xml:space="preserve">
IF($A$4&lt;=12,SUMIFS(#REF!,#REF!,$A$4,#REF!,2),SUMIFS(#REF!,#REF!,2))</f>
        <v>#REF!</v>
      </c>
      <c r="X11" s="262" t="e">
        <f xml:space="preserve">
IF($A$4&lt;=12,SUMIFS(#REF!,#REF!,$A$4,#REF!,2),SUMIFS(#REF!,#REF!,2))</f>
        <v>#REF!</v>
      </c>
      <c r="Y11" s="262" t="e">
        <f xml:space="preserve">
IF($A$4&lt;=12,SUMIFS(#REF!,#REF!,$A$4,#REF!,2),SUMIFS(#REF!,#REF!,2))</f>
        <v>#REF!</v>
      </c>
      <c r="Z11" s="262" t="e">
        <f xml:space="preserve">
IF($A$4&lt;=12,SUMIFS(#REF!,#REF!,$A$4,#REF!,2),SUMIFS(#REF!,#REF!,2))</f>
        <v>#REF!</v>
      </c>
      <c r="AA11" s="262" t="e">
        <f xml:space="preserve">
IF($A$4&lt;=12,SUMIFS(#REF!,#REF!,$A$4,#REF!,2),SUMIFS(#REF!,#REF!,2))</f>
        <v>#REF!</v>
      </c>
      <c r="AB11" s="262" t="e">
        <f xml:space="preserve">
IF($A$4&lt;=12,SUMIFS(#REF!,#REF!,$A$4,#REF!,2),SUMIFS(#REF!,#REF!,2))</f>
        <v>#REF!</v>
      </c>
      <c r="AC11" s="262" t="e">
        <f xml:space="preserve">
IF($A$4&lt;=12,SUMIFS(#REF!,#REF!,$A$4,#REF!,2),SUMIFS(#REF!,#REF!,2))</f>
        <v>#REF!</v>
      </c>
      <c r="AD11" s="262" t="e">
        <f xml:space="preserve">
IF($A$4&lt;=12,SUMIFS(#REF!,#REF!,$A$4,#REF!,2),SUMIFS(#REF!,#REF!,2))</f>
        <v>#REF!</v>
      </c>
      <c r="AE11" s="262" t="e">
        <f xml:space="preserve">
IF($A$4&lt;=12,SUMIFS(#REF!,#REF!,$A$4,#REF!,2),SUMIFS(#REF!,#REF!,2))</f>
        <v>#REF!</v>
      </c>
      <c r="AF11" s="262" t="e">
        <f xml:space="preserve">
IF($A$4&lt;=12,SUMIFS(#REF!,#REF!,$A$4,#REF!,2),SUMIFS(#REF!,#REF!,2))</f>
        <v>#REF!</v>
      </c>
      <c r="AG11" s="262" t="e">
        <f xml:space="preserve">
IF($A$4&lt;=12,SUMIFS(#REF!,#REF!,$A$4,#REF!,2),SUMIFS(#REF!,#REF!,2))</f>
        <v>#REF!</v>
      </c>
      <c r="AH11" s="262" t="e">
        <f xml:space="preserve">
IF($A$4&lt;=12,SUMIFS(#REF!,#REF!,$A$4,#REF!,2),SUMIFS(#REF!,#REF!,2))</f>
        <v>#REF!</v>
      </c>
      <c r="AI11" s="262" t="e">
        <f xml:space="preserve">
IF($A$4&lt;=12,SUMIFS(#REF!,#REF!,$A$4,#REF!,2),SUMIFS(#REF!,#REF!,2))</f>
        <v>#REF!</v>
      </c>
      <c r="AJ11" s="263" t="e">
        <f xml:space="preserve">
IF($A$4&lt;=12,SUMIFS(#REF!,#REF!,$A$4,#REF!,2),SUMIFS(#REF!,#REF!,2))</f>
        <v>#REF!</v>
      </c>
    </row>
    <row r="12" spans="1:36" x14ac:dyDescent="0.3">
      <c r="A12" s="243" t="s">
        <v>167</v>
      </c>
      <c r="B12" s="260" t="e">
        <f xml:space="preserve">
IF($A$4&lt;=12,SUMIFS(#REF!,#REF!,$A$4,#REF!,3),SUMIFS(#REF!,#REF!,3))</f>
        <v>#REF!</v>
      </c>
      <c r="C12" s="261" t="e">
        <f xml:space="preserve">
IF($A$4&lt;=12,SUMIFS(#REF!,#REF!,$A$4,#REF!,3),SUMIFS(#REF!,#REF!,3))</f>
        <v>#REF!</v>
      </c>
      <c r="D12" s="262" t="e">
        <f xml:space="preserve">
IF($A$4&lt;=12,SUMIFS(#REF!,#REF!,$A$4,#REF!,3),SUMIFS(#REF!,#REF!,3))</f>
        <v>#REF!</v>
      </c>
      <c r="E12" s="262" t="e">
        <f xml:space="preserve">
IF($A$4&lt;=12,SUMIFS(#REF!,#REF!,$A$4,#REF!,3),SUMIFS(#REF!,#REF!,3))</f>
        <v>#REF!</v>
      </c>
      <c r="F12" s="262" t="e">
        <f xml:space="preserve">
IF($A$4&lt;=12,SUMIFS(#REF!,#REF!,$A$4,#REF!,3),SUMIFS(#REF!,#REF!,3))</f>
        <v>#REF!</v>
      </c>
      <c r="G12" s="262" t="e">
        <f xml:space="preserve">
IF($A$4&lt;=12,SUMIFS(#REF!,#REF!,$A$4,#REF!,3),SUMIFS(#REF!,#REF!,3))</f>
        <v>#REF!</v>
      </c>
      <c r="H12" s="262" t="e">
        <f xml:space="preserve">
IF($A$4&lt;=12,SUMIFS(#REF!,#REF!,$A$4,#REF!,3),SUMIFS(#REF!,#REF!,3))</f>
        <v>#REF!</v>
      </c>
      <c r="I12" s="262" t="e">
        <f xml:space="preserve">
IF($A$4&lt;=12,SUMIFS(#REF!,#REF!,$A$4,#REF!,3),SUMIFS(#REF!,#REF!,3))</f>
        <v>#REF!</v>
      </c>
      <c r="J12" s="262" t="e">
        <f xml:space="preserve">
IF($A$4&lt;=12,SUMIFS(#REF!,#REF!,$A$4,#REF!,3),SUMIFS(#REF!,#REF!,3))</f>
        <v>#REF!</v>
      </c>
      <c r="K12" s="262" t="e">
        <f xml:space="preserve">
IF($A$4&lt;=12,SUMIFS(#REF!,#REF!,$A$4,#REF!,3),SUMIFS(#REF!,#REF!,3))</f>
        <v>#REF!</v>
      </c>
      <c r="L12" s="262" t="e">
        <f xml:space="preserve">
IF($A$4&lt;=12,SUMIFS(#REF!,#REF!,$A$4,#REF!,3),SUMIFS(#REF!,#REF!,3))</f>
        <v>#REF!</v>
      </c>
      <c r="M12" s="262" t="e">
        <f xml:space="preserve">
IF($A$4&lt;=12,SUMIFS(#REF!,#REF!,$A$4,#REF!,3),SUMIFS(#REF!,#REF!,3))</f>
        <v>#REF!</v>
      </c>
      <c r="N12" s="262" t="e">
        <f xml:space="preserve">
IF($A$4&lt;=12,SUMIFS(#REF!,#REF!,$A$4,#REF!,3),SUMIFS(#REF!,#REF!,3))</f>
        <v>#REF!</v>
      </c>
      <c r="O12" s="262" t="e">
        <f xml:space="preserve">
IF($A$4&lt;=12,SUMIFS(#REF!,#REF!,$A$4,#REF!,3),SUMIFS(#REF!,#REF!,3))</f>
        <v>#REF!</v>
      </c>
      <c r="P12" s="262" t="e">
        <f xml:space="preserve">
IF($A$4&lt;=12,SUMIFS(#REF!,#REF!,$A$4,#REF!,3),SUMIFS(#REF!,#REF!,3))</f>
        <v>#REF!</v>
      </c>
      <c r="Q12" s="262" t="e">
        <f xml:space="preserve">
IF($A$4&lt;=12,SUMIFS(#REF!,#REF!,$A$4,#REF!,3),SUMIFS(#REF!,#REF!,3))</f>
        <v>#REF!</v>
      </c>
      <c r="R12" s="262" t="e">
        <f xml:space="preserve">
IF($A$4&lt;=12,SUMIFS(#REF!,#REF!,$A$4,#REF!,3),SUMIFS(#REF!,#REF!,3))</f>
        <v>#REF!</v>
      </c>
      <c r="S12" s="262" t="e">
        <f xml:space="preserve">
IF($A$4&lt;=12,SUMIFS(#REF!,#REF!,$A$4,#REF!,3),SUMIFS(#REF!,#REF!,3))</f>
        <v>#REF!</v>
      </c>
      <c r="T12" s="262" t="e">
        <f xml:space="preserve">
IF($A$4&lt;=12,SUMIFS(#REF!,#REF!,$A$4,#REF!,3),SUMIFS(#REF!,#REF!,3))</f>
        <v>#REF!</v>
      </c>
      <c r="U12" s="262" t="e">
        <f xml:space="preserve">
IF($A$4&lt;=12,SUMIFS(#REF!,#REF!,$A$4,#REF!,3),SUMIFS(#REF!,#REF!,3))</f>
        <v>#REF!</v>
      </c>
      <c r="V12" s="262" t="e">
        <f xml:space="preserve">
IF($A$4&lt;=12,SUMIFS(#REF!,#REF!,$A$4,#REF!,3),SUMIFS(#REF!,#REF!,3))</f>
        <v>#REF!</v>
      </c>
      <c r="W12" s="262" t="e">
        <f xml:space="preserve">
IF($A$4&lt;=12,SUMIFS(#REF!,#REF!,$A$4,#REF!,3),SUMIFS(#REF!,#REF!,3))</f>
        <v>#REF!</v>
      </c>
      <c r="X12" s="262" t="e">
        <f xml:space="preserve">
IF($A$4&lt;=12,SUMIFS(#REF!,#REF!,$A$4,#REF!,3),SUMIFS(#REF!,#REF!,3))</f>
        <v>#REF!</v>
      </c>
      <c r="Y12" s="262" t="e">
        <f xml:space="preserve">
IF($A$4&lt;=12,SUMIFS(#REF!,#REF!,$A$4,#REF!,3),SUMIFS(#REF!,#REF!,3))</f>
        <v>#REF!</v>
      </c>
      <c r="Z12" s="262" t="e">
        <f xml:space="preserve">
IF($A$4&lt;=12,SUMIFS(#REF!,#REF!,$A$4,#REF!,3),SUMIFS(#REF!,#REF!,3))</f>
        <v>#REF!</v>
      </c>
      <c r="AA12" s="262" t="e">
        <f xml:space="preserve">
IF($A$4&lt;=12,SUMIFS(#REF!,#REF!,$A$4,#REF!,3),SUMIFS(#REF!,#REF!,3))</f>
        <v>#REF!</v>
      </c>
      <c r="AB12" s="262" t="e">
        <f xml:space="preserve">
IF($A$4&lt;=12,SUMIFS(#REF!,#REF!,$A$4,#REF!,3),SUMIFS(#REF!,#REF!,3))</f>
        <v>#REF!</v>
      </c>
      <c r="AC12" s="262" t="e">
        <f xml:space="preserve">
IF($A$4&lt;=12,SUMIFS(#REF!,#REF!,$A$4,#REF!,3),SUMIFS(#REF!,#REF!,3))</f>
        <v>#REF!</v>
      </c>
      <c r="AD12" s="262" t="e">
        <f xml:space="preserve">
IF($A$4&lt;=12,SUMIFS(#REF!,#REF!,$A$4,#REF!,3),SUMIFS(#REF!,#REF!,3))</f>
        <v>#REF!</v>
      </c>
      <c r="AE12" s="262" t="e">
        <f xml:space="preserve">
IF($A$4&lt;=12,SUMIFS(#REF!,#REF!,$A$4,#REF!,3),SUMIFS(#REF!,#REF!,3))</f>
        <v>#REF!</v>
      </c>
      <c r="AF12" s="262" t="e">
        <f xml:space="preserve">
IF($A$4&lt;=12,SUMIFS(#REF!,#REF!,$A$4,#REF!,3),SUMIFS(#REF!,#REF!,3))</f>
        <v>#REF!</v>
      </c>
      <c r="AG12" s="262" t="e">
        <f xml:space="preserve">
IF($A$4&lt;=12,SUMIFS(#REF!,#REF!,$A$4,#REF!,3),SUMIFS(#REF!,#REF!,3))</f>
        <v>#REF!</v>
      </c>
      <c r="AH12" s="262" t="e">
        <f xml:space="preserve">
IF($A$4&lt;=12,SUMIFS(#REF!,#REF!,$A$4,#REF!,3),SUMIFS(#REF!,#REF!,3))</f>
        <v>#REF!</v>
      </c>
      <c r="AI12" s="262" t="e">
        <f xml:space="preserve">
IF($A$4&lt;=12,SUMIFS(#REF!,#REF!,$A$4,#REF!,3),SUMIFS(#REF!,#REF!,3))</f>
        <v>#REF!</v>
      </c>
      <c r="AJ12" s="263" t="e">
        <f xml:space="preserve">
IF($A$4&lt;=12,SUMIFS(#REF!,#REF!,$A$4,#REF!,3),SUMIFS(#REF!,#REF!,3))</f>
        <v>#REF!</v>
      </c>
    </row>
    <row r="13" spans="1:36" x14ac:dyDescent="0.3">
      <c r="A13" s="243" t="s">
        <v>174</v>
      </c>
      <c r="B13" s="260" t="e">
        <f xml:space="preserve">
IF($A$4&lt;=12,SUMIFS(#REF!,#REF!,$A$4,#REF!,4),SUMIFS(#REF!,#REF!,4))</f>
        <v>#REF!</v>
      </c>
      <c r="C13" s="261" t="e">
        <f xml:space="preserve">
IF($A$4&lt;=12,SUMIFS(#REF!,#REF!,$A$4,#REF!,4),SUMIFS(#REF!,#REF!,4))</f>
        <v>#REF!</v>
      </c>
      <c r="D13" s="262" t="e">
        <f xml:space="preserve">
IF($A$4&lt;=12,SUMIFS(#REF!,#REF!,$A$4,#REF!,4),SUMIFS(#REF!,#REF!,4))</f>
        <v>#REF!</v>
      </c>
      <c r="E13" s="262" t="e">
        <f xml:space="preserve">
IF($A$4&lt;=12,SUMIFS(#REF!,#REF!,$A$4,#REF!,4),SUMIFS(#REF!,#REF!,4))</f>
        <v>#REF!</v>
      </c>
      <c r="F13" s="262" t="e">
        <f xml:space="preserve">
IF($A$4&lt;=12,SUMIFS(#REF!,#REF!,$A$4,#REF!,4),SUMIFS(#REF!,#REF!,4))</f>
        <v>#REF!</v>
      </c>
      <c r="G13" s="262" t="e">
        <f xml:space="preserve">
IF($A$4&lt;=12,SUMIFS(#REF!,#REF!,$A$4,#REF!,4),SUMIFS(#REF!,#REF!,4))</f>
        <v>#REF!</v>
      </c>
      <c r="H13" s="262" t="e">
        <f xml:space="preserve">
IF($A$4&lt;=12,SUMIFS(#REF!,#REF!,$A$4,#REF!,4),SUMIFS(#REF!,#REF!,4))</f>
        <v>#REF!</v>
      </c>
      <c r="I13" s="262" t="e">
        <f xml:space="preserve">
IF($A$4&lt;=12,SUMIFS(#REF!,#REF!,$A$4,#REF!,4),SUMIFS(#REF!,#REF!,4))</f>
        <v>#REF!</v>
      </c>
      <c r="J13" s="262" t="e">
        <f xml:space="preserve">
IF($A$4&lt;=12,SUMIFS(#REF!,#REF!,$A$4,#REF!,4),SUMIFS(#REF!,#REF!,4))</f>
        <v>#REF!</v>
      </c>
      <c r="K13" s="262" t="e">
        <f xml:space="preserve">
IF($A$4&lt;=12,SUMIFS(#REF!,#REF!,$A$4,#REF!,4),SUMIFS(#REF!,#REF!,4))</f>
        <v>#REF!</v>
      </c>
      <c r="L13" s="262" t="e">
        <f xml:space="preserve">
IF($A$4&lt;=12,SUMIFS(#REF!,#REF!,$A$4,#REF!,4),SUMIFS(#REF!,#REF!,4))</f>
        <v>#REF!</v>
      </c>
      <c r="M13" s="262" t="e">
        <f xml:space="preserve">
IF($A$4&lt;=12,SUMIFS(#REF!,#REF!,$A$4,#REF!,4),SUMIFS(#REF!,#REF!,4))</f>
        <v>#REF!</v>
      </c>
      <c r="N13" s="262" t="e">
        <f xml:space="preserve">
IF($A$4&lt;=12,SUMIFS(#REF!,#REF!,$A$4,#REF!,4),SUMIFS(#REF!,#REF!,4))</f>
        <v>#REF!</v>
      </c>
      <c r="O13" s="262" t="e">
        <f xml:space="preserve">
IF($A$4&lt;=12,SUMIFS(#REF!,#REF!,$A$4,#REF!,4),SUMIFS(#REF!,#REF!,4))</f>
        <v>#REF!</v>
      </c>
      <c r="P13" s="262" t="e">
        <f xml:space="preserve">
IF($A$4&lt;=12,SUMIFS(#REF!,#REF!,$A$4,#REF!,4),SUMIFS(#REF!,#REF!,4))</f>
        <v>#REF!</v>
      </c>
      <c r="Q13" s="262" t="e">
        <f xml:space="preserve">
IF($A$4&lt;=12,SUMIFS(#REF!,#REF!,$A$4,#REF!,4),SUMIFS(#REF!,#REF!,4))</f>
        <v>#REF!</v>
      </c>
      <c r="R13" s="262" t="e">
        <f xml:space="preserve">
IF($A$4&lt;=12,SUMIFS(#REF!,#REF!,$A$4,#REF!,4),SUMIFS(#REF!,#REF!,4))</f>
        <v>#REF!</v>
      </c>
      <c r="S13" s="262" t="e">
        <f xml:space="preserve">
IF($A$4&lt;=12,SUMIFS(#REF!,#REF!,$A$4,#REF!,4),SUMIFS(#REF!,#REF!,4))</f>
        <v>#REF!</v>
      </c>
      <c r="T13" s="262" t="e">
        <f xml:space="preserve">
IF($A$4&lt;=12,SUMIFS(#REF!,#REF!,$A$4,#REF!,4),SUMIFS(#REF!,#REF!,4))</f>
        <v>#REF!</v>
      </c>
      <c r="U13" s="262" t="e">
        <f xml:space="preserve">
IF($A$4&lt;=12,SUMIFS(#REF!,#REF!,$A$4,#REF!,4),SUMIFS(#REF!,#REF!,4))</f>
        <v>#REF!</v>
      </c>
      <c r="V13" s="262" t="e">
        <f xml:space="preserve">
IF($A$4&lt;=12,SUMIFS(#REF!,#REF!,$A$4,#REF!,4),SUMIFS(#REF!,#REF!,4))</f>
        <v>#REF!</v>
      </c>
      <c r="W13" s="262" t="e">
        <f xml:space="preserve">
IF($A$4&lt;=12,SUMIFS(#REF!,#REF!,$A$4,#REF!,4),SUMIFS(#REF!,#REF!,4))</f>
        <v>#REF!</v>
      </c>
      <c r="X13" s="262" t="e">
        <f xml:space="preserve">
IF($A$4&lt;=12,SUMIFS(#REF!,#REF!,$A$4,#REF!,4),SUMIFS(#REF!,#REF!,4))</f>
        <v>#REF!</v>
      </c>
      <c r="Y13" s="262" t="e">
        <f xml:space="preserve">
IF($A$4&lt;=12,SUMIFS(#REF!,#REF!,$A$4,#REF!,4),SUMIFS(#REF!,#REF!,4))</f>
        <v>#REF!</v>
      </c>
      <c r="Z13" s="262" t="e">
        <f xml:space="preserve">
IF($A$4&lt;=12,SUMIFS(#REF!,#REF!,$A$4,#REF!,4),SUMIFS(#REF!,#REF!,4))</f>
        <v>#REF!</v>
      </c>
      <c r="AA13" s="262" t="e">
        <f xml:space="preserve">
IF($A$4&lt;=12,SUMIFS(#REF!,#REF!,$A$4,#REF!,4),SUMIFS(#REF!,#REF!,4))</f>
        <v>#REF!</v>
      </c>
      <c r="AB13" s="262" t="e">
        <f xml:space="preserve">
IF($A$4&lt;=12,SUMIFS(#REF!,#REF!,$A$4,#REF!,4),SUMIFS(#REF!,#REF!,4))</f>
        <v>#REF!</v>
      </c>
      <c r="AC13" s="262" t="e">
        <f xml:space="preserve">
IF($A$4&lt;=12,SUMIFS(#REF!,#REF!,$A$4,#REF!,4),SUMIFS(#REF!,#REF!,4))</f>
        <v>#REF!</v>
      </c>
      <c r="AD13" s="262" t="e">
        <f xml:space="preserve">
IF($A$4&lt;=12,SUMIFS(#REF!,#REF!,$A$4,#REF!,4),SUMIFS(#REF!,#REF!,4))</f>
        <v>#REF!</v>
      </c>
      <c r="AE13" s="262" t="e">
        <f xml:space="preserve">
IF($A$4&lt;=12,SUMIFS(#REF!,#REF!,$A$4,#REF!,4),SUMIFS(#REF!,#REF!,4))</f>
        <v>#REF!</v>
      </c>
      <c r="AF13" s="262" t="e">
        <f xml:space="preserve">
IF($A$4&lt;=12,SUMIFS(#REF!,#REF!,$A$4,#REF!,4),SUMIFS(#REF!,#REF!,4))</f>
        <v>#REF!</v>
      </c>
      <c r="AG13" s="262" t="e">
        <f xml:space="preserve">
IF($A$4&lt;=12,SUMIFS(#REF!,#REF!,$A$4,#REF!,4),SUMIFS(#REF!,#REF!,4))</f>
        <v>#REF!</v>
      </c>
      <c r="AH13" s="262" t="e">
        <f xml:space="preserve">
IF($A$4&lt;=12,SUMIFS(#REF!,#REF!,$A$4,#REF!,4),SUMIFS(#REF!,#REF!,4))</f>
        <v>#REF!</v>
      </c>
      <c r="AI13" s="262" t="e">
        <f xml:space="preserve">
IF($A$4&lt;=12,SUMIFS(#REF!,#REF!,$A$4,#REF!,4),SUMIFS(#REF!,#REF!,4))</f>
        <v>#REF!</v>
      </c>
      <c r="AJ13" s="263" t="e">
        <f xml:space="preserve">
IF($A$4&lt;=12,SUMIFS(#REF!,#REF!,$A$4,#REF!,4),SUMIFS(#REF!,#REF!,4))</f>
        <v>#REF!</v>
      </c>
    </row>
    <row r="14" spans="1:36" ht="15" thickBot="1" x14ac:dyDescent="0.35">
      <c r="A14" s="244" t="s">
        <v>168</v>
      </c>
      <c r="B14" s="264" t="e">
        <f xml:space="preserve">
IF($A$4&lt;=12,SUMIFS(#REF!,#REF!,$A$4,#REF!,5),SUMIFS(#REF!,#REF!,5))</f>
        <v>#REF!</v>
      </c>
      <c r="C14" s="265" t="e">
        <f xml:space="preserve">
IF($A$4&lt;=12,SUMIFS(#REF!,#REF!,$A$4,#REF!,5),SUMIFS(#REF!,#REF!,5))</f>
        <v>#REF!</v>
      </c>
      <c r="D14" s="266" t="e">
        <f xml:space="preserve">
IF($A$4&lt;=12,SUMIFS(#REF!,#REF!,$A$4,#REF!,5),SUMIFS(#REF!,#REF!,5))</f>
        <v>#REF!</v>
      </c>
      <c r="E14" s="266" t="e">
        <f xml:space="preserve">
IF($A$4&lt;=12,SUMIFS(#REF!,#REF!,$A$4,#REF!,5),SUMIFS(#REF!,#REF!,5))</f>
        <v>#REF!</v>
      </c>
      <c r="F14" s="266" t="e">
        <f xml:space="preserve">
IF($A$4&lt;=12,SUMIFS(#REF!,#REF!,$A$4,#REF!,5),SUMIFS(#REF!,#REF!,5))</f>
        <v>#REF!</v>
      </c>
      <c r="G14" s="266" t="e">
        <f xml:space="preserve">
IF($A$4&lt;=12,SUMIFS(#REF!,#REF!,$A$4,#REF!,5),SUMIFS(#REF!,#REF!,5))</f>
        <v>#REF!</v>
      </c>
      <c r="H14" s="266" t="e">
        <f xml:space="preserve">
IF($A$4&lt;=12,SUMIFS(#REF!,#REF!,$A$4,#REF!,5),SUMIFS(#REF!,#REF!,5))</f>
        <v>#REF!</v>
      </c>
      <c r="I14" s="266" t="e">
        <f xml:space="preserve">
IF($A$4&lt;=12,SUMIFS(#REF!,#REF!,$A$4,#REF!,5),SUMIFS(#REF!,#REF!,5))</f>
        <v>#REF!</v>
      </c>
      <c r="J14" s="266" t="e">
        <f xml:space="preserve">
IF($A$4&lt;=12,SUMIFS(#REF!,#REF!,$A$4,#REF!,5),SUMIFS(#REF!,#REF!,5))</f>
        <v>#REF!</v>
      </c>
      <c r="K14" s="266" t="e">
        <f xml:space="preserve">
IF($A$4&lt;=12,SUMIFS(#REF!,#REF!,$A$4,#REF!,5),SUMIFS(#REF!,#REF!,5))</f>
        <v>#REF!</v>
      </c>
      <c r="L14" s="266" t="e">
        <f xml:space="preserve">
IF($A$4&lt;=12,SUMIFS(#REF!,#REF!,$A$4,#REF!,5),SUMIFS(#REF!,#REF!,5))</f>
        <v>#REF!</v>
      </c>
      <c r="M14" s="266" t="e">
        <f xml:space="preserve">
IF($A$4&lt;=12,SUMIFS(#REF!,#REF!,$A$4,#REF!,5),SUMIFS(#REF!,#REF!,5))</f>
        <v>#REF!</v>
      </c>
      <c r="N14" s="266" t="e">
        <f xml:space="preserve">
IF($A$4&lt;=12,SUMIFS(#REF!,#REF!,$A$4,#REF!,5),SUMIFS(#REF!,#REF!,5))</f>
        <v>#REF!</v>
      </c>
      <c r="O14" s="266" t="e">
        <f xml:space="preserve">
IF($A$4&lt;=12,SUMIFS(#REF!,#REF!,$A$4,#REF!,5),SUMIFS(#REF!,#REF!,5))</f>
        <v>#REF!</v>
      </c>
      <c r="P14" s="266" t="e">
        <f xml:space="preserve">
IF($A$4&lt;=12,SUMIFS(#REF!,#REF!,$A$4,#REF!,5),SUMIFS(#REF!,#REF!,5))</f>
        <v>#REF!</v>
      </c>
      <c r="Q14" s="266" t="e">
        <f xml:space="preserve">
IF($A$4&lt;=12,SUMIFS(#REF!,#REF!,$A$4,#REF!,5),SUMIFS(#REF!,#REF!,5))</f>
        <v>#REF!</v>
      </c>
      <c r="R14" s="266" t="e">
        <f xml:space="preserve">
IF($A$4&lt;=12,SUMIFS(#REF!,#REF!,$A$4,#REF!,5),SUMIFS(#REF!,#REF!,5))</f>
        <v>#REF!</v>
      </c>
      <c r="S14" s="266" t="e">
        <f xml:space="preserve">
IF($A$4&lt;=12,SUMIFS(#REF!,#REF!,$A$4,#REF!,5),SUMIFS(#REF!,#REF!,5))</f>
        <v>#REF!</v>
      </c>
      <c r="T14" s="266" t="e">
        <f xml:space="preserve">
IF($A$4&lt;=12,SUMIFS(#REF!,#REF!,$A$4,#REF!,5),SUMIFS(#REF!,#REF!,5))</f>
        <v>#REF!</v>
      </c>
      <c r="U14" s="266" t="e">
        <f xml:space="preserve">
IF($A$4&lt;=12,SUMIFS(#REF!,#REF!,$A$4,#REF!,5),SUMIFS(#REF!,#REF!,5))</f>
        <v>#REF!</v>
      </c>
      <c r="V14" s="266" t="e">
        <f xml:space="preserve">
IF($A$4&lt;=12,SUMIFS(#REF!,#REF!,$A$4,#REF!,5),SUMIFS(#REF!,#REF!,5))</f>
        <v>#REF!</v>
      </c>
      <c r="W14" s="266" t="e">
        <f xml:space="preserve">
IF($A$4&lt;=12,SUMIFS(#REF!,#REF!,$A$4,#REF!,5),SUMIFS(#REF!,#REF!,5))</f>
        <v>#REF!</v>
      </c>
      <c r="X14" s="266" t="e">
        <f xml:space="preserve">
IF($A$4&lt;=12,SUMIFS(#REF!,#REF!,$A$4,#REF!,5),SUMIFS(#REF!,#REF!,5))</f>
        <v>#REF!</v>
      </c>
      <c r="Y14" s="266" t="e">
        <f xml:space="preserve">
IF($A$4&lt;=12,SUMIFS(#REF!,#REF!,$A$4,#REF!,5),SUMIFS(#REF!,#REF!,5))</f>
        <v>#REF!</v>
      </c>
      <c r="Z14" s="266" t="e">
        <f xml:space="preserve">
IF($A$4&lt;=12,SUMIFS(#REF!,#REF!,$A$4,#REF!,5),SUMIFS(#REF!,#REF!,5))</f>
        <v>#REF!</v>
      </c>
      <c r="AA14" s="266" t="e">
        <f xml:space="preserve">
IF($A$4&lt;=12,SUMIFS(#REF!,#REF!,$A$4,#REF!,5),SUMIFS(#REF!,#REF!,5))</f>
        <v>#REF!</v>
      </c>
      <c r="AB14" s="266" t="e">
        <f xml:space="preserve">
IF($A$4&lt;=12,SUMIFS(#REF!,#REF!,$A$4,#REF!,5),SUMIFS(#REF!,#REF!,5))</f>
        <v>#REF!</v>
      </c>
      <c r="AC14" s="266" t="e">
        <f xml:space="preserve">
IF($A$4&lt;=12,SUMIFS(#REF!,#REF!,$A$4,#REF!,5),SUMIFS(#REF!,#REF!,5))</f>
        <v>#REF!</v>
      </c>
      <c r="AD14" s="266" t="e">
        <f xml:space="preserve">
IF($A$4&lt;=12,SUMIFS(#REF!,#REF!,$A$4,#REF!,5),SUMIFS(#REF!,#REF!,5))</f>
        <v>#REF!</v>
      </c>
      <c r="AE14" s="266" t="e">
        <f xml:space="preserve">
IF($A$4&lt;=12,SUMIFS(#REF!,#REF!,$A$4,#REF!,5),SUMIFS(#REF!,#REF!,5))</f>
        <v>#REF!</v>
      </c>
      <c r="AF14" s="266" t="e">
        <f xml:space="preserve">
IF($A$4&lt;=12,SUMIFS(#REF!,#REF!,$A$4,#REF!,5),SUMIFS(#REF!,#REF!,5))</f>
        <v>#REF!</v>
      </c>
      <c r="AG14" s="266" t="e">
        <f xml:space="preserve">
IF($A$4&lt;=12,SUMIFS(#REF!,#REF!,$A$4,#REF!,5),SUMIFS(#REF!,#REF!,5))</f>
        <v>#REF!</v>
      </c>
      <c r="AH14" s="266" t="e">
        <f xml:space="preserve">
IF($A$4&lt;=12,SUMIFS(#REF!,#REF!,$A$4,#REF!,5),SUMIFS(#REF!,#REF!,5))</f>
        <v>#REF!</v>
      </c>
      <c r="AI14" s="266" t="e">
        <f xml:space="preserve">
IF($A$4&lt;=12,SUMIFS(#REF!,#REF!,$A$4,#REF!,5),SUMIFS(#REF!,#REF!,5))</f>
        <v>#REF!</v>
      </c>
      <c r="AJ14" s="267" t="e">
        <f xml:space="preserve">
IF($A$4&lt;=12,SUMIFS(#REF!,#REF!,$A$4,#REF!,5),SUMIFS(#REF!,#REF!,5))</f>
        <v>#REF!</v>
      </c>
    </row>
    <row r="15" spans="1:36" x14ac:dyDescent="0.3">
      <c r="A15" s="163" t="s">
        <v>178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1"/>
    </row>
    <row r="16" spans="1:36" x14ac:dyDescent="0.3">
      <c r="A16" s="245" t="s">
        <v>169</v>
      </c>
      <c r="B16" s="260" t="e">
        <f xml:space="preserve">
IF($A$4&lt;=12,SUMIFS(#REF!,#REF!,$A$4,#REF!,7),SUMIFS(#REF!,#REF!,7))</f>
        <v>#REF!</v>
      </c>
      <c r="C16" s="261" t="e">
        <f xml:space="preserve">
IF($A$4&lt;=12,SUMIFS(#REF!,#REF!,$A$4,#REF!,7),SUMIFS(#REF!,#REF!,7))</f>
        <v>#REF!</v>
      </c>
      <c r="D16" s="262" t="e">
        <f xml:space="preserve">
IF($A$4&lt;=12,SUMIFS(#REF!,#REF!,$A$4,#REF!,7),SUMIFS(#REF!,#REF!,7))</f>
        <v>#REF!</v>
      </c>
      <c r="E16" s="262" t="e">
        <f xml:space="preserve">
IF($A$4&lt;=12,SUMIFS(#REF!,#REF!,$A$4,#REF!,7),SUMIFS(#REF!,#REF!,7))</f>
        <v>#REF!</v>
      </c>
      <c r="F16" s="262" t="e">
        <f xml:space="preserve">
IF($A$4&lt;=12,SUMIFS(#REF!,#REF!,$A$4,#REF!,7),SUMIFS(#REF!,#REF!,7))</f>
        <v>#REF!</v>
      </c>
      <c r="G16" s="262" t="e">
        <f xml:space="preserve">
IF($A$4&lt;=12,SUMIFS(#REF!,#REF!,$A$4,#REF!,7),SUMIFS(#REF!,#REF!,7))</f>
        <v>#REF!</v>
      </c>
      <c r="H16" s="262" t="e">
        <f xml:space="preserve">
IF($A$4&lt;=12,SUMIFS(#REF!,#REF!,$A$4,#REF!,7),SUMIFS(#REF!,#REF!,7))</f>
        <v>#REF!</v>
      </c>
      <c r="I16" s="262" t="e">
        <f xml:space="preserve">
IF($A$4&lt;=12,SUMIFS(#REF!,#REF!,$A$4,#REF!,7),SUMIFS(#REF!,#REF!,7))</f>
        <v>#REF!</v>
      </c>
      <c r="J16" s="262" t="e">
        <f xml:space="preserve">
IF($A$4&lt;=12,SUMIFS(#REF!,#REF!,$A$4,#REF!,7),SUMIFS(#REF!,#REF!,7))</f>
        <v>#REF!</v>
      </c>
      <c r="K16" s="262" t="e">
        <f xml:space="preserve">
IF($A$4&lt;=12,SUMIFS(#REF!,#REF!,$A$4,#REF!,7),SUMIFS(#REF!,#REF!,7))</f>
        <v>#REF!</v>
      </c>
      <c r="L16" s="262" t="e">
        <f xml:space="preserve">
IF($A$4&lt;=12,SUMIFS(#REF!,#REF!,$A$4,#REF!,7),SUMIFS(#REF!,#REF!,7))</f>
        <v>#REF!</v>
      </c>
      <c r="M16" s="262" t="e">
        <f xml:space="preserve">
IF($A$4&lt;=12,SUMIFS(#REF!,#REF!,$A$4,#REF!,7),SUMIFS(#REF!,#REF!,7))</f>
        <v>#REF!</v>
      </c>
      <c r="N16" s="262" t="e">
        <f xml:space="preserve">
IF($A$4&lt;=12,SUMIFS(#REF!,#REF!,$A$4,#REF!,7),SUMIFS(#REF!,#REF!,7))</f>
        <v>#REF!</v>
      </c>
      <c r="O16" s="262" t="e">
        <f xml:space="preserve">
IF($A$4&lt;=12,SUMIFS(#REF!,#REF!,$A$4,#REF!,7),SUMIFS(#REF!,#REF!,7))</f>
        <v>#REF!</v>
      </c>
      <c r="P16" s="262" t="e">
        <f xml:space="preserve">
IF($A$4&lt;=12,SUMIFS(#REF!,#REF!,$A$4,#REF!,7),SUMIFS(#REF!,#REF!,7))</f>
        <v>#REF!</v>
      </c>
      <c r="Q16" s="262" t="e">
        <f xml:space="preserve">
IF($A$4&lt;=12,SUMIFS(#REF!,#REF!,$A$4,#REF!,7),SUMIFS(#REF!,#REF!,7))</f>
        <v>#REF!</v>
      </c>
      <c r="R16" s="262" t="e">
        <f xml:space="preserve">
IF($A$4&lt;=12,SUMIFS(#REF!,#REF!,$A$4,#REF!,7),SUMIFS(#REF!,#REF!,7))</f>
        <v>#REF!</v>
      </c>
      <c r="S16" s="262" t="e">
        <f xml:space="preserve">
IF($A$4&lt;=12,SUMIFS(#REF!,#REF!,$A$4,#REF!,7),SUMIFS(#REF!,#REF!,7))</f>
        <v>#REF!</v>
      </c>
      <c r="T16" s="262" t="e">
        <f xml:space="preserve">
IF($A$4&lt;=12,SUMIFS(#REF!,#REF!,$A$4,#REF!,7),SUMIFS(#REF!,#REF!,7))</f>
        <v>#REF!</v>
      </c>
      <c r="U16" s="262" t="e">
        <f xml:space="preserve">
IF($A$4&lt;=12,SUMIFS(#REF!,#REF!,$A$4,#REF!,7),SUMIFS(#REF!,#REF!,7))</f>
        <v>#REF!</v>
      </c>
      <c r="V16" s="262" t="e">
        <f xml:space="preserve">
IF($A$4&lt;=12,SUMIFS(#REF!,#REF!,$A$4,#REF!,7),SUMIFS(#REF!,#REF!,7))</f>
        <v>#REF!</v>
      </c>
      <c r="W16" s="262" t="e">
        <f xml:space="preserve">
IF($A$4&lt;=12,SUMIFS(#REF!,#REF!,$A$4,#REF!,7),SUMIFS(#REF!,#REF!,7))</f>
        <v>#REF!</v>
      </c>
      <c r="X16" s="262" t="e">
        <f xml:space="preserve">
IF($A$4&lt;=12,SUMIFS(#REF!,#REF!,$A$4,#REF!,7),SUMIFS(#REF!,#REF!,7))</f>
        <v>#REF!</v>
      </c>
      <c r="Y16" s="262" t="e">
        <f xml:space="preserve">
IF($A$4&lt;=12,SUMIFS(#REF!,#REF!,$A$4,#REF!,7),SUMIFS(#REF!,#REF!,7))</f>
        <v>#REF!</v>
      </c>
      <c r="Z16" s="262" t="e">
        <f xml:space="preserve">
IF($A$4&lt;=12,SUMIFS(#REF!,#REF!,$A$4,#REF!,7),SUMIFS(#REF!,#REF!,7))</f>
        <v>#REF!</v>
      </c>
      <c r="AA16" s="262" t="e">
        <f xml:space="preserve">
IF($A$4&lt;=12,SUMIFS(#REF!,#REF!,$A$4,#REF!,7),SUMIFS(#REF!,#REF!,7))</f>
        <v>#REF!</v>
      </c>
      <c r="AB16" s="262" t="e">
        <f xml:space="preserve">
IF($A$4&lt;=12,SUMIFS(#REF!,#REF!,$A$4,#REF!,7),SUMIFS(#REF!,#REF!,7))</f>
        <v>#REF!</v>
      </c>
      <c r="AC16" s="262" t="e">
        <f xml:space="preserve">
IF($A$4&lt;=12,SUMIFS(#REF!,#REF!,$A$4,#REF!,7),SUMIFS(#REF!,#REF!,7))</f>
        <v>#REF!</v>
      </c>
      <c r="AD16" s="262" t="e">
        <f xml:space="preserve">
IF($A$4&lt;=12,SUMIFS(#REF!,#REF!,$A$4,#REF!,7),SUMIFS(#REF!,#REF!,7))</f>
        <v>#REF!</v>
      </c>
      <c r="AE16" s="262" t="e">
        <f xml:space="preserve">
IF($A$4&lt;=12,SUMIFS(#REF!,#REF!,$A$4,#REF!,7),SUMIFS(#REF!,#REF!,7))</f>
        <v>#REF!</v>
      </c>
      <c r="AF16" s="262" t="e">
        <f xml:space="preserve">
IF($A$4&lt;=12,SUMIFS(#REF!,#REF!,$A$4,#REF!,7),SUMIFS(#REF!,#REF!,7))</f>
        <v>#REF!</v>
      </c>
      <c r="AG16" s="262" t="e">
        <f xml:space="preserve">
IF($A$4&lt;=12,SUMIFS(#REF!,#REF!,$A$4,#REF!,7),SUMIFS(#REF!,#REF!,7))</f>
        <v>#REF!</v>
      </c>
      <c r="AH16" s="262" t="e">
        <f xml:space="preserve">
IF($A$4&lt;=12,SUMIFS(#REF!,#REF!,$A$4,#REF!,7),SUMIFS(#REF!,#REF!,7))</f>
        <v>#REF!</v>
      </c>
      <c r="AI16" s="262" t="e">
        <f xml:space="preserve">
IF($A$4&lt;=12,SUMIFS(#REF!,#REF!,$A$4,#REF!,7),SUMIFS(#REF!,#REF!,7))</f>
        <v>#REF!</v>
      </c>
      <c r="AJ16" s="263" t="e">
        <f xml:space="preserve">
IF($A$4&lt;=12,SUMIFS(#REF!,#REF!,$A$4,#REF!,7),SUMIFS(#REF!,#REF!,7))</f>
        <v>#REF!</v>
      </c>
    </row>
    <row r="17" spans="1:36" x14ac:dyDescent="0.3">
      <c r="A17" s="245" t="s">
        <v>170</v>
      </c>
      <c r="B17" s="260" t="e">
        <f xml:space="preserve">
IF($A$4&lt;=12,SUMIFS(#REF!,#REF!,$A$4,#REF!,8),SUMIFS(#REF!,#REF!,8))</f>
        <v>#REF!</v>
      </c>
      <c r="C17" s="261" t="e">
        <f xml:space="preserve">
IF($A$4&lt;=12,SUMIFS(#REF!,#REF!,$A$4,#REF!,8),SUMIFS(#REF!,#REF!,8))</f>
        <v>#REF!</v>
      </c>
      <c r="D17" s="262" t="e">
        <f xml:space="preserve">
IF($A$4&lt;=12,SUMIFS(#REF!,#REF!,$A$4,#REF!,8),SUMIFS(#REF!,#REF!,8))</f>
        <v>#REF!</v>
      </c>
      <c r="E17" s="262" t="e">
        <f xml:space="preserve">
IF($A$4&lt;=12,SUMIFS(#REF!,#REF!,$A$4,#REF!,8),SUMIFS(#REF!,#REF!,8))</f>
        <v>#REF!</v>
      </c>
      <c r="F17" s="262" t="e">
        <f xml:space="preserve">
IF($A$4&lt;=12,SUMIFS(#REF!,#REF!,$A$4,#REF!,8),SUMIFS(#REF!,#REF!,8))</f>
        <v>#REF!</v>
      </c>
      <c r="G17" s="262" t="e">
        <f xml:space="preserve">
IF($A$4&lt;=12,SUMIFS(#REF!,#REF!,$A$4,#REF!,8),SUMIFS(#REF!,#REF!,8))</f>
        <v>#REF!</v>
      </c>
      <c r="H17" s="262" t="e">
        <f xml:space="preserve">
IF($A$4&lt;=12,SUMIFS(#REF!,#REF!,$A$4,#REF!,8),SUMIFS(#REF!,#REF!,8))</f>
        <v>#REF!</v>
      </c>
      <c r="I17" s="262" t="e">
        <f xml:space="preserve">
IF($A$4&lt;=12,SUMIFS(#REF!,#REF!,$A$4,#REF!,8),SUMIFS(#REF!,#REF!,8))</f>
        <v>#REF!</v>
      </c>
      <c r="J17" s="262" t="e">
        <f xml:space="preserve">
IF($A$4&lt;=12,SUMIFS(#REF!,#REF!,$A$4,#REF!,8),SUMIFS(#REF!,#REF!,8))</f>
        <v>#REF!</v>
      </c>
      <c r="K17" s="262" t="e">
        <f xml:space="preserve">
IF($A$4&lt;=12,SUMIFS(#REF!,#REF!,$A$4,#REF!,8),SUMIFS(#REF!,#REF!,8))</f>
        <v>#REF!</v>
      </c>
      <c r="L17" s="262" t="e">
        <f xml:space="preserve">
IF($A$4&lt;=12,SUMIFS(#REF!,#REF!,$A$4,#REF!,8),SUMIFS(#REF!,#REF!,8))</f>
        <v>#REF!</v>
      </c>
      <c r="M17" s="262" t="e">
        <f xml:space="preserve">
IF($A$4&lt;=12,SUMIFS(#REF!,#REF!,$A$4,#REF!,8),SUMIFS(#REF!,#REF!,8))</f>
        <v>#REF!</v>
      </c>
      <c r="N17" s="262" t="e">
        <f xml:space="preserve">
IF($A$4&lt;=12,SUMIFS(#REF!,#REF!,$A$4,#REF!,8),SUMIFS(#REF!,#REF!,8))</f>
        <v>#REF!</v>
      </c>
      <c r="O17" s="262" t="e">
        <f xml:space="preserve">
IF($A$4&lt;=12,SUMIFS(#REF!,#REF!,$A$4,#REF!,8),SUMIFS(#REF!,#REF!,8))</f>
        <v>#REF!</v>
      </c>
      <c r="P17" s="262" t="e">
        <f xml:space="preserve">
IF($A$4&lt;=12,SUMIFS(#REF!,#REF!,$A$4,#REF!,8),SUMIFS(#REF!,#REF!,8))</f>
        <v>#REF!</v>
      </c>
      <c r="Q17" s="262" t="e">
        <f xml:space="preserve">
IF($A$4&lt;=12,SUMIFS(#REF!,#REF!,$A$4,#REF!,8),SUMIFS(#REF!,#REF!,8))</f>
        <v>#REF!</v>
      </c>
      <c r="R17" s="262" t="e">
        <f xml:space="preserve">
IF($A$4&lt;=12,SUMIFS(#REF!,#REF!,$A$4,#REF!,8),SUMIFS(#REF!,#REF!,8))</f>
        <v>#REF!</v>
      </c>
      <c r="S17" s="262" t="e">
        <f xml:space="preserve">
IF($A$4&lt;=12,SUMIFS(#REF!,#REF!,$A$4,#REF!,8),SUMIFS(#REF!,#REF!,8))</f>
        <v>#REF!</v>
      </c>
      <c r="T17" s="262" t="e">
        <f xml:space="preserve">
IF($A$4&lt;=12,SUMIFS(#REF!,#REF!,$A$4,#REF!,8),SUMIFS(#REF!,#REF!,8))</f>
        <v>#REF!</v>
      </c>
      <c r="U17" s="262" t="e">
        <f xml:space="preserve">
IF($A$4&lt;=12,SUMIFS(#REF!,#REF!,$A$4,#REF!,8),SUMIFS(#REF!,#REF!,8))</f>
        <v>#REF!</v>
      </c>
      <c r="V17" s="262" t="e">
        <f xml:space="preserve">
IF($A$4&lt;=12,SUMIFS(#REF!,#REF!,$A$4,#REF!,8),SUMIFS(#REF!,#REF!,8))</f>
        <v>#REF!</v>
      </c>
      <c r="W17" s="262" t="e">
        <f xml:space="preserve">
IF($A$4&lt;=12,SUMIFS(#REF!,#REF!,$A$4,#REF!,8),SUMIFS(#REF!,#REF!,8))</f>
        <v>#REF!</v>
      </c>
      <c r="X17" s="262" t="e">
        <f xml:space="preserve">
IF($A$4&lt;=12,SUMIFS(#REF!,#REF!,$A$4,#REF!,8),SUMIFS(#REF!,#REF!,8))</f>
        <v>#REF!</v>
      </c>
      <c r="Y17" s="262" t="e">
        <f xml:space="preserve">
IF($A$4&lt;=12,SUMIFS(#REF!,#REF!,$A$4,#REF!,8),SUMIFS(#REF!,#REF!,8))</f>
        <v>#REF!</v>
      </c>
      <c r="Z17" s="262" t="e">
        <f xml:space="preserve">
IF($A$4&lt;=12,SUMIFS(#REF!,#REF!,$A$4,#REF!,8),SUMIFS(#REF!,#REF!,8))</f>
        <v>#REF!</v>
      </c>
      <c r="AA17" s="262" t="e">
        <f xml:space="preserve">
IF($A$4&lt;=12,SUMIFS(#REF!,#REF!,$A$4,#REF!,8),SUMIFS(#REF!,#REF!,8))</f>
        <v>#REF!</v>
      </c>
      <c r="AB17" s="262" t="e">
        <f xml:space="preserve">
IF($A$4&lt;=12,SUMIFS(#REF!,#REF!,$A$4,#REF!,8),SUMIFS(#REF!,#REF!,8))</f>
        <v>#REF!</v>
      </c>
      <c r="AC17" s="262" t="e">
        <f xml:space="preserve">
IF($A$4&lt;=12,SUMIFS(#REF!,#REF!,$A$4,#REF!,8),SUMIFS(#REF!,#REF!,8))</f>
        <v>#REF!</v>
      </c>
      <c r="AD17" s="262" t="e">
        <f xml:space="preserve">
IF($A$4&lt;=12,SUMIFS(#REF!,#REF!,$A$4,#REF!,8),SUMIFS(#REF!,#REF!,8))</f>
        <v>#REF!</v>
      </c>
      <c r="AE17" s="262" t="e">
        <f xml:space="preserve">
IF($A$4&lt;=12,SUMIFS(#REF!,#REF!,$A$4,#REF!,8),SUMIFS(#REF!,#REF!,8))</f>
        <v>#REF!</v>
      </c>
      <c r="AF17" s="262" t="e">
        <f xml:space="preserve">
IF($A$4&lt;=12,SUMIFS(#REF!,#REF!,$A$4,#REF!,8),SUMIFS(#REF!,#REF!,8))</f>
        <v>#REF!</v>
      </c>
      <c r="AG17" s="262" t="e">
        <f xml:space="preserve">
IF($A$4&lt;=12,SUMIFS(#REF!,#REF!,$A$4,#REF!,8),SUMIFS(#REF!,#REF!,8))</f>
        <v>#REF!</v>
      </c>
      <c r="AH17" s="262" t="e">
        <f xml:space="preserve">
IF($A$4&lt;=12,SUMIFS(#REF!,#REF!,$A$4,#REF!,8),SUMIFS(#REF!,#REF!,8))</f>
        <v>#REF!</v>
      </c>
      <c r="AI17" s="262" t="e">
        <f xml:space="preserve">
IF($A$4&lt;=12,SUMIFS(#REF!,#REF!,$A$4,#REF!,8),SUMIFS(#REF!,#REF!,8))</f>
        <v>#REF!</v>
      </c>
      <c r="AJ17" s="263" t="e">
        <f xml:space="preserve">
IF($A$4&lt;=12,SUMIFS(#REF!,#REF!,$A$4,#REF!,8),SUMIFS(#REF!,#REF!,8))</f>
        <v>#REF!</v>
      </c>
    </row>
    <row r="18" spans="1:36" x14ac:dyDescent="0.3">
      <c r="A18" s="245" t="s">
        <v>171</v>
      </c>
      <c r="B18" s="260" t="e">
        <f xml:space="preserve">
B19-B16-B17</f>
        <v>#REF!</v>
      </c>
      <c r="C18" s="261" t="e">
        <f t="shared" ref="C18" si="0" xml:space="preserve">
C19-C16-C17</f>
        <v>#REF!</v>
      </c>
      <c r="D18" s="262" t="e">
        <f t="shared" ref="D18:AJ18" si="1" xml:space="preserve">
D19-D16-D17</f>
        <v>#REF!</v>
      </c>
      <c r="E18" s="262" t="e">
        <f t="shared" si="1"/>
        <v>#REF!</v>
      </c>
      <c r="F18" s="262" t="e">
        <f t="shared" si="1"/>
        <v>#REF!</v>
      </c>
      <c r="G18" s="262" t="e">
        <f t="shared" si="1"/>
        <v>#REF!</v>
      </c>
      <c r="H18" s="262" t="e">
        <f t="shared" si="1"/>
        <v>#REF!</v>
      </c>
      <c r="I18" s="262" t="e">
        <f t="shared" si="1"/>
        <v>#REF!</v>
      </c>
      <c r="J18" s="262" t="e">
        <f t="shared" si="1"/>
        <v>#REF!</v>
      </c>
      <c r="K18" s="262" t="e">
        <f t="shared" si="1"/>
        <v>#REF!</v>
      </c>
      <c r="L18" s="262" t="e">
        <f t="shared" si="1"/>
        <v>#REF!</v>
      </c>
      <c r="M18" s="262" t="e">
        <f t="shared" si="1"/>
        <v>#REF!</v>
      </c>
      <c r="N18" s="262" t="e">
        <f t="shared" si="1"/>
        <v>#REF!</v>
      </c>
      <c r="O18" s="262" t="e">
        <f t="shared" si="1"/>
        <v>#REF!</v>
      </c>
      <c r="P18" s="262" t="e">
        <f t="shared" si="1"/>
        <v>#REF!</v>
      </c>
      <c r="Q18" s="262" t="e">
        <f t="shared" si="1"/>
        <v>#REF!</v>
      </c>
      <c r="R18" s="262" t="e">
        <f t="shared" si="1"/>
        <v>#REF!</v>
      </c>
      <c r="S18" s="262" t="e">
        <f t="shared" si="1"/>
        <v>#REF!</v>
      </c>
      <c r="T18" s="262" t="e">
        <f t="shared" si="1"/>
        <v>#REF!</v>
      </c>
      <c r="U18" s="262" t="e">
        <f t="shared" si="1"/>
        <v>#REF!</v>
      </c>
      <c r="V18" s="262" t="e">
        <f t="shared" si="1"/>
        <v>#REF!</v>
      </c>
      <c r="W18" s="262" t="e">
        <f t="shared" si="1"/>
        <v>#REF!</v>
      </c>
      <c r="X18" s="262" t="e">
        <f t="shared" si="1"/>
        <v>#REF!</v>
      </c>
      <c r="Y18" s="262" t="e">
        <f t="shared" si="1"/>
        <v>#REF!</v>
      </c>
      <c r="Z18" s="262" t="e">
        <f t="shared" si="1"/>
        <v>#REF!</v>
      </c>
      <c r="AA18" s="262" t="e">
        <f t="shared" si="1"/>
        <v>#REF!</v>
      </c>
      <c r="AB18" s="262" t="e">
        <f t="shared" si="1"/>
        <v>#REF!</v>
      </c>
      <c r="AC18" s="262" t="e">
        <f t="shared" si="1"/>
        <v>#REF!</v>
      </c>
      <c r="AD18" s="262" t="e">
        <f t="shared" si="1"/>
        <v>#REF!</v>
      </c>
      <c r="AE18" s="262" t="e">
        <f t="shared" si="1"/>
        <v>#REF!</v>
      </c>
      <c r="AF18" s="262" t="e">
        <f t="shared" si="1"/>
        <v>#REF!</v>
      </c>
      <c r="AG18" s="262" t="e">
        <f t="shared" si="1"/>
        <v>#REF!</v>
      </c>
      <c r="AH18" s="262" t="e">
        <f t="shared" si="1"/>
        <v>#REF!</v>
      </c>
      <c r="AI18" s="262" t="e">
        <f t="shared" si="1"/>
        <v>#REF!</v>
      </c>
      <c r="AJ18" s="263" t="e">
        <f t="shared" si="1"/>
        <v>#REF!</v>
      </c>
    </row>
    <row r="19" spans="1:36" ht="15" thickBot="1" x14ac:dyDescent="0.35">
      <c r="A19" s="246" t="s">
        <v>172</v>
      </c>
      <c r="B19" s="272" t="e">
        <f xml:space="preserve">
IF($A$4&lt;=12,SUMIFS(#REF!,#REF!,$A$4,#REF!,9),SUMIFS(#REF!,#REF!,9))</f>
        <v>#REF!</v>
      </c>
      <c r="C19" s="273" t="e">
        <f xml:space="preserve">
IF($A$4&lt;=12,SUMIFS(#REF!,#REF!,$A$4,#REF!,9),SUMIFS(#REF!,#REF!,9))</f>
        <v>#REF!</v>
      </c>
      <c r="D19" s="274" t="e">
        <f xml:space="preserve">
IF($A$4&lt;=12,SUMIFS(#REF!,#REF!,$A$4,#REF!,9),SUMIFS(#REF!,#REF!,9))</f>
        <v>#REF!</v>
      </c>
      <c r="E19" s="274" t="e">
        <f xml:space="preserve">
IF($A$4&lt;=12,SUMIFS(#REF!,#REF!,$A$4,#REF!,9),SUMIFS(#REF!,#REF!,9))</f>
        <v>#REF!</v>
      </c>
      <c r="F19" s="274" t="e">
        <f xml:space="preserve">
IF($A$4&lt;=12,SUMIFS(#REF!,#REF!,$A$4,#REF!,9),SUMIFS(#REF!,#REF!,9))</f>
        <v>#REF!</v>
      </c>
      <c r="G19" s="274" t="e">
        <f xml:space="preserve">
IF($A$4&lt;=12,SUMIFS(#REF!,#REF!,$A$4,#REF!,9),SUMIFS(#REF!,#REF!,9))</f>
        <v>#REF!</v>
      </c>
      <c r="H19" s="274" t="e">
        <f xml:space="preserve">
IF($A$4&lt;=12,SUMIFS(#REF!,#REF!,$A$4,#REF!,9),SUMIFS(#REF!,#REF!,9))</f>
        <v>#REF!</v>
      </c>
      <c r="I19" s="274" t="e">
        <f xml:space="preserve">
IF($A$4&lt;=12,SUMIFS(#REF!,#REF!,$A$4,#REF!,9),SUMIFS(#REF!,#REF!,9))</f>
        <v>#REF!</v>
      </c>
      <c r="J19" s="274" t="e">
        <f xml:space="preserve">
IF($A$4&lt;=12,SUMIFS(#REF!,#REF!,$A$4,#REF!,9),SUMIFS(#REF!,#REF!,9))</f>
        <v>#REF!</v>
      </c>
      <c r="K19" s="274" t="e">
        <f xml:space="preserve">
IF($A$4&lt;=12,SUMIFS(#REF!,#REF!,$A$4,#REF!,9),SUMIFS(#REF!,#REF!,9))</f>
        <v>#REF!</v>
      </c>
      <c r="L19" s="274" t="e">
        <f xml:space="preserve">
IF($A$4&lt;=12,SUMIFS(#REF!,#REF!,$A$4,#REF!,9),SUMIFS(#REF!,#REF!,9))</f>
        <v>#REF!</v>
      </c>
      <c r="M19" s="274" t="e">
        <f xml:space="preserve">
IF($A$4&lt;=12,SUMIFS(#REF!,#REF!,$A$4,#REF!,9),SUMIFS(#REF!,#REF!,9))</f>
        <v>#REF!</v>
      </c>
      <c r="N19" s="274" t="e">
        <f xml:space="preserve">
IF($A$4&lt;=12,SUMIFS(#REF!,#REF!,$A$4,#REF!,9),SUMIFS(#REF!,#REF!,9))</f>
        <v>#REF!</v>
      </c>
      <c r="O19" s="274" t="e">
        <f xml:space="preserve">
IF($A$4&lt;=12,SUMIFS(#REF!,#REF!,$A$4,#REF!,9),SUMIFS(#REF!,#REF!,9))</f>
        <v>#REF!</v>
      </c>
      <c r="P19" s="274" t="e">
        <f xml:space="preserve">
IF($A$4&lt;=12,SUMIFS(#REF!,#REF!,$A$4,#REF!,9),SUMIFS(#REF!,#REF!,9))</f>
        <v>#REF!</v>
      </c>
      <c r="Q19" s="274" t="e">
        <f xml:space="preserve">
IF($A$4&lt;=12,SUMIFS(#REF!,#REF!,$A$4,#REF!,9),SUMIFS(#REF!,#REF!,9))</f>
        <v>#REF!</v>
      </c>
      <c r="R19" s="274" t="e">
        <f xml:space="preserve">
IF($A$4&lt;=12,SUMIFS(#REF!,#REF!,$A$4,#REF!,9),SUMIFS(#REF!,#REF!,9))</f>
        <v>#REF!</v>
      </c>
      <c r="S19" s="274" t="e">
        <f xml:space="preserve">
IF($A$4&lt;=12,SUMIFS(#REF!,#REF!,$A$4,#REF!,9),SUMIFS(#REF!,#REF!,9))</f>
        <v>#REF!</v>
      </c>
      <c r="T19" s="274" t="e">
        <f xml:space="preserve">
IF($A$4&lt;=12,SUMIFS(#REF!,#REF!,$A$4,#REF!,9),SUMIFS(#REF!,#REF!,9))</f>
        <v>#REF!</v>
      </c>
      <c r="U19" s="274" t="e">
        <f xml:space="preserve">
IF($A$4&lt;=12,SUMIFS(#REF!,#REF!,$A$4,#REF!,9),SUMIFS(#REF!,#REF!,9))</f>
        <v>#REF!</v>
      </c>
      <c r="V19" s="274" t="e">
        <f xml:space="preserve">
IF($A$4&lt;=12,SUMIFS(#REF!,#REF!,$A$4,#REF!,9),SUMIFS(#REF!,#REF!,9))</f>
        <v>#REF!</v>
      </c>
      <c r="W19" s="274" t="e">
        <f xml:space="preserve">
IF($A$4&lt;=12,SUMIFS(#REF!,#REF!,$A$4,#REF!,9),SUMIFS(#REF!,#REF!,9))</f>
        <v>#REF!</v>
      </c>
      <c r="X19" s="274" t="e">
        <f xml:space="preserve">
IF($A$4&lt;=12,SUMIFS(#REF!,#REF!,$A$4,#REF!,9),SUMIFS(#REF!,#REF!,9))</f>
        <v>#REF!</v>
      </c>
      <c r="Y19" s="274" t="e">
        <f xml:space="preserve">
IF($A$4&lt;=12,SUMIFS(#REF!,#REF!,$A$4,#REF!,9),SUMIFS(#REF!,#REF!,9))</f>
        <v>#REF!</v>
      </c>
      <c r="Z19" s="274" t="e">
        <f xml:space="preserve">
IF($A$4&lt;=12,SUMIFS(#REF!,#REF!,$A$4,#REF!,9),SUMIFS(#REF!,#REF!,9))</f>
        <v>#REF!</v>
      </c>
      <c r="AA19" s="274" t="e">
        <f xml:space="preserve">
IF($A$4&lt;=12,SUMIFS(#REF!,#REF!,$A$4,#REF!,9),SUMIFS(#REF!,#REF!,9))</f>
        <v>#REF!</v>
      </c>
      <c r="AB19" s="274" t="e">
        <f xml:space="preserve">
IF($A$4&lt;=12,SUMIFS(#REF!,#REF!,$A$4,#REF!,9),SUMIFS(#REF!,#REF!,9))</f>
        <v>#REF!</v>
      </c>
      <c r="AC19" s="274" t="e">
        <f xml:space="preserve">
IF($A$4&lt;=12,SUMIFS(#REF!,#REF!,$A$4,#REF!,9),SUMIFS(#REF!,#REF!,9))</f>
        <v>#REF!</v>
      </c>
      <c r="AD19" s="274" t="e">
        <f xml:space="preserve">
IF($A$4&lt;=12,SUMIFS(#REF!,#REF!,$A$4,#REF!,9),SUMIFS(#REF!,#REF!,9))</f>
        <v>#REF!</v>
      </c>
      <c r="AE19" s="274" t="e">
        <f xml:space="preserve">
IF($A$4&lt;=12,SUMIFS(#REF!,#REF!,$A$4,#REF!,9),SUMIFS(#REF!,#REF!,9))</f>
        <v>#REF!</v>
      </c>
      <c r="AF19" s="274" t="e">
        <f xml:space="preserve">
IF($A$4&lt;=12,SUMIFS(#REF!,#REF!,$A$4,#REF!,9),SUMIFS(#REF!,#REF!,9))</f>
        <v>#REF!</v>
      </c>
      <c r="AG19" s="274" t="e">
        <f xml:space="preserve">
IF($A$4&lt;=12,SUMIFS(#REF!,#REF!,$A$4,#REF!,9),SUMIFS(#REF!,#REF!,9))</f>
        <v>#REF!</v>
      </c>
      <c r="AH19" s="274" t="e">
        <f xml:space="preserve">
IF($A$4&lt;=12,SUMIFS(#REF!,#REF!,$A$4,#REF!,9),SUMIFS(#REF!,#REF!,9))</f>
        <v>#REF!</v>
      </c>
      <c r="AI19" s="274" t="e">
        <f xml:space="preserve">
IF($A$4&lt;=12,SUMIFS(#REF!,#REF!,$A$4,#REF!,9),SUMIFS(#REF!,#REF!,9))</f>
        <v>#REF!</v>
      </c>
      <c r="AJ19" s="275" t="e">
        <f xml:space="preserve">
IF($A$4&lt;=12,SUMIFS(#REF!,#REF!,$A$4,#REF!,9),SUMIFS(#REF!,#REF!,9))</f>
        <v>#REF!</v>
      </c>
    </row>
    <row r="20" spans="1:36" ht="15" collapsed="1" thickBot="1" x14ac:dyDescent="0.35">
      <c r="A20" s="247" t="s">
        <v>71</v>
      </c>
      <c r="B20" s="276" t="e">
        <f xml:space="preserve">
IF($A$4&lt;=12,SUMIFS(#REF!,#REF!,$A$4,#REF!,6),SUMIFS(#REF!,#REF!,6))</f>
        <v>#REF!</v>
      </c>
      <c r="C20" s="277" t="e">
        <f xml:space="preserve">
IF($A$4&lt;=12,SUMIFS(#REF!,#REF!,$A$4,#REF!,6),SUMIFS(#REF!,#REF!,6))</f>
        <v>#REF!</v>
      </c>
      <c r="D20" s="278" t="e">
        <f xml:space="preserve">
IF($A$4&lt;=12,SUMIFS(#REF!,#REF!,$A$4,#REF!,6),SUMIFS(#REF!,#REF!,6))</f>
        <v>#REF!</v>
      </c>
      <c r="E20" s="278" t="e">
        <f xml:space="preserve">
IF($A$4&lt;=12,SUMIFS(#REF!,#REF!,$A$4,#REF!,6),SUMIFS(#REF!,#REF!,6))</f>
        <v>#REF!</v>
      </c>
      <c r="F20" s="278" t="e">
        <f xml:space="preserve">
IF($A$4&lt;=12,SUMIFS(#REF!,#REF!,$A$4,#REF!,6),SUMIFS(#REF!,#REF!,6))</f>
        <v>#REF!</v>
      </c>
      <c r="G20" s="278" t="e">
        <f xml:space="preserve">
IF($A$4&lt;=12,SUMIFS(#REF!,#REF!,$A$4,#REF!,6),SUMIFS(#REF!,#REF!,6))</f>
        <v>#REF!</v>
      </c>
      <c r="H20" s="278" t="e">
        <f xml:space="preserve">
IF($A$4&lt;=12,SUMIFS(#REF!,#REF!,$A$4,#REF!,6),SUMIFS(#REF!,#REF!,6))</f>
        <v>#REF!</v>
      </c>
      <c r="I20" s="278" t="e">
        <f xml:space="preserve">
IF($A$4&lt;=12,SUMIFS(#REF!,#REF!,$A$4,#REF!,6),SUMIFS(#REF!,#REF!,6))</f>
        <v>#REF!</v>
      </c>
      <c r="J20" s="278" t="e">
        <f xml:space="preserve">
IF($A$4&lt;=12,SUMIFS(#REF!,#REF!,$A$4,#REF!,6),SUMIFS(#REF!,#REF!,6))</f>
        <v>#REF!</v>
      </c>
      <c r="K20" s="278" t="e">
        <f xml:space="preserve">
IF($A$4&lt;=12,SUMIFS(#REF!,#REF!,$A$4,#REF!,6),SUMIFS(#REF!,#REF!,6))</f>
        <v>#REF!</v>
      </c>
      <c r="L20" s="278" t="e">
        <f xml:space="preserve">
IF($A$4&lt;=12,SUMIFS(#REF!,#REF!,$A$4,#REF!,6),SUMIFS(#REF!,#REF!,6))</f>
        <v>#REF!</v>
      </c>
      <c r="M20" s="278" t="e">
        <f xml:space="preserve">
IF($A$4&lt;=12,SUMIFS(#REF!,#REF!,$A$4,#REF!,6),SUMIFS(#REF!,#REF!,6))</f>
        <v>#REF!</v>
      </c>
      <c r="N20" s="278" t="e">
        <f xml:space="preserve">
IF($A$4&lt;=12,SUMIFS(#REF!,#REF!,$A$4,#REF!,6),SUMIFS(#REF!,#REF!,6))</f>
        <v>#REF!</v>
      </c>
      <c r="O20" s="278" t="e">
        <f xml:space="preserve">
IF($A$4&lt;=12,SUMIFS(#REF!,#REF!,$A$4,#REF!,6),SUMIFS(#REF!,#REF!,6))</f>
        <v>#REF!</v>
      </c>
      <c r="P20" s="278" t="e">
        <f xml:space="preserve">
IF($A$4&lt;=12,SUMIFS(#REF!,#REF!,$A$4,#REF!,6),SUMIFS(#REF!,#REF!,6))</f>
        <v>#REF!</v>
      </c>
      <c r="Q20" s="278" t="e">
        <f xml:space="preserve">
IF($A$4&lt;=12,SUMIFS(#REF!,#REF!,$A$4,#REF!,6),SUMIFS(#REF!,#REF!,6))</f>
        <v>#REF!</v>
      </c>
      <c r="R20" s="278" t="e">
        <f xml:space="preserve">
IF($A$4&lt;=12,SUMIFS(#REF!,#REF!,$A$4,#REF!,6),SUMIFS(#REF!,#REF!,6))</f>
        <v>#REF!</v>
      </c>
      <c r="S20" s="278" t="e">
        <f xml:space="preserve">
IF($A$4&lt;=12,SUMIFS(#REF!,#REF!,$A$4,#REF!,6),SUMIFS(#REF!,#REF!,6))</f>
        <v>#REF!</v>
      </c>
      <c r="T20" s="278" t="e">
        <f xml:space="preserve">
IF($A$4&lt;=12,SUMIFS(#REF!,#REF!,$A$4,#REF!,6),SUMIFS(#REF!,#REF!,6))</f>
        <v>#REF!</v>
      </c>
      <c r="U20" s="278" t="e">
        <f xml:space="preserve">
IF($A$4&lt;=12,SUMIFS(#REF!,#REF!,$A$4,#REF!,6),SUMIFS(#REF!,#REF!,6))</f>
        <v>#REF!</v>
      </c>
      <c r="V20" s="278" t="e">
        <f xml:space="preserve">
IF($A$4&lt;=12,SUMIFS(#REF!,#REF!,$A$4,#REF!,6),SUMIFS(#REF!,#REF!,6))</f>
        <v>#REF!</v>
      </c>
      <c r="W20" s="278" t="e">
        <f xml:space="preserve">
IF($A$4&lt;=12,SUMIFS(#REF!,#REF!,$A$4,#REF!,6),SUMIFS(#REF!,#REF!,6))</f>
        <v>#REF!</v>
      </c>
      <c r="X20" s="278" t="e">
        <f xml:space="preserve">
IF($A$4&lt;=12,SUMIFS(#REF!,#REF!,$A$4,#REF!,6),SUMIFS(#REF!,#REF!,6))</f>
        <v>#REF!</v>
      </c>
      <c r="Y20" s="278" t="e">
        <f xml:space="preserve">
IF($A$4&lt;=12,SUMIFS(#REF!,#REF!,$A$4,#REF!,6),SUMIFS(#REF!,#REF!,6))</f>
        <v>#REF!</v>
      </c>
      <c r="Z20" s="278" t="e">
        <f xml:space="preserve">
IF($A$4&lt;=12,SUMIFS(#REF!,#REF!,$A$4,#REF!,6),SUMIFS(#REF!,#REF!,6))</f>
        <v>#REF!</v>
      </c>
      <c r="AA20" s="278" t="e">
        <f xml:space="preserve">
IF($A$4&lt;=12,SUMIFS(#REF!,#REF!,$A$4,#REF!,6),SUMIFS(#REF!,#REF!,6))</f>
        <v>#REF!</v>
      </c>
      <c r="AB20" s="278" t="e">
        <f xml:space="preserve">
IF($A$4&lt;=12,SUMIFS(#REF!,#REF!,$A$4,#REF!,6),SUMIFS(#REF!,#REF!,6))</f>
        <v>#REF!</v>
      </c>
      <c r="AC20" s="278" t="e">
        <f xml:space="preserve">
IF($A$4&lt;=12,SUMIFS(#REF!,#REF!,$A$4,#REF!,6),SUMIFS(#REF!,#REF!,6))</f>
        <v>#REF!</v>
      </c>
      <c r="AD20" s="278" t="e">
        <f xml:space="preserve">
IF($A$4&lt;=12,SUMIFS(#REF!,#REF!,$A$4,#REF!,6),SUMIFS(#REF!,#REF!,6))</f>
        <v>#REF!</v>
      </c>
      <c r="AE20" s="278" t="e">
        <f xml:space="preserve">
IF($A$4&lt;=12,SUMIFS(#REF!,#REF!,$A$4,#REF!,6),SUMIFS(#REF!,#REF!,6))</f>
        <v>#REF!</v>
      </c>
      <c r="AF20" s="278" t="e">
        <f xml:space="preserve">
IF($A$4&lt;=12,SUMIFS(#REF!,#REF!,$A$4,#REF!,6),SUMIFS(#REF!,#REF!,6))</f>
        <v>#REF!</v>
      </c>
      <c r="AG20" s="278" t="e">
        <f xml:space="preserve">
IF($A$4&lt;=12,SUMIFS(#REF!,#REF!,$A$4,#REF!,6),SUMIFS(#REF!,#REF!,6))</f>
        <v>#REF!</v>
      </c>
      <c r="AH20" s="278" t="e">
        <f xml:space="preserve">
IF($A$4&lt;=12,SUMIFS(#REF!,#REF!,$A$4,#REF!,6),SUMIFS(#REF!,#REF!,6))</f>
        <v>#REF!</v>
      </c>
      <c r="AI20" s="278" t="e">
        <f xml:space="preserve">
IF($A$4&lt;=12,SUMIFS(#REF!,#REF!,$A$4,#REF!,6),SUMIFS(#REF!,#REF!,6))</f>
        <v>#REF!</v>
      </c>
      <c r="AJ20" s="279" t="e">
        <f xml:space="preserve">
IF($A$4&lt;=12,SUMIFS(#REF!,#REF!,$A$4,#REF!,6),SUMIFS(#REF!,#REF!,6))</f>
        <v>#REF!</v>
      </c>
    </row>
    <row r="21" spans="1:36" hidden="1" outlineLevel="1" x14ac:dyDescent="0.3">
      <c r="A21" s="240" t="s">
        <v>106</v>
      </c>
      <c r="B21" s="260" t="e">
        <f xml:space="preserve">
IF($A$4&lt;=12,SUMIFS(#REF!,#REF!,$A$4,#REF!,12),SUMIFS(#REF!,#REF!,12))</f>
        <v>#REF!</v>
      </c>
      <c r="C21" s="261" t="e">
        <f xml:space="preserve">
IF($A$4&lt;=12,SUMIFS(#REF!,#REF!,$A$4,#REF!,12),SUMIFS(#REF!,#REF!,12))</f>
        <v>#REF!</v>
      </c>
      <c r="D21" s="262" t="e">
        <f xml:space="preserve">
IF($A$4&lt;=12,SUMIFS(#REF!,#REF!,$A$4,#REF!,12),SUMIFS(#REF!,#REF!,12))</f>
        <v>#REF!</v>
      </c>
      <c r="E21" s="262" t="e">
        <f xml:space="preserve">
IF($A$4&lt;=12,SUMIFS(#REF!,#REF!,$A$4,#REF!,12),SUMIFS(#REF!,#REF!,12))</f>
        <v>#REF!</v>
      </c>
      <c r="F21" s="262" t="e">
        <f xml:space="preserve">
IF($A$4&lt;=12,SUMIFS(#REF!,#REF!,$A$4,#REF!,12),SUMIFS(#REF!,#REF!,12))</f>
        <v>#REF!</v>
      </c>
      <c r="G21" s="262" t="e">
        <f xml:space="preserve">
IF($A$4&lt;=12,SUMIFS(#REF!,#REF!,$A$4,#REF!,12),SUMIFS(#REF!,#REF!,12))</f>
        <v>#REF!</v>
      </c>
      <c r="H21" s="262" t="e">
        <f xml:space="preserve">
IF($A$4&lt;=12,SUMIFS(#REF!,#REF!,$A$4,#REF!,12),SUMIFS(#REF!,#REF!,12))</f>
        <v>#REF!</v>
      </c>
      <c r="I21" s="262" t="e">
        <f xml:space="preserve">
IF($A$4&lt;=12,SUMIFS(#REF!,#REF!,$A$4,#REF!,12),SUMIFS(#REF!,#REF!,12))</f>
        <v>#REF!</v>
      </c>
      <c r="J21" s="262" t="e">
        <f xml:space="preserve">
IF($A$4&lt;=12,SUMIFS(#REF!,#REF!,$A$4,#REF!,12),SUMIFS(#REF!,#REF!,12))</f>
        <v>#REF!</v>
      </c>
      <c r="K21" s="262" t="e">
        <f xml:space="preserve">
IF($A$4&lt;=12,SUMIFS(#REF!,#REF!,$A$4,#REF!,12),SUMIFS(#REF!,#REF!,12))</f>
        <v>#REF!</v>
      </c>
      <c r="L21" s="262" t="e">
        <f xml:space="preserve">
IF($A$4&lt;=12,SUMIFS(#REF!,#REF!,$A$4,#REF!,12),SUMIFS(#REF!,#REF!,12))</f>
        <v>#REF!</v>
      </c>
      <c r="M21" s="262" t="e">
        <f xml:space="preserve">
IF($A$4&lt;=12,SUMIFS(#REF!,#REF!,$A$4,#REF!,12),SUMIFS(#REF!,#REF!,12))</f>
        <v>#REF!</v>
      </c>
      <c r="N21" s="262" t="e">
        <f xml:space="preserve">
IF($A$4&lt;=12,SUMIFS(#REF!,#REF!,$A$4,#REF!,12),SUMIFS(#REF!,#REF!,12))</f>
        <v>#REF!</v>
      </c>
      <c r="O21" s="262" t="e">
        <f xml:space="preserve">
IF($A$4&lt;=12,SUMIFS(#REF!,#REF!,$A$4,#REF!,12),SUMIFS(#REF!,#REF!,12))</f>
        <v>#REF!</v>
      </c>
      <c r="P21" s="262" t="e">
        <f xml:space="preserve">
IF($A$4&lt;=12,SUMIFS(#REF!,#REF!,$A$4,#REF!,12),SUMIFS(#REF!,#REF!,12))</f>
        <v>#REF!</v>
      </c>
      <c r="Q21" s="262" t="e">
        <f xml:space="preserve">
IF($A$4&lt;=12,SUMIFS(#REF!,#REF!,$A$4,#REF!,12),SUMIFS(#REF!,#REF!,12))</f>
        <v>#REF!</v>
      </c>
      <c r="R21" s="262" t="e">
        <f xml:space="preserve">
IF($A$4&lt;=12,SUMIFS(#REF!,#REF!,$A$4,#REF!,12),SUMIFS(#REF!,#REF!,12))</f>
        <v>#REF!</v>
      </c>
      <c r="S21" s="262" t="e">
        <f xml:space="preserve">
IF($A$4&lt;=12,SUMIFS(#REF!,#REF!,$A$4,#REF!,12),SUMIFS(#REF!,#REF!,12))</f>
        <v>#REF!</v>
      </c>
      <c r="T21" s="262" t="e">
        <f xml:space="preserve">
IF($A$4&lt;=12,SUMIFS(#REF!,#REF!,$A$4,#REF!,12),SUMIFS(#REF!,#REF!,12))</f>
        <v>#REF!</v>
      </c>
      <c r="U21" s="262" t="e">
        <f xml:space="preserve">
IF($A$4&lt;=12,SUMIFS(#REF!,#REF!,$A$4,#REF!,12),SUMIFS(#REF!,#REF!,12))</f>
        <v>#REF!</v>
      </c>
      <c r="V21" s="262" t="e">
        <f xml:space="preserve">
IF($A$4&lt;=12,SUMIFS(#REF!,#REF!,$A$4,#REF!,12),SUMIFS(#REF!,#REF!,12))</f>
        <v>#REF!</v>
      </c>
      <c r="W21" s="262" t="e">
        <f xml:space="preserve">
IF($A$4&lt;=12,SUMIFS(#REF!,#REF!,$A$4,#REF!,12),SUMIFS(#REF!,#REF!,12))</f>
        <v>#REF!</v>
      </c>
      <c r="X21" s="262" t="e">
        <f xml:space="preserve">
IF($A$4&lt;=12,SUMIFS(#REF!,#REF!,$A$4,#REF!,12),SUMIFS(#REF!,#REF!,12))</f>
        <v>#REF!</v>
      </c>
      <c r="Y21" s="262" t="e">
        <f xml:space="preserve">
IF($A$4&lt;=12,SUMIFS(#REF!,#REF!,$A$4,#REF!,12),SUMIFS(#REF!,#REF!,12))</f>
        <v>#REF!</v>
      </c>
      <c r="Z21" s="262" t="e">
        <f xml:space="preserve">
IF($A$4&lt;=12,SUMIFS(#REF!,#REF!,$A$4,#REF!,12),SUMIFS(#REF!,#REF!,12))</f>
        <v>#REF!</v>
      </c>
      <c r="AA21" s="262" t="e">
        <f xml:space="preserve">
IF($A$4&lt;=12,SUMIFS(#REF!,#REF!,$A$4,#REF!,12),SUMIFS(#REF!,#REF!,12))</f>
        <v>#REF!</v>
      </c>
      <c r="AB21" s="262" t="e">
        <f xml:space="preserve">
IF($A$4&lt;=12,SUMIFS(#REF!,#REF!,$A$4,#REF!,12),SUMIFS(#REF!,#REF!,12))</f>
        <v>#REF!</v>
      </c>
      <c r="AC21" s="262" t="e">
        <f xml:space="preserve">
IF($A$4&lt;=12,SUMIFS(#REF!,#REF!,$A$4,#REF!,12),SUMIFS(#REF!,#REF!,12))</f>
        <v>#REF!</v>
      </c>
      <c r="AD21" s="262" t="e">
        <f xml:space="preserve">
IF($A$4&lt;=12,SUMIFS(#REF!,#REF!,$A$4,#REF!,12),SUMIFS(#REF!,#REF!,12))</f>
        <v>#REF!</v>
      </c>
      <c r="AE21" s="262" t="e">
        <f xml:space="preserve">
IF($A$4&lt;=12,SUMIFS(#REF!,#REF!,$A$4,#REF!,12),SUMIFS(#REF!,#REF!,12))</f>
        <v>#REF!</v>
      </c>
      <c r="AF21" s="262" t="e">
        <f xml:space="preserve">
IF($A$4&lt;=12,SUMIFS(#REF!,#REF!,$A$4,#REF!,12),SUMIFS(#REF!,#REF!,12))</f>
        <v>#REF!</v>
      </c>
      <c r="AG21" s="262" t="e">
        <f xml:space="preserve">
IF($A$4&lt;=12,SUMIFS(#REF!,#REF!,$A$4,#REF!,12),SUMIFS(#REF!,#REF!,12))</f>
        <v>#REF!</v>
      </c>
      <c r="AH21" s="262" t="e">
        <f xml:space="preserve">
IF($A$4&lt;=12,SUMIFS(#REF!,#REF!,$A$4,#REF!,12),SUMIFS(#REF!,#REF!,12))</f>
        <v>#REF!</v>
      </c>
      <c r="AI21" s="262" t="e">
        <f xml:space="preserve">
IF($A$4&lt;=12,SUMIFS(#REF!,#REF!,$A$4,#REF!,12),SUMIFS(#REF!,#REF!,12))</f>
        <v>#REF!</v>
      </c>
      <c r="AJ21" s="263" t="e">
        <f xml:space="preserve">
IF($A$4&lt;=12,SUMIFS(#REF!,#REF!,$A$4,#REF!,12),SUMIFS(#REF!,#REF!,12))</f>
        <v>#REF!</v>
      </c>
    </row>
    <row r="22" spans="1:36" hidden="1" outlineLevel="1" x14ac:dyDescent="0.3">
      <c r="A22" s="240" t="s">
        <v>73</v>
      </c>
      <c r="B22" s="313" t="e">
        <f xml:space="preserve">
IF(OR(B21="",B21=0),"",B20/B21)</f>
        <v>#REF!</v>
      </c>
      <c r="C22" s="314" t="e">
        <f t="shared" ref="C22:AJ22" si="2" xml:space="preserve">
IF(OR(C21="",C21=0),"",C20/C21)</f>
        <v>#REF!</v>
      </c>
      <c r="D22" s="315" t="e">
        <f t="shared" si="2"/>
        <v>#REF!</v>
      </c>
      <c r="E22" s="315" t="e">
        <f t="shared" si="2"/>
        <v>#REF!</v>
      </c>
      <c r="F22" s="315" t="e">
        <f t="shared" si="2"/>
        <v>#REF!</v>
      </c>
      <c r="G22" s="315" t="e">
        <f t="shared" si="2"/>
        <v>#REF!</v>
      </c>
      <c r="H22" s="315" t="e">
        <f t="shared" si="2"/>
        <v>#REF!</v>
      </c>
      <c r="I22" s="315" t="e">
        <f t="shared" si="2"/>
        <v>#REF!</v>
      </c>
      <c r="J22" s="315" t="e">
        <f t="shared" si="2"/>
        <v>#REF!</v>
      </c>
      <c r="K22" s="315" t="e">
        <f t="shared" si="2"/>
        <v>#REF!</v>
      </c>
      <c r="L22" s="315" t="e">
        <f t="shared" si="2"/>
        <v>#REF!</v>
      </c>
      <c r="M22" s="315" t="e">
        <f t="shared" si="2"/>
        <v>#REF!</v>
      </c>
      <c r="N22" s="315" t="e">
        <f t="shared" si="2"/>
        <v>#REF!</v>
      </c>
      <c r="O22" s="315" t="e">
        <f t="shared" si="2"/>
        <v>#REF!</v>
      </c>
      <c r="P22" s="315" t="e">
        <f t="shared" si="2"/>
        <v>#REF!</v>
      </c>
      <c r="Q22" s="315" t="e">
        <f t="shared" si="2"/>
        <v>#REF!</v>
      </c>
      <c r="R22" s="315" t="e">
        <f t="shared" si="2"/>
        <v>#REF!</v>
      </c>
      <c r="S22" s="315" t="e">
        <f t="shared" si="2"/>
        <v>#REF!</v>
      </c>
      <c r="T22" s="315" t="e">
        <f t="shared" si="2"/>
        <v>#REF!</v>
      </c>
      <c r="U22" s="315" t="e">
        <f t="shared" si="2"/>
        <v>#REF!</v>
      </c>
      <c r="V22" s="315" t="e">
        <f t="shared" si="2"/>
        <v>#REF!</v>
      </c>
      <c r="W22" s="315" t="e">
        <f t="shared" si="2"/>
        <v>#REF!</v>
      </c>
      <c r="X22" s="315" t="e">
        <f t="shared" si="2"/>
        <v>#REF!</v>
      </c>
      <c r="Y22" s="315" t="e">
        <f t="shared" si="2"/>
        <v>#REF!</v>
      </c>
      <c r="Z22" s="315" t="e">
        <f t="shared" si="2"/>
        <v>#REF!</v>
      </c>
      <c r="AA22" s="315" t="e">
        <f t="shared" si="2"/>
        <v>#REF!</v>
      </c>
      <c r="AB22" s="315" t="e">
        <f t="shared" si="2"/>
        <v>#REF!</v>
      </c>
      <c r="AC22" s="315" t="e">
        <f t="shared" si="2"/>
        <v>#REF!</v>
      </c>
      <c r="AD22" s="315" t="e">
        <f t="shared" si="2"/>
        <v>#REF!</v>
      </c>
      <c r="AE22" s="315" t="e">
        <f t="shared" si="2"/>
        <v>#REF!</v>
      </c>
      <c r="AF22" s="315" t="e">
        <f t="shared" si="2"/>
        <v>#REF!</v>
      </c>
      <c r="AG22" s="315" t="e">
        <f t="shared" si="2"/>
        <v>#REF!</v>
      </c>
      <c r="AH22" s="315" t="e">
        <f t="shared" si="2"/>
        <v>#REF!</v>
      </c>
      <c r="AI22" s="315" t="e">
        <f t="shared" si="2"/>
        <v>#REF!</v>
      </c>
      <c r="AJ22" s="316" t="e">
        <f t="shared" si="2"/>
        <v>#REF!</v>
      </c>
    </row>
    <row r="23" spans="1:36" ht="15" hidden="1" outlineLevel="1" thickBot="1" x14ac:dyDescent="0.35">
      <c r="A23" s="248" t="s">
        <v>66</v>
      </c>
      <c r="B23" s="264" t="e">
        <f xml:space="preserve">
IF(B21="","",B20-B21)</f>
        <v>#REF!</v>
      </c>
      <c r="C23" s="265" t="e">
        <f t="shared" ref="C23:AJ23" si="3" xml:space="preserve">
IF(C21="","",C20-C21)</f>
        <v>#REF!</v>
      </c>
      <c r="D23" s="266" t="e">
        <f t="shared" si="3"/>
        <v>#REF!</v>
      </c>
      <c r="E23" s="266" t="e">
        <f t="shared" si="3"/>
        <v>#REF!</v>
      </c>
      <c r="F23" s="266" t="e">
        <f t="shared" si="3"/>
        <v>#REF!</v>
      </c>
      <c r="G23" s="266" t="e">
        <f t="shared" si="3"/>
        <v>#REF!</v>
      </c>
      <c r="H23" s="266" t="e">
        <f t="shared" si="3"/>
        <v>#REF!</v>
      </c>
      <c r="I23" s="266" t="e">
        <f t="shared" si="3"/>
        <v>#REF!</v>
      </c>
      <c r="J23" s="266" t="e">
        <f t="shared" si="3"/>
        <v>#REF!</v>
      </c>
      <c r="K23" s="266" t="e">
        <f t="shared" si="3"/>
        <v>#REF!</v>
      </c>
      <c r="L23" s="266" t="e">
        <f t="shared" si="3"/>
        <v>#REF!</v>
      </c>
      <c r="M23" s="266" t="e">
        <f t="shared" si="3"/>
        <v>#REF!</v>
      </c>
      <c r="N23" s="266" t="e">
        <f t="shared" si="3"/>
        <v>#REF!</v>
      </c>
      <c r="O23" s="266" t="e">
        <f t="shared" si="3"/>
        <v>#REF!</v>
      </c>
      <c r="P23" s="266" t="e">
        <f t="shared" si="3"/>
        <v>#REF!</v>
      </c>
      <c r="Q23" s="266" t="e">
        <f t="shared" si="3"/>
        <v>#REF!</v>
      </c>
      <c r="R23" s="266" t="e">
        <f t="shared" si="3"/>
        <v>#REF!</v>
      </c>
      <c r="S23" s="266" t="e">
        <f t="shared" si="3"/>
        <v>#REF!</v>
      </c>
      <c r="T23" s="266" t="e">
        <f t="shared" si="3"/>
        <v>#REF!</v>
      </c>
      <c r="U23" s="266" t="e">
        <f t="shared" si="3"/>
        <v>#REF!</v>
      </c>
      <c r="V23" s="266" t="e">
        <f t="shared" si="3"/>
        <v>#REF!</v>
      </c>
      <c r="W23" s="266" t="e">
        <f t="shared" si="3"/>
        <v>#REF!</v>
      </c>
      <c r="X23" s="266" t="e">
        <f t="shared" si="3"/>
        <v>#REF!</v>
      </c>
      <c r="Y23" s="266" t="e">
        <f t="shared" si="3"/>
        <v>#REF!</v>
      </c>
      <c r="Z23" s="266" t="e">
        <f t="shared" si="3"/>
        <v>#REF!</v>
      </c>
      <c r="AA23" s="266" t="e">
        <f t="shared" si="3"/>
        <v>#REF!</v>
      </c>
      <c r="AB23" s="266" t="e">
        <f t="shared" si="3"/>
        <v>#REF!</v>
      </c>
      <c r="AC23" s="266" t="e">
        <f t="shared" si="3"/>
        <v>#REF!</v>
      </c>
      <c r="AD23" s="266" t="e">
        <f t="shared" si="3"/>
        <v>#REF!</v>
      </c>
      <c r="AE23" s="266" t="e">
        <f t="shared" si="3"/>
        <v>#REF!</v>
      </c>
      <c r="AF23" s="266" t="e">
        <f t="shared" si="3"/>
        <v>#REF!</v>
      </c>
      <c r="AG23" s="266" t="e">
        <f t="shared" si="3"/>
        <v>#REF!</v>
      </c>
      <c r="AH23" s="266" t="e">
        <f t="shared" si="3"/>
        <v>#REF!</v>
      </c>
      <c r="AI23" s="266" t="e">
        <f t="shared" si="3"/>
        <v>#REF!</v>
      </c>
      <c r="AJ23" s="267" t="e">
        <f t="shared" si="3"/>
        <v>#REF!</v>
      </c>
    </row>
    <row r="24" spans="1:36" x14ac:dyDescent="0.3">
      <c r="A24" s="242" t="s">
        <v>173</v>
      </c>
      <c r="B24" s="297" t="s">
        <v>3</v>
      </c>
      <c r="C24" s="408" t="s">
        <v>184</v>
      </c>
      <c r="D24" s="398"/>
      <c r="E24" s="398"/>
      <c r="F24" s="399"/>
      <c r="G24" s="397" t="s">
        <v>185</v>
      </c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9"/>
      <c r="AI24" s="397" t="s">
        <v>186</v>
      </c>
      <c r="AJ24" s="406"/>
    </row>
    <row r="25" spans="1:36" x14ac:dyDescent="0.3">
      <c r="A25" s="243" t="s">
        <v>71</v>
      </c>
      <c r="B25" s="260" t="e">
        <f xml:space="preserve">
SUM(C25:AJ25)</f>
        <v>#REF!</v>
      </c>
      <c r="C25" s="394" t="e">
        <f xml:space="preserve">
IF($A$4&lt;=12,SUMIFS(#REF!,#REF!,$A$4,#REF!,10),SUMIFS(#REF!,#REF!,10))</f>
        <v>#REF!</v>
      </c>
      <c r="D25" s="395"/>
      <c r="E25" s="395"/>
      <c r="F25" s="396"/>
      <c r="G25" s="392" t="e">
        <f xml:space="preserve">
IF($A$4&lt;=12,SUMIFS(#REF!,#REF!,$A$4,#REF!,10),SUMIFS(#REF!,#REF!,10))</f>
        <v>#REF!</v>
      </c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6"/>
      <c r="AI25" s="392" t="e">
        <f xml:space="preserve">
IF($A$4&lt;=12,SUMIFS(#REF!,#REF!,$A$4,#REF!,10),SUMIFS(#REF!,#REF!,10))</f>
        <v>#REF!</v>
      </c>
      <c r="AJ25" s="407"/>
    </row>
    <row r="26" spans="1:36" x14ac:dyDescent="0.3">
      <c r="A26" s="249" t="s">
        <v>183</v>
      </c>
      <c r="B26" s="272" t="e">
        <f xml:space="preserve">
SUM(C26:AJ26)</f>
        <v>#REF!</v>
      </c>
      <c r="C26" s="394" t="e">
        <f xml:space="preserve">
IF($A$4&lt;=12,SUMIFS(#REF!,#REF!,$A$4,#REF!,11),SUMIFS(#REF!,#REF!,11))</f>
        <v>#REF!</v>
      </c>
      <c r="D26" s="395"/>
      <c r="E26" s="395"/>
      <c r="F26" s="396"/>
      <c r="G26" s="400" t="e">
        <f xml:space="preserve">
IF($A$4&lt;=12,SUMIFS(#REF!,#REF!,$A$4,#REF!,11),SUMIFS(#REF!,#REF!,11))</f>
        <v>#REF!</v>
      </c>
      <c r="H26" s="401"/>
      <c r="I26" s="401"/>
      <c r="J26" s="401"/>
      <c r="K26" s="401"/>
      <c r="L26" s="401"/>
      <c r="M26" s="401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2"/>
      <c r="AI26" s="392" t="e">
        <f xml:space="preserve">
IF($A$4&lt;=12,SUMIFS(#REF!,#REF!,$A$4,#REF!,11),SUMIFS(#REF!,#REF!,11))</f>
        <v>#REF!</v>
      </c>
      <c r="AJ26" s="393"/>
    </row>
    <row r="27" spans="1:36" x14ac:dyDescent="0.3">
      <c r="A27" s="249" t="s">
        <v>73</v>
      </c>
      <c r="B27" s="298" t="e">
        <f xml:space="preserve">
IF(B26=0,0,B25/B26)</f>
        <v>#REF!</v>
      </c>
      <c r="C27" s="389" t="e">
        <f xml:space="preserve">
IF(C26=0,0,C25/C26)</f>
        <v>#REF!</v>
      </c>
      <c r="D27" s="390"/>
      <c r="E27" s="390"/>
      <c r="F27" s="391"/>
      <c r="G27" s="385" t="e">
        <f xml:space="preserve">
IF(G26=0,0,G25/G26)</f>
        <v>#REF!</v>
      </c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390"/>
      <c r="AB27" s="390"/>
      <c r="AC27" s="390"/>
      <c r="AD27" s="390"/>
      <c r="AE27" s="390"/>
      <c r="AF27" s="390"/>
      <c r="AG27" s="390"/>
      <c r="AH27" s="391"/>
      <c r="AI27" s="385" t="e">
        <f xml:space="preserve">
IF(AI26=0,0,AI25/AI26)</f>
        <v>#REF!</v>
      </c>
      <c r="AJ27" s="386"/>
    </row>
    <row r="28" spans="1:36" ht="15" thickBot="1" x14ac:dyDescent="0.35">
      <c r="A28" s="249" t="s">
        <v>182</v>
      </c>
      <c r="B28" s="272" t="e">
        <f xml:space="preserve">
SUM(C28:AJ28)</f>
        <v>#REF!</v>
      </c>
      <c r="C28" s="382" t="e">
        <f xml:space="preserve">
C26-C25</f>
        <v>#REF!</v>
      </c>
      <c r="D28" s="383"/>
      <c r="E28" s="383"/>
      <c r="F28" s="384"/>
      <c r="G28" s="387" t="e">
        <f xml:space="preserve">
G26-G25</f>
        <v>#REF!</v>
      </c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4"/>
      <c r="AI28" s="387" t="e">
        <f xml:space="preserve">
AI26-AI25</f>
        <v>#REF!</v>
      </c>
      <c r="AJ28" s="388"/>
    </row>
    <row r="29" spans="1:36" x14ac:dyDescent="0.3">
      <c r="A29" s="250"/>
      <c r="B29" s="250"/>
      <c r="C29" s="251"/>
      <c r="D29" s="250"/>
      <c r="E29" s="250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0"/>
      <c r="AG29" s="250"/>
      <c r="AH29" s="250"/>
      <c r="AI29" s="250"/>
      <c r="AJ29" s="250"/>
    </row>
    <row r="30" spans="1:36" x14ac:dyDescent="0.3">
      <c r="A30" s="113" t="s">
        <v>153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  <c r="AJ30" s="151"/>
    </row>
    <row r="31" spans="1:36" x14ac:dyDescent="0.3">
      <c r="A31" s="114" t="s">
        <v>180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  <c r="AJ31" s="151"/>
    </row>
    <row r="32" spans="1:36" ht="14.4" customHeight="1" x14ac:dyDescent="0.3">
      <c r="A32" s="294" t="s">
        <v>177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</row>
    <row r="33" spans="1:1" x14ac:dyDescent="0.3">
      <c r="A33" s="296" t="s">
        <v>187</v>
      </c>
    </row>
    <row r="34" spans="1:1" x14ac:dyDescent="0.3">
      <c r="A34" s="296" t="s">
        <v>188</v>
      </c>
    </row>
    <row r="35" spans="1:1" x14ac:dyDescent="0.3">
      <c r="A35" s="296" t="s">
        <v>189</v>
      </c>
    </row>
    <row r="36" spans="1:1" x14ac:dyDescent="0.3">
      <c r="A36" s="296" t="s">
        <v>190</v>
      </c>
    </row>
  </sheetData>
  <mergeCells count="17">
    <mergeCell ref="A1:AJ1"/>
    <mergeCell ref="B3:B4"/>
    <mergeCell ref="AI24:AJ24"/>
    <mergeCell ref="AI25:AJ25"/>
    <mergeCell ref="C24:F24"/>
    <mergeCell ref="AI26:AJ26"/>
    <mergeCell ref="C25:F25"/>
    <mergeCell ref="C26:F26"/>
    <mergeCell ref="G24:AH24"/>
    <mergeCell ref="G25:AH25"/>
    <mergeCell ref="G26:AH26"/>
    <mergeCell ref="C28:F28"/>
    <mergeCell ref="AI27:AJ27"/>
    <mergeCell ref="AI28:AJ28"/>
    <mergeCell ref="C27:F27"/>
    <mergeCell ref="G27:AH27"/>
    <mergeCell ref="G28:AH28"/>
  </mergeCells>
  <conditionalFormatting sqref="C27 AI27 G27">
    <cfRule type="cellIs" dxfId="4" priority="4" operator="greaterThan">
      <formula>1</formula>
    </cfRule>
  </conditionalFormatting>
  <conditionalFormatting sqref="C28 AI28 G28">
    <cfRule type="cellIs" dxfId="3" priority="3" operator="lessThan">
      <formula>0</formula>
    </cfRule>
  </conditionalFormatting>
  <conditionalFormatting sqref="B22:AJ22">
    <cfRule type="cellIs" dxfId="2" priority="2" operator="greaterThan">
      <formula>1</formula>
    </cfRule>
  </conditionalFormatting>
  <conditionalFormatting sqref="B23:AJ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409" t="s">
        <v>479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4.4" customHeight="1" thickBot="1" x14ac:dyDescent="0.35">
      <c r="A2" s="231" t="s">
        <v>244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125</v>
      </c>
      <c r="B3" s="222">
        <f>SUBTOTAL(9,B6:B1048576)</f>
        <v>135188</v>
      </c>
      <c r="C3" s="223">
        <f t="shared" ref="C3:R3" si="0">SUBTOTAL(9,C6:C1048576)</f>
        <v>1</v>
      </c>
      <c r="D3" s="223">
        <f t="shared" si="0"/>
        <v>151216</v>
      </c>
      <c r="E3" s="223">
        <f t="shared" si="0"/>
        <v>1.1185608190076042</v>
      </c>
      <c r="F3" s="223">
        <f t="shared" si="0"/>
        <v>80384</v>
      </c>
      <c r="G3" s="224">
        <f>IF(B3&lt;&gt;0,F3/B3,"")</f>
        <v>0.59460898896351744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410" t="s">
        <v>97</v>
      </c>
      <c r="B4" s="411" t="s">
        <v>98</v>
      </c>
      <c r="C4" s="412"/>
      <c r="D4" s="412"/>
      <c r="E4" s="412"/>
      <c r="F4" s="412"/>
      <c r="G4" s="413"/>
      <c r="H4" s="411" t="s">
        <v>99</v>
      </c>
      <c r="I4" s="412"/>
      <c r="J4" s="412"/>
      <c r="K4" s="412"/>
      <c r="L4" s="412"/>
      <c r="M4" s="413"/>
      <c r="N4" s="411" t="s">
        <v>100</v>
      </c>
      <c r="O4" s="412"/>
      <c r="P4" s="412"/>
      <c r="Q4" s="412"/>
      <c r="R4" s="412"/>
      <c r="S4" s="413"/>
    </row>
    <row r="5" spans="1:19" ht="14.4" customHeight="1" thickBot="1" x14ac:dyDescent="0.35">
      <c r="A5" s="546"/>
      <c r="B5" s="547">
        <v>2013</v>
      </c>
      <c r="C5" s="548"/>
      <c r="D5" s="548">
        <v>2014</v>
      </c>
      <c r="E5" s="548"/>
      <c r="F5" s="548">
        <v>2015</v>
      </c>
      <c r="G5" s="549" t="s">
        <v>2</v>
      </c>
      <c r="H5" s="547">
        <v>2013</v>
      </c>
      <c r="I5" s="548"/>
      <c r="J5" s="548">
        <v>2014</v>
      </c>
      <c r="K5" s="548"/>
      <c r="L5" s="548">
        <v>2015</v>
      </c>
      <c r="M5" s="549" t="s">
        <v>2</v>
      </c>
      <c r="N5" s="547">
        <v>2013</v>
      </c>
      <c r="O5" s="548"/>
      <c r="P5" s="548">
        <v>2014</v>
      </c>
      <c r="Q5" s="548"/>
      <c r="R5" s="548">
        <v>2015</v>
      </c>
      <c r="S5" s="549" t="s">
        <v>2</v>
      </c>
    </row>
    <row r="6" spans="1:19" ht="14.4" customHeight="1" thickBot="1" x14ac:dyDescent="0.35">
      <c r="A6" s="552" t="s">
        <v>475</v>
      </c>
      <c r="B6" s="550">
        <v>135188</v>
      </c>
      <c r="C6" s="551">
        <v>1</v>
      </c>
      <c r="D6" s="550">
        <v>151216</v>
      </c>
      <c r="E6" s="551">
        <v>1.1185608190076042</v>
      </c>
      <c r="F6" s="550">
        <v>80384</v>
      </c>
      <c r="G6" s="307">
        <v>0.59460898896351744</v>
      </c>
      <c r="H6" s="550"/>
      <c r="I6" s="551"/>
      <c r="J6" s="550"/>
      <c r="K6" s="551"/>
      <c r="L6" s="550"/>
      <c r="M6" s="307"/>
      <c r="N6" s="550"/>
      <c r="O6" s="551"/>
      <c r="P6" s="550"/>
      <c r="Q6" s="551"/>
      <c r="R6" s="550"/>
      <c r="S6" s="308"/>
    </row>
    <row r="7" spans="1:19" ht="14.4" customHeight="1" x14ac:dyDescent="0.3">
      <c r="A7" s="553" t="s">
        <v>476</v>
      </c>
    </row>
    <row r="8" spans="1:19" ht="14.4" customHeight="1" x14ac:dyDescent="0.3">
      <c r="A8" s="554" t="s">
        <v>477</v>
      </c>
    </row>
    <row r="9" spans="1:19" ht="14.4" customHeight="1" x14ac:dyDescent="0.3">
      <c r="A9" s="553" t="s">
        <v>478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9" t="s">
        <v>482</v>
      </c>
      <c r="B1" s="321"/>
      <c r="C1" s="321"/>
      <c r="D1" s="321"/>
      <c r="E1" s="321"/>
      <c r="F1" s="321"/>
      <c r="G1" s="321"/>
    </row>
    <row r="2" spans="1:7" ht="14.4" customHeight="1" thickBot="1" x14ac:dyDescent="0.35">
      <c r="A2" s="231" t="s">
        <v>244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125</v>
      </c>
      <c r="B3" s="310">
        <f t="shared" ref="B3:G3" si="0">SUBTOTAL(9,B6:B1048576)</f>
        <v>120</v>
      </c>
      <c r="C3" s="311">
        <f t="shared" si="0"/>
        <v>295</v>
      </c>
      <c r="D3" s="311">
        <f t="shared" si="0"/>
        <v>239</v>
      </c>
      <c r="E3" s="225">
        <f t="shared" si="0"/>
        <v>135188</v>
      </c>
      <c r="F3" s="223">
        <f t="shared" si="0"/>
        <v>151216</v>
      </c>
      <c r="G3" s="312">
        <f t="shared" si="0"/>
        <v>80384</v>
      </c>
    </row>
    <row r="4" spans="1:7" ht="14.4" customHeight="1" x14ac:dyDescent="0.3">
      <c r="A4" s="410" t="s">
        <v>132</v>
      </c>
      <c r="B4" s="411" t="s">
        <v>221</v>
      </c>
      <c r="C4" s="412"/>
      <c r="D4" s="412"/>
      <c r="E4" s="414" t="s">
        <v>98</v>
      </c>
      <c r="F4" s="415"/>
      <c r="G4" s="416"/>
    </row>
    <row r="5" spans="1:7" ht="14.4" customHeight="1" thickBot="1" x14ac:dyDescent="0.35">
      <c r="A5" s="546"/>
      <c r="B5" s="547">
        <v>2013</v>
      </c>
      <c r="C5" s="548">
        <v>2014</v>
      </c>
      <c r="D5" s="548">
        <v>2015</v>
      </c>
      <c r="E5" s="547">
        <v>2013</v>
      </c>
      <c r="F5" s="548">
        <v>2014</v>
      </c>
      <c r="G5" s="555">
        <v>2015</v>
      </c>
    </row>
    <row r="6" spans="1:7" ht="14.4" customHeight="1" x14ac:dyDescent="0.3">
      <c r="A6" s="529" t="s">
        <v>480</v>
      </c>
      <c r="B6" s="116">
        <v>20</v>
      </c>
      <c r="C6" s="116">
        <v>47</v>
      </c>
      <c r="D6" s="116">
        <v>34</v>
      </c>
      <c r="E6" s="556">
        <v>4718</v>
      </c>
      <c r="F6" s="556">
        <v>10726</v>
      </c>
      <c r="G6" s="557">
        <v>7724</v>
      </c>
    </row>
    <row r="7" spans="1:7" ht="14.4" customHeight="1" x14ac:dyDescent="0.3">
      <c r="A7" s="530" t="s">
        <v>311</v>
      </c>
      <c r="B7" s="472">
        <v>13</v>
      </c>
      <c r="C7" s="472">
        <v>19</v>
      </c>
      <c r="D7" s="472">
        <v>7</v>
      </c>
      <c r="E7" s="558">
        <v>2552</v>
      </c>
      <c r="F7" s="558">
        <v>4408</v>
      </c>
      <c r="G7" s="559">
        <v>1645</v>
      </c>
    </row>
    <row r="8" spans="1:7" ht="14.4" customHeight="1" x14ac:dyDescent="0.3">
      <c r="A8" s="530" t="s">
        <v>312</v>
      </c>
      <c r="B8" s="472">
        <v>23</v>
      </c>
      <c r="C8" s="472">
        <v>110</v>
      </c>
      <c r="D8" s="472">
        <v>7</v>
      </c>
      <c r="E8" s="558">
        <v>61958</v>
      </c>
      <c r="F8" s="558">
        <v>28760</v>
      </c>
      <c r="G8" s="559">
        <v>1245</v>
      </c>
    </row>
    <row r="9" spans="1:7" ht="14.4" customHeight="1" x14ac:dyDescent="0.3">
      <c r="A9" s="530" t="s">
        <v>481</v>
      </c>
      <c r="B9" s="472">
        <v>1</v>
      </c>
      <c r="C9" s="472"/>
      <c r="D9" s="472"/>
      <c r="E9" s="558">
        <v>232</v>
      </c>
      <c r="F9" s="558"/>
      <c r="G9" s="559"/>
    </row>
    <row r="10" spans="1:7" ht="14.4" customHeight="1" thickBot="1" x14ac:dyDescent="0.35">
      <c r="A10" s="562" t="s">
        <v>313</v>
      </c>
      <c r="B10" s="475">
        <v>63</v>
      </c>
      <c r="C10" s="475">
        <v>119</v>
      </c>
      <c r="D10" s="475">
        <v>191</v>
      </c>
      <c r="E10" s="560">
        <v>65728</v>
      </c>
      <c r="F10" s="560">
        <v>107322</v>
      </c>
      <c r="G10" s="561">
        <v>69770</v>
      </c>
    </row>
    <row r="11" spans="1:7" ht="14.4" customHeight="1" x14ac:dyDescent="0.3">
      <c r="A11" s="553" t="s">
        <v>476</v>
      </c>
    </row>
    <row r="12" spans="1:7" ht="14.4" customHeight="1" x14ac:dyDescent="0.3">
      <c r="A12" s="554" t="s">
        <v>477</v>
      </c>
    </row>
    <row r="13" spans="1:7" ht="14.4" customHeight="1" x14ac:dyDescent="0.3">
      <c r="A13" s="553" t="s">
        <v>478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1" t="s">
        <v>499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 ht="14.4" customHeight="1" thickBot="1" x14ac:dyDescent="0.35">
      <c r="A2" s="231" t="s">
        <v>244</v>
      </c>
      <c r="B2" s="131"/>
      <c r="C2" s="309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125</v>
      </c>
      <c r="E3" s="102">
        <f t="shared" ref="E3:N3" si="0">SUBTOTAL(9,E6:E1048576)</f>
        <v>120</v>
      </c>
      <c r="F3" s="103">
        <f t="shared" si="0"/>
        <v>135188</v>
      </c>
      <c r="G3" s="74"/>
      <c r="H3" s="74"/>
      <c r="I3" s="103">
        <f t="shared" si="0"/>
        <v>295</v>
      </c>
      <c r="J3" s="103">
        <f t="shared" si="0"/>
        <v>151216</v>
      </c>
      <c r="K3" s="74"/>
      <c r="L3" s="74"/>
      <c r="M3" s="103">
        <f t="shared" si="0"/>
        <v>239</v>
      </c>
      <c r="N3" s="103">
        <f t="shared" si="0"/>
        <v>80384</v>
      </c>
      <c r="O3" s="75">
        <f>IF(F3=0,0,N3/F3)</f>
        <v>0.59460898896351744</v>
      </c>
      <c r="P3" s="104">
        <f>IF(M3=0,0,N3/M3)</f>
        <v>336.3347280334728</v>
      </c>
    </row>
    <row r="4" spans="1:16" ht="14.4" customHeight="1" x14ac:dyDescent="0.3">
      <c r="A4" s="418" t="s">
        <v>93</v>
      </c>
      <c r="B4" s="419" t="s">
        <v>94</v>
      </c>
      <c r="C4" s="424" t="s">
        <v>69</v>
      </c>
      <c r="D4" s="420" t="s">
        <v>68</v>
      </c>
      <c r="E4" s="421">
        <v>2013</v>
      </c>
      <c r="F4" s="422"/>
      <c r="G4" s="101"/>
      <c r="H4" s="101"/>
      <c r="I4" s="421">
        <v>2014</v>
      </c>
      <c r="J4" s="422"/>
      <c r="K4" s="101"/>
      <c r="L4" s="101"/>
      <c r="M4" s="421">
        <v>2015</v>
      </c>
      <c r="N4" s="422"/>
      <c r="O4" s="423" t="s">
        <v>2</v>
      </c>
      <c r="P4" s="417" t="s">
        <v>96</v>
      </c>
    </row>
    <row r="5" spans="1:16" ht="14.4" customHeight="1" thickBot="1" x14ac:dyDescent="0.35">
      <c r="A5" s="563"/>
      <c r="B5" s="564"/>
      <c r="C5" s="565"/>
      <c r="D5" s="566"/>
      <c r="E5" s="567" t="s">
        <v>70</v>
      </c>
      <c r="F5" s="568" t="s">
        <v>13</v>
      </c>
      <c r="G5" s="569"/>
      <c r="H5" s="569"/>
      <c r="I5" s="567" t="s">
        <v>70</v>
      </c>
      <c r="J5" s="568" t="s">
        <v>13</v>
      </c>
      <c r="K5" s="569"/>
      <c r="L5" s="569"/>
      <c r="M5" s="567" t="s">
        <v>70</v>
      </c>
      <c r="N5" s="568" t="s">
        <v>13</v>
      </c>
      <c r="O5" s="570"/>
      <c r="P5" s="571"/>
    </row>
    <row r="6" spans="1:16" ht="14.4" customHeight="1" x14ac:dyDescent="0.3">
      <c r="A6" s="500" t="s">
        <v>483</v>
      </c>
      <c r="B6" s="501" t="s">
        <v>484</v>
      </c>
      <c r="C6" s="501" t="s">
        <v>485</v>
      </c>
      <c r="D6" s="501" t="s">
        <v>486</v>
      </c>
      <c r="E6" s="116">
        <v>10</v>
      </c>
      <c r="F6" s="116">
        <v>3350</v>
      </c>
      <c r="G6" s="501">
        <v>1</v>
      </c>
      <c r="H6" s="501">
        <v>335</v>
      </c>
      <c r="I6" s="116">
        <v>26</v>
      </c>
      <c r="J6" s="116">
        <v>8710</v>
      </c>
      <c r="K6" s="501">
        <v>2.6</v>
      </c>
      <c r="L6" s="501">
        <v>335</v>
      </c>
      <c r="M6" s="116">
        <v>18</v>
      </c>
      <c r="N6" s="116">
        <v>6156</v>
      </c>
      <c r="O6" s="506">
        <v>1.8376119402985074</v>
      </c>
      <c r="P6" s="519">
        <v>342</v>
      </c>
    </row>
    <row r="7" spans="1:16" ht="14.4" customHeight="1" x14ac:dyDescent="0.3">
      <c r="A7" s="481" t="s">
        <v>483</v>
      </c>
      <c r="B7" s="471" t="s">
        <v>484</v>
      </c>
      <c r="C7" s="471" t="s">
        <v>487</v>
      </c>
      <c r="D7" s="471" t="s">
        <v>488</v>
      </c>
      <c r="E7" s="472">
        <v>2</v>
      </c>
      <c r="F7" s="472">
        <v>68</v>
      </c>
      <c r="G7" s="471">
        <v>1</v>
      </c>
      <c r="H7" s="471">
        <v>34</v>
      </c>
      <c r="I7" s="472"/>
      <c r="J7" s="472"/>
      <c r="K7" s="471"/>
      <c r="L7" s="471"/>
      <c r="M7" s="472">
        <v>2</v>
      </c>
      <c r="N7" s="472">
        <v>70</v>
      </c>
      <c r="O7" s="485">
        <v>1.0294117647058822</v>
      </c>
      <c r="P7" s="520">
        <v>35</v>
      </c>
    </row>
    <row r="8" spans="1:16" ht="14.4" customHeight="1" x14ac:dyDescent="0.3">
      <c r="A8" s="481" t="s">
        <v>483</v>
      </c>
      <c r="B8" s="471" t="s">
        <v>484</v>
      </c>
      <c r="C8" s="471" t="s">
        <v>489</v>
      </c>
      <c r="D8" s="471" t="s">
        <v>490</v>
      </c>
      <c r="E8" s="472">
        <v>55</v>
      </c>
      <c r="F8" s="472">
        <v>12760</v>
      </c>
      <c r="G8" s="471">
        <v>1</v>
      </c>
      <c r="H8" s="471">
        <v>232</v>
      </c>
      <c r="I8" s="472">
        <v>46</v>
      </c>
      <c r="J8" s="472">
        <v>10672</v>
      </c>
      <c r="K8" s="471">
        <v>0.83636363636363631</v>
      </c>
      <c r="L8" s="471">
        <v>232</v>
      </c>
      <c r="M8" s="472">
        <v>20</v>
      </c>
      <c r="N8" s="472">
        <v>4700</v>
      </c>
      <c r="O8" s="485">
        <v>0.36833855799373039</v>
      </c>
      <c r="P8" s="520">
        <v>235</v>
      </c>
    </row>
    <row r="9" spans="1:16" ht="14.4" customHeight="1" x14ac:dyDescent="0.3">
      <c r="A9" s="481" t="s">
        <v>483</v>
      </c>
      <c r="B9" s="471" t="s">
        <v>484</v>
      </c>
      <c r="C9" s="471" t="s">
        <v>491</v>
      </c>
      <c r="D9" s="471" t="s">
        <v>492</v>
      </c>
      <c r="E9" s="472">
        <v>13</v>
      </c>
      <c r="F9" s="472">
        <v>0</v>
      </c>
      <c r="G9" s="471"/>
      <c r="H9" s="471">
        <v>0</v>
      </c>
      <c r="I9" s="472">
        <v>11</v>
      </c>
      <c r="J9" s="472">
        <v>0</v>
      </c>
      <c r="K9" s="471"/>
      <c r="L9" s="471">
        <v>0</v>
      </c>
      <c r="M9" s="472"/>
      <c r="N9" s="472"/>
      <c r="O9" s="485"/>
      <c r="P9" s="520"/>
    </row>
    <row r="10" spans="1:16" ht="14.4" customHeight="1" x14ac:dyDescent="0.3">
      <c r="A10" s="481" t="s">
        <v>483</v>
      </c>
      <c r="B10" s="471" t="s">
        <v>484</v>
      </c>
      <c r="C10" s="471" t="s">
        <v>493</v>
      </c>
      <c r="D10" s="471" t="s">
        <v>494</v>
      </c>
      <c r="E10" s="472">
        <v>7</v>
      </c>
      <c r="F10" s="472">
        <v>672</v>
      </c>
      <c r="G10" s="471">
        <v>1</v>
      </c>
      <c r="H10" s="471">
        <v>96</v>
      </c>
      <c r="I10" s="472">
        <v>21</v>
      </c>
      <c r="J10" s="472">
        <v>2016</v>
      </c>
      <c r="K10" s="471">
        <v>3</v>
      </c>
      <c r="L10" s="471">
        <v>96</v>
      </c>
      <c r="M10" s="472">
        <v>16</v>
      </c>
      <c r="N10" s="472">
        <v>1568</v>
      </c>
      <c r="O10" s="485">
        <v>2.3333333333333335</v>
      </c>
      <c r="P10" s="520">
        <v>98</v>
      </c>
    </row>
    <row r="11" spans="1:16" ht="14.4" customHeight="1" x14ac:dyDescent="0.3">
      <c r="A11" s="481" t="s">
        <v>483</v>
      </c>
      <c r="B11" s="471" t="s">
        <v>484</v>
      </c>
      <c r="C11" s="471" t="s">
        <v>495</v>
      </c>
      <c r="D11" s="471" t="s">
        <v>496</v>
      </c>
      <c r="E11" s="472"/>
      <c r="F11" s="472"/>
      <c r="G11" s="471"/>
      <c r="H11" s="471"/>
      <c r="I11" s="472">
        <v>167</v>
      </c>
      <c r="J11" s="472">
        <v>43754</v>
      </c>
      <c r="K11" s="471"/>
      <c r="L11" s="471">
        <v>262</v>
      </c>
      <c r="M11" s="472">
        <v>177</v>
      </c>
      <c r="N11" s="472">
        <v>46374</v>
      </c>
      <c r="O11" s="485"/>
      <c r="P11" s="520">
        <v>262</v>
      </c>
    </row>
    <row r="12" spans="1:16" ht="14.4" customHeight="1" thickBot="1" x14ac:dyDescent="0.35">
      <c r="A12" s="482" t="s">
        <v>483</v>
      </c>
      <c r="B12" s="474" t="s">
        <v>484</v>
      </c>
      <c r="C12" s="474" t="s">
        <v>497</v>
      </c>
      <c r="D12" s="474" t="s">
        <v>498</v>
      </c>
      <c r="E12" s="475">
        <v>33</v>
      </c>
      <c r="F12" s="475">
        <v>118338</v>
      </c>
      <c r="G12" s="474">
        <v>1</v>
      </c>
      <c r="H12" s="474">
        <v>3586</v>
      </c>
      <c r="I12" s="475">
        <v>24</v>
      </c>
      <c r="J12" s="475">
        <v>86064</v>
      </c>
      <c r="K12" s="474">
        <v>0.72727272727272729</v>
      </c>
      <c r="L12" s="474">
        <v>3586</v>
      </c>
      <c r="M12" s="475">
        <v>6</v>
      </c>
      <c r="N12" s="475">
        <v>21516</v>
      </c>
      <c r="O12" s="487">
        <v>0.18181818181818182</v>
      </c>
      <c r="P12" s="521">
        <v>3586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0" t="s">
        <v>124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4.4" customHeight="1" thickBot="1" x14ac:dyDescent="0.35">
      <c r="A2" s="231" t="s">
        <v>244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125</v>
      </c>
      <c r="B3" s="222">
        <f>SUBTOTAL(9,B6:B1048576)</f>
        <v>1392</v>
      </c>
      <c r="C3" s="223">
        <f t="shared" ref="C3:R3" si="0">SUBTOTAL(9,C6:C1048576)</f>
        <v>3</v>
      </c>
      <c r="D3" s="223">
        <f t="shared" si="0"/>
        <v>2552</v>
      </c>
      <c r="E3" s="223">
        <f t="shared" si="0"/>
        <v>2.25</v>
      </c>
      <c r="F3" s="223">
        <f t="shared" si="0"/>
        <v>1175</v>
      </c>
      <c r="G3" s="226">
        <f>IF(B3&lt;&gt;0,F3/B3,"")</f>
        <v>0.8441091954022989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410" t="s">
        <v>104</v>
      </c>
      <c r="B4" s="411" t="s">
        <v>98</v>
      </c>
      <c r="C4" s="412"/>
      <c r="D4" s="412"/>
      <c r="E4" s="412"/>
      <c r="F4" s="412"/>
      <c r="G4" s="413"/>
      <c r="H4" s="411" t="s">
        <v>99</v>
      </c>
      <c r="I4" s="412"/>
      <c r="J4" s="412"/>
      <c r="K4" s="412"/>
      <c r="L4" s="412"/>
      <c r="M4" s="413"/>
      <c r="N4" s="411" t="s">
        <v>100</v>
      </c>
      <c r="O4" s="412"/>
      <c r="P4" s="412"/>
      <c r="Q4" s="412"/>
      <c r="R4" s="412"/>
      <c r="S4" s="413"/>
    </row>
    <row r="5" spans="1:19" ht="14.4" customHeight="1" thickBot="1" x14ac:dyDescent="0.35">
      <c r="A5" s="546"/>
      <c r="B5" s="547">
        <v>2013</v>
      </c>
      <c r="C5" s="548"/>
      <c r="D5" s="548">
        <v>2014</v>
      </c>
      <c r="E5" s="548"/>
      <c r="F5" s="548">
        <v>2015</v>
      </c>
      <c r="G5" s="549" t="s">
        <v>2</v>
      </c>
      <c r="H5" s="547">
        <v>2013</v>
      </c>
      <c r="I5" s="548"/>
      <c r="J5" s="548">
        <v>2014</v>
      </c>
      <c r="K5" s="548"/>
      <c r="L5" s="548">
        <v>2015</v>
      </c>
      <c r="M5" s="549" t="s">
        <v>2</v>
      </c>
      <c r="N5" s="547">
        <v>2013</v>
      </c>
      <c r="O5" s="548"/>
      <c r="P5" s="548">
        <v>2014</v>
      </c>
      <c r="Q5" s="548"/>
      <c r="R5" s="548">
        <v>2015</v>
      </c>
      <c r="S5" s="549" t="s">
        <v>2</v>
      </c>
    </row>
    <row r="6" spans="1:19" ht="14.4" customHeight="1" x14ac:dyDescent="0.3">
      <c r="A6" s="529" t="s">
        <v>500</v>
      </c>
      <c r="B6" s="556">
        <v>928</v>
      </c>
      <c r="C6" s="501">
        <v>1</v>
      </c>
      <c r="D6" s="556">
        <v>232</v>
      </c>
      <c r="E6" s="501">
        <v>0.25</v>
      </c>
      <c r="F6" s="556"/>
      <c r="G6" s="506"/>
      <c r="H6" s="556"/>
      <c r="I6" s="501"/>
      <c r="J6" s="556"/>
      <c r="K6" s="501"/>
      <c r="L6" s="556"/>
      <c r="M6" s="506"/>
      <c r="N6" s="556"/>
      <c r="O6" s="501"/>
      <c r="P6" s="556"/>
      <c r="Q6" s="501"/>
      <c r="R6" s="556"/>
      <c r="S6" s="122"/>
    </row>
    <row r="7" spans="1:19" ht="14.4" customHeight="1" x14ac:dyDescent="0.3">
      <c r="A7" s="530" t="s">
        <v>501</v>
      </c>
      <c r="B7" s="558">
        <v>232</v>
      </c>
      <c r="C7" s="471">
        <v>1</v>
      </c>
      <c r="D7" s="558">
        <v>464</v>
      </c>
      <c r="E7" s="471">
        <v>2</v>
      </c>
      <c r="F7" s="558">
        <v>235</v>
      </c>
      <c r="G7" s="485">
        <v>1.0129310344827587</v>
      </c>
      <c r="H7" s="558"/>
      <c r="I7" s="471"/>
      <c r="J7" s="558"/>
      <c r="K7" s="471"/>
      <c r="L7" s="558"/>
      <c r="M7" s="485"/>
      <c r="N7" s="558"/>
      <c r="O7" s="471"/>
      <c r="P7" s="558"/>
      <c r="Q7" s="471"/>
      <c r="R7" s="558"/>
      <c r="S7" s="486"/>
    </row>
    <row r="8" spans="1:19" ht="14.4" customHeight="1" x14ac:dyDescent="0.3">
      <c r="A8" s="530" t="s">
        <v>502</v>
      </c>
      <c r="B8" s="558"/>
      <c r="C8" s="471"/>
      <c r="D8" s="558">
        <v>1160</v>
      </c>
      <c r="E8" s="471"/>
      <c r="F8" s="558">
        <v>235</v>
      </c>
      <c r="G8" s="485"/>
      <c r="H8" s="558"/>
      <c r="I8" s="471"/>
      <c r="J8" s="558"/>
      <c r="K8" s="471"/>
      <c r="L8" s="558"/>
      <c r="M8" s="485"/>
      <c r="N8" s="558"/>
      <c r="O8" s="471"/>
      <c r="P8" s="558"/>
      <c r="Q8" s="471"/>
      <c r="R8" s="558"/>
      <c r="S8" s="486"/>
    </row>
    <row r="9" spans="1:19" ht="14.4" customHeight="1" x14ac:dyDescent="0.3">
      <c r="A9" s="530" t="s">
        <v>503</v>
      </c>
      <c r="B9" s="558"/>
      <c r="C9" s="471"/>
      <c r="D9" s="558">
        <v>232</v>
      </c>
      <c r="E9" s="471"/>
      <c r="F9" s="558"/>
      <c r="G9" s="485"/>
      <c r="H9" s="558"/>
      <c r="I9" s="471"/>
      <c r="J9" s="558"/>
      <c r="K9" s="471"/>
      <c r="L9" s="558"/>
      <c r="M9" s="485"/>
      <c r="N9" s="558"/>
      <c r="O9" s="471"/>
      <c r="P9" s="558"/>
      <c r="Q9" s="471"/>
      <c r="R9" s="558"/>
      <c r="S9" s="486"/>
    </row>
    <row r="10" spans="1:19" ht="14.4" customHeight="1" x14ac:dyDescent="0.3">
      <c r="A10" s="530" t="s">
        <v>504</v>
      </c>
      <c r="B10" s="558"/>
      <c r="C10" s="471"/>
      <c r="D10" s="558"/>
      <c r="E10" s="471"/>
      <c r="F10" s="558">
        <v>235</v>
      </c>
      <c r="G10" s="485"/>
      <c r="H10" s="558"/>
      <c r="I10" s="471"/>
      <c r="J10" s="558"/>
      <c r="K10" s="471"/>
      <c r="L10" s="558"/>
      <c r="M10" s="485"/>
      <c r="N10" s="558"/>
      <c r="O10" s="471"/>
      <c r="P10" s="558"/>
      <c r="Q10" s="471"/>
      <c r="R10" s="558"/>
      <c r="S10" s="486"/>
    </row>
    <row r="11" spans="1:19" ht="14.4" customHeight="1" x14ac:dyDescent="0.3">
      <c r="A11" s="530" t="s">
        <v>505</v>
      </c>
      <c r="B11" s="558"/>
      <c r="C11" s="471"/>
      <c r="D11" s="558">
        <v>464</v>
      </c>
      <c r="E11" s="471"/>
      <c r="F11" s="558">
        <v>235</v>
      </c>
      <c r="G11" s="485"/>
      <c r="H11" s="558"/>
      <c r="I11" s="471"/>
      <c r="J11" s="558"/>
      <c r="K11" s="471"/>
      <c r="L11" s="558"/>
      <c r="M11" s="485"/>
      <c r="N11" s="558"/>
      <c r="O11" s="471"/>
      <c r="P11" s="558"/>
      <c r="Q11" s="471"/>
      <c r="R11" s="558"/>
      <c r="S11" s="486"/>
    </row>
    <row r="12" spans="1:19" ht="14.4" customHeight="1" x14ac:dyDescent="0.3">
      <c r="A12" s="530" t="s">
        <v>506</v>
      </c>
      <c r="B12" s="558">
        <v>232</v>
      </c>
      <c r="C12" s="471">
        <v>1</v>
      </c>
      <c r="D12" s="558"/>
      <c r="E12" s="471"/>
      <c r="F12" s="558"/>
      <c r="G12" s="485"/>
      <c r="H12" s="558"/>
      <c r="I12" s="471"/>
      <c r="J12" s="558"/>
      <c r="K12" s="471"/>
      <c r="L12" s="558"/>
      <c r="M12" s="485"/>
      <c r="N12" s="558"/>
      <c r="O12" s="471"/>
      <c r="P12" s="558"/>
      <c r="Q12" s="471"/>
      <c r="R12" s="558"/>
      <c r="S12" s="486"/>
    </row>
    <row r="13" spans="1:19" ht="14.4" customHeight="1" thickBot="1" x14ac:dyDescent="0.35">
      <c r="A13" s="562" t="s">
        <v>507</v>
      </c>
      <c r="B13" s="560"/>
      <c r="C13" s="474"/>
      <c r="D13" s="560"/>
      <c r="E13" s="474"/>
      <c r="F13" s="560">
        <v>235</v>
      </c>
      <c r="G13" s="487"/>
      <c r="H13" s="560"/>
      <c r="I13" s="474"/>
      <c r="J13" s="560"/>
      <c r="K13" s="474"/>
      <c r="L13" s="560"/>
      <c r="M13" s="487"/>
      <c r="N13" s="560"/>
      <c r="O13" s="474"/>
      <c r="P13" s="560"/>
      <c r="Q13" s="474"/>
      <c r="R13" s="560"/>
      <c r="S13" s="4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1" t="s">
        <v>516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17" ht="14.4" customHeight="1" thickBot="1" x14ac:dyDescent="0.35">
      <c r="A2" s="231" t="s">
        <v>244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125</v>
      </c>
      <c r="F3" s="102">
        <f t="shared" ref="F3:O3" si="0">SUBTOTAL(9,F6:F1048576)</f>
        <v>6</v>
      </c>
      <c r="G3" s="103">
        <f t="shared" si="0"/>
        <v>1392</v>
      </c>
      <c r="H3" s="103"/>
      <c r="I3" s="103"/>
      <c r="J3" s="103">
        <f t="shared" si="0"/>
        <v>11</v>
      </c>
      <c r="K3" s="103">
        <f t="shared" si="0"/>
        <v>2552</v>
      </c>
      <c r="L3" s="103"/>
      <c r="M3" s="103"/>
      <c r="N3" s="103">
        <f t="shared" si="0"/>
        <v>5</v>
      </c>
      <c r="O3" s="103">
        <f t="shared" si="0"/>
        <v>1175</v>
      </c>
      <c r="P3" s="75">
        <f>IF(G3=0,0,O3/G3)</f>
        <v>0.8441091954022989</v>
      </c>
      <c r="Q3" s="104">
        <f>IF(N3=0,0,O3/N3)</f>
        <v>235</v>
      </c>
    </row>
    <row r="4" spans="1:17" ht="14.4" customHeight="1" x14ac:dyDescent="0.3">
      <c r="A4" s="419" t="s">
        <v>67</v>
      </c>
      <c r="B4" s="418" t="s">
        <v>93</v>
      </c>
      <c r="C4" s="419" t="s">
        <v>94</v>
      </c>
      <c r="D4" s="427" t="s">
        <v>95</v>
      </c>
      <c r="E4" s="420" t="s">
        <v>68</v>
      </c>
      <c r="F4" s="425">
        <v>2013</v>
      </c>
      <c r="G4" s="426"/>
      <c r="H4" s="105"/>
      <c r="I4" s="105"/>
      <c r="J4" s="425">
        <v>2014</v>
      </c>
      <c r="K4" s="426"/>
      <c r="L4" s="105"/>
      <c r="M4" s="105"/>
      <c r="N4" s="425">
        <v>2015</v>
      </c>
      <c r="O4" s="426"/>
      <c r="P4" s="428" t="s">
        <v>2</v>
      </c>
      <c r="Q4" s="417" t="s">
        <v>96</v>
      </c>
    </row>
    <row r="5" spans="1:17" ht="14.4" customHeight="1" thickBot="1" x14ac:dyDescent="0.35">
      <c r="A5" s="564"/>
      <c r="B5" s="563"/>
      <c r="C5" s="564"/>
      <c r="D5" s="572"/>
      <c r="E5" s="566"/>
      <c r="F5" s="573" t="s">
        <v>70</v>
      </c>
      <c r="G5" s="574" t="s">
        <v>13</v>
      </c>
      <c r="H5" s="575"/>
      <c r="I5" s="575"/>
      <c r="J5" s="573" t="s">
        <v>70</v>
      </c>
      <c r="K5" s="574" t="s">
        <v>13</v>
      </c>
      <c r="L5" s="575"/>
      <c r="M5" s="575"/>
      <c r="N5" s="573" t="s">
        <v>70</v>
      </c>
      <c r="O5" s="574" t="s">
        <v>13</v>
      </c>
      <c r="P5" s="576"/>
      <c r="Q5" s="571"/>
    </row>
    <row r="6" spans="1:17" ht="14.4" customHeight="1" x14ac:dyDescent="0.3">
      <c r="A6" s="500" t="s">
        <v>508</v>
      </c>
      <c r="B6" s="501" t="s">
        <v>483</v>
      </c>
      <c r="C6" s="501" t="s">
        <v>484</v>
      </c>
      <c r="D6" s="501" t="s">
        <v>489</v>
      </c>
      <c r="E6" s="501" t="s">
        <v>490</v>
      </c>
      <c r="F6" s="116">
        <v>4</v>
      </c>
      <c r="G6" s="116">
        <v>928</v>
      </c>
      <c r="H6" s="116">
        <v>1</v>
      </c>
      <c r="I6" s="116">
        <v>232</v>
      </c>
      <c r="J6" s="116">
        <v>1</v>
      </c>
      <c r="K6" s="116">
        <v>232</v>
      </c>
      <c r="L6" s="116">
        <v>0.25</v>
      </c>
      <c r="M6" s="116">
        <v>232</v>
      </c>
      <c r="N6" s="116"/>
      <c r="O6" s="116"/>
      <c r="P6" s="506"/>
      <c r="Q6" s="519"/>
    </row>
    <row r="7" spans="1:17" ht="14.4" customHeight="1" x14ac:dyDescent="0.3">
      <c r="A7" s="481" t="s">
        <v>509</v>
      </c>
      <c r="B7" s="471" t="s">
        <v>483</v>
      </c>
      <c r="C7" s="471" t="s">
        <v>484</v>
      </c>
      <c r="D7" s="471" t="s">
        <v>489</v>
      </c>
      <c r="E7" s="471" t="s">
        <v>490</v>
      </c>
      <c r="F7" s="472">
        <v>1</v>
      </c>
      <c r="G7" s="472">
        <v>232</v>
      </c>
      <c r="H7" s="472">
        <v>1</v>
      </c>
      <c r="I7" s="472">
        <v>232</v>
      </c>
      <c r="J7" s="472">
        <v>2</v>
      </c>
      <c r="K7" s="472">
        <v>464</v>
      </c>
      <c r="L7" s="472">
        <v>2</v>
      </c>
      <c r="M7" s="472">
        <v>232</v>
      </c>
      <c r="N7" s="472">
        <v>1</v>
      </c>
      <c r="O7" s="472">
        <v>235</v>
      </c>
      <c r="P7" s="485">
        <v>1.0129310344827587</v>
      </c>
      <c r="Q7" s="520">
        <v>235</v>
      </c>
    </row>
    <row r="8" spans="1:17" ht="14.4" customHeight="1" x14ac:dyDescent="0.3">
      <c r="A8" s="481" t="s">
        <v>510</v>
      </c>
      <c r="B8" s="471" t="s">
        <v>483</v>
      </c>
      <c r="C8" s="471" t="s">
        <v>484</v>
      </c>
      <c r="D8" s="471" t="s">
        <v>489</v>
      </c>
      <c r="E8" s="471" t="s">
        <v>490</v>
      </c>
      <c r="F8" s="472"/>
      <c r="G8" s="472"/>
      <c r="H8" s="472"/>
      <c r="I8" s="472"/>
      <c r="J8" s="472">
        <v>5</v>
      </c>
      <c r="K8" s="472">
        <v>1160</v>
      </c>
      <c r="L8" s="472"/>
      <c r="M8" s="472">
        <v>232</v>
      </c>
      <c r="N8" s="472">
        <v>1</v>
      </c>
      <c r="O8" s="472">
        <v>235</v>
      </c>
      <c r="P8" s="485"/>
      <c r="Q8" s="520">
        <v>235</v>
      </c>
    </row>
    <row r="9" spans="1:17" ht="14.4" customHeight="1" x14ac:dyDescent="0.3">
      <c r="A9" s="481" t="s">
        <v>511</v>
      </c>
      <c r="B9" s="471" t="s">
        <v>483</v>
      </c>
      <c r="C9" s="471" t="s">
        <v>484</v>
      </c>
      <c r="D9" s="471" t="s">
        <v>489</v>
      </c>
      <c r="E9" s="471" t="s">
        <v>490</v>
      </c>
      <c r="F9" s="472"/>
      <c r="G9" s="472"/>
      <c r="H9" s="472"/>
      <c r="I9" s="472"/>
      <c r="J9" s="472">
        <v>1</v>
      </c>
      <c r="K9" s="472">
        <v>232</v>
      </c>
      <c r="L9" s="472"/>
      <c r="M9" s="472">
        <v>232</v>
      </c>
      <c r="N9" s="472"/>
      <c r="O9" s="472"/>
      <c r="P9" s="485"/>
      <c r="Q9" s="520"/>
    </row>
    <row r="10" spans="1:17" ht="14.4" customHeight="1" x14ac:dyDescent="0.3">
      <c r="A10" s="481" t="s">
        <v>512</v>
      </c>
      <c r="B10" s="471" t="s">
        <v>483</v>
      </c>
      <c r="C10" s="471" t="s">
        <v>484</v>
      </c>
      <c r="D10" s="471" t="s">
        <v>489</v>
      </c>
      <c r="E10" s="471" t="s">
        <v>490</v>
      </c>
      <c r="F10" s="472"/>
      <c r="G10" s="472"/>
      <c r="H10" s="472"/>
      <c r="I10" s="472"/>
      <c r="J10" s="472"/>
      <c r="K10" s="472"/>
      <c r="L10" s="472"/>
      <c r="M10" s="472"/>
      <c r="N10" s="472">
        <v>1</v>
      </c>
      <c r="O10" s="472">
        <v>235</v>
      </c>
      <c r="P10" s="485"/>
      <c r="Q10" s="520">
        <v>235</v>
      </c>
    </row>
    <row r="11" spans="1:17" ht="14.4" customHeight="1" x14ac:dyDescent="0.3">
      <c r="A11" s="481" t="s">
        <v>513</v>
      </c>
      <c r="B11" s="471" t="s">
        <v>483</v>
      </c>
      <c r="C11" s="471" t="s">
        <v>484</v>
      </c>
      <c r="D11" s="471" t="s">
        <v>489</v>
      </c>
      <c r="E11" s="471" t="s">
        <v>490</v>
      </c>
      <c r="F11" s="472"/>
      <c r="G11" s="472"/>
      <c r="H11" s="472"/>
      <c r="I11" s="472"/>
      <c r="J11" s="472">
        <v>2</v>
      </c>
      <c r="K11" s="472">
        <v>464</v>
      </c>
      <c r="L11" s="472"/>
      <c r="M11" s="472">
        <v>232</v>
      </c>
      <c r="N11" s="472">
        <v>1</v>
      </c>
      <c r="O11" s="472">
        <v>235</v>
      </c>
      <c r="P11" s="485"/>
      <c r="Q11" s="520">
        <v>235</v>
      </c>
    </row>
    <row r="12" spans="1:17" ht="14.4" customHeight="1" x14ac:dyDescent="0.3">
      <c r="A12" s="481" t="s">
        <v>514</v>
      </c>
      <c r="B12" s="471" t="s">
        <v>483</v>
      </c>
      <c r="C12" s="471" t="s">
        <v>484</v>
      </c>
      <c r="D12" s="471" t="s">
        <v>489</v>
      </c>
      <c r="E12" s="471" t="s">
        <v>490</v>
      </c>
      <c r="F12" s="472">
        <v>1</v>
      </c>
      <c r="G12" s="472">
        <v>232</v>
      </c>
      <c r="H12" s="472">
        <v>1</v>
      </c>
      <c r="I12" s="472">
        <v>232</v>
      </c>
      <c r="J12" s="472"/>
      <c r="K12" s="472"/>
      <c r="L12" s="472"/>
      <c r="M12" s="472"/>
      <c r="N12" s="472"/>
      <c r="O12" s="472"/>
      <c r="P12" s="485"/>
      <c r="Q12" s="520"/>
    </row>
    <row r="13" spans="1:17" ht="14.4" customHeight="1" thickBot="1" x14ac:dyDescent="0.35">
      <c r="A13" s="482" t="s">
        <v>515</v>
      </c>
      <c r="B13" s="474" t="s">
        <v>483</v>
      </c>
      <c r="C13" s="474" t="s">
        <v>484</v>
      </c>
      <c r="D13" s="474" t="s">
        <v>489</v>
      </c>
      <c r="E13" s="474" t="s">
        <v>490</v>
      </c>
      <c r="F13" s="475"/>
      <c r="G13" s="475"/>
      <c r="H13" s="475"/>
      <c r="I13" s="475"/>
      <c r="J13" s="475"/>
      <c r="K13" s="475"/>
      <c r="L13" s="475"/>
      <c r="M13" s="475"/>
      <c r="N13" s="475">
        <v>1</v>
      </c>
      <c r="O13" s="475">
        <v>235</v>
      </c>
      <c r="P13" s="487"/>
      <c r="Q13" s="521">
        <v>235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1" t="s">
        <v>118</v>
      </c>
      <c r="B1" s="321"/>
      <c r="C1" s="322"/>
      <c r="D1" s="322"/>
      <c r="E1" s="322"/>
    </row>
    <row r="2" spans="1:5" ht="14.4" customHeight="1" thickBot="1" x14ac:dyDescent="0.35">
      <c r="A2" s="231" t="s">
        <v>244</v>
      </c>
      <c r="B2" s="152"/>
    </row>
    <row r="3" spans="1:5" ht="14.4" customHeight="1" thickBot="1" x14ac:dyDescent="0.35">
      <c r="A3" s="155"/>
      <c r="C3" s="156" t="s">
        <v>106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78.207639297477826</v>
      </c>
      <c r="D4" s="161">
        <f ca="1">IF(ISERROR(VLOOKUP("Náklady celkem",INDIRECT("HI!$A:$G"),5,0)),0,VLOOKUP("Náklady celkem",INDIRECT("HI!$A:$G"),5,0))</f>
        <v>93.458150000000003</v>
      </c>
      <c r="E4" s="162">
        <f ca="1">IF(C4=0,0,D4/C4)</f>
        <v>1.1950002690212131</v>
      </c>
    </row>
    <row r="5" spans="1:5" ht="14.4" customHeight="1" x14ac:dyDescent="0.3">
      <c r="A5" s="163" t="s">
        <v>145</v>
      </c>
      <c r="B5" s="164"/>
      <c r="C5" s="165"/>
      <c r="D5" s="165"/>
      <c r="E5" s="166"/>
    </row>
    <row r="6" spans="1:5" ht="14.4" customHeight="1" x14ac:dyDescent="0.3">
      <c r="A6" s="167" t="s">
        <v>150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110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2" t="s">
        <v>146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113</v>
      </c>
      <c r="C9" s="171">
        <v>0.6</v>
      </c>
      <c r="D9" s="171">
        <f>IF(ISERROR(VLOOKUP("Celkem",'Léky Recepty'!B:H,5,0)),0,VLOOKUP("Celkem",'Léky Recepty'!B:H,5,0))</f>
        <v>0.70749549124777833</v>
      </c>
      <c r="E9" s="166">
        <f t="shared" si="0"/>
        <v>1.1791591520796305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139</v>
      </c>
      <c r="C10" s="171">
        <v>0.8</v>
      </c>
      <c r="D10" s="171">
        <f>IF(ISERROR(VLOOKUP("Celkem",'LRp PL'!A:F,5,0)),0,VLOOKUP("Celkem",'LRp PL'!A:F,5,0))</f>
        <v>0.99306872395709123</v>
      </c>
      <c r="E10" s="166">
        <f t="shared" si="0"/>
        <v>1.2413359049463639</v>
      </c>
    </row>
    <row r="11" spans="1:5" ht="14.4" customHeight="1" x14ac:dyDescent="0.3">
      <c r="A11" s="172" t="s">
        <v>147</v>
      </c>
      <c r="B11" s="168"/>
      <c r="C11" s="169"/>
      <c r="D11" s="169"/>
      <c r="E11" s="166"/>
    </row>
    <row r="12" spans="1:5" ht="14.4" customHeight="1" x14ac:dyDescent="0.3">
      <c r="A12" s="173" t="s">
        <v>151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110</v>
      </c>
      <c r="C13" s="169">
        <f>IF(ISERROR(HI!F6),"",HI!F6)</f>
        <v>73.999997669179336</v>
      </c>
      <c r="D13" s="169">
        <f>IF(ISERROR(HI!E6),"",HI!E6)</f>
        <v>71.112440000000007</v>
      </c>
      <c r="E13" s="166">
        <f t="shared" si="0"/>
        <v>0.96097894918742699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135.18799999999999</v>
      </c>
      <c r="D16" s="185">
        <f ca="1">IF(ISERROR(VLOOKUP("Výnosy celkem",INDIRECT("HI!$A:$G"),5,0)),0,VLOOKUP("Výnosy celkem",INDIRECT("HI!$A:$G"),5,0))</f>
        <v>80.384</v>
      </c>
      <c r="E16" s="186">
        <f t="shared" ref="E16:E19" ca="1" si="1">IF(C16=0,0,D16/C16)</f>
        <v>0.59460898896351755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135.18799999999999</v>
      </c>
      <c r="D17" s="165">
        <f ca="1">IF(ISERROR(VLOOKUP("Ambulance *",INDIRECT("HI!$A:$G"),5,0)),0,VLOOKUP("Ambulance *",INDIRECT("HI!$A:$G"),5,0))</f>
        <v>80.384</v>
      </c>
      <c r="E17" s="166">
        <f t="shared" ca="1" si="1"/>
        <v>0.59460898896351755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120</v>
      </c>
      <c r="C18" s="171">
        <v>1</v>
      </c>
      <c r="D18" s="171">
        <f>IF(ISERROR(VLOOKUP("Celkem:",'ZV Vykáz.-A'!$A:$S,7,0)),"",VLOOKUP("Celkem:",'ZV Vykáz.-A'!$A:$S,7,0))</f>
        <v>0.59460898896351744</v>
      </c>
      <c r="E18" s="166">
        <f t="shared" si="1"/>
        <v>0.59460898896351744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122</v>
      </c>
      <c r="C19" s="171">
        <v>0.85</v>
      </c>
      <c r="D19" s="171">
        <f>IF(ISERROR(VLOOKUP("Celkem:",'ZV Vykáz.-H'!$A:$S,7,0)),"",VLOOKUP("Celkem:",'ZV Vykáz.-H'!$A:$S,7,0))</f>
        <v>0.8441091954022989</v>
      </c>
      <c r="E19" s="166">
        <f t="shared" si="1"/>
        <v>0.99306964164976341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148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149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1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1" t="s">
        <v>133</v>
      </c>
      <c r="B1" s="321"/>
      <c r="C1" s="321"/>
      <c r="D1" s="321"/>
      <c r="E1" s="321"/>
      <c r="F1" s="321"/>
      <c r="G1" s="322"/>
      <c r="H1" s="322"/>
    </row>
    <row r="2" spans="1:8" ht="14.4" customHeight="1" thickBot="1" x14ac:dyDescent="0.35">
      <c r="A2" s="231" t="s">
        <v>244</v>
      </c>
      <c r="B2" s="111"/>
      <c r="C2" s="111"/>
      <c r="D2" s="111"/>
      <c r="E2" s="111"/>
      <c r="F2" s="111"/>
    </row>
    <row r="3" spans="1:8" ht="14.4" customHeight="1" x14ac:dyDescent="0.3">
      <c r="A3" s="323"/>
      <c r="B3" s="107">
        <v>2013</v>
      </c>
      <c r="C3" s="40">
        <v>2014</v>
      </c>
      <c r="D3" s="7"/>
      <c r="E3" s="327">
        <v>2015</v>
      </c>
      <c r="F3" s="328"/>
      <c r="G3" s="328"/>
      <c r="H3" s="329"/>
    </row>
    <row r="4" spans="1:8" ht="14.4" customHeight="1" thickBot="1" x14ac:dyDescent="0.35">
      <c r="A4" s="324"/>
      <c r="B4" s="325" t="s">
        <v>71</v>
      </c>
      <c r="C4" s="326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17.831479999999999</v>
      </c>
      <c r="C6" s="31">
        <v>69.135729999999995</v>
      </c>
      <c r="D6" s="8"/>
      <c r="E6" s="118">
        <v>71.112440000000007</v>
      </c>
      <c r="F6" s="30">
        <v>73.999997669179336</v>
      </c>
      <c r="G6" s="119">
        <f>E6-F6</f>
        <v>-2.8875576691793299</v>
      </c>
      <c r="H6" s="123">
        <f>IF(F6&lt;0.00000001,"",E6/F6)</f>
        <v>0.96097894918742699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111.40008</v>
      </c>
      <c r="C8" s="33">
        <v>5.2214600000000075</v>
      </c>
      <c r="D8" s="8"/>
      <c r="E8" s="120">
        <v>22.345709999999997</v>
      </c>
      <c r="F8" s="32">
        <v>4.2076416282984894</v>
      </c>
      <c r="G8" s="121">
        <f>E8-F8</f>
        <v>18.138068371701507</v>
      </c>
      <c r="H8" s="124">
        <f>IF(F8&lt;0.00000001,"",E8/F8)</f>
        <v>5.3107445866382603</v>
      </c>
    </row>
    <row r="9" spans="1:8" ht="14.4" customHeight="1" thickBot="1" x14ac:dyDescent="0.35">
      <c r="A9" s="2" t="s">
        <v>75</v>
      </c>
      <c r="B9" s="3">
        <v>129.23156</v>
      </c>
      <c r="C9" s="35">
        <v>74.357190000000003</v>
      </c>
      <c r="D9" s="8"/>
      <c r="E9" s="3">
        <v>93.458150000000003</v>
      </c>
      <c r="F9" s="34">
        <v>78.207639297477826</v>
      </c>
      <c r="G9" s="34">
        <f>E9-F9</f>
        <v>15.250510702522178</v>
      </c>
      <c r="H9" s="125">
        <f>IF(F9&lt;0.00000001,"",E9/F9)</f>
        <v>1.1950002690212131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135.18799999999999</v>
      </c>
      <c r="C11" s="29">
        <f>IF(ISERROR(VLOOKUP("Celkem:",'ZV Vykáz.-A'!A:F,4,0)),0,VLOOKUP("Celkem:",'ZV Vykáz.-A'!A:F,4,0)/1000)</f>
        <v>151.21600000000001</v>
      </c>
      <c r="D11" s="8"/>
      <c r="E11" s="117">
        <f>IF(ISERROR(VLOOKUP("Celkem:",'ZV Vykáz.-A'!A:F,6,0)),0,VLOOKUP("Celkem:",'ZV Vykáz.-A'!A:F,6,0)/1000)</f>
        <v>80.384</v>
      </c>
      <c r="F11" s="28">
        <f>B11</f>
        <v>135.18799999999999</v>
      </c>
      <c r="G11" s="116">
        <f>E11-F11</f>
        <v>-54.803999999999988</v>
      </c>
      <c r="H11" s="122">
        <f>IF(F11&lt;0.00000001,"",E11/F11)</f>
        <v>0.59460898896351755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135.18799999999999</v>
      </c>
      <c r="C13" s="37">
        <f>SUM(C11:C12)</f>
        <v>151.21600000000001</v>
      </c>
      <c r="D13" s="8"/>
      <c r="E13" s="5">
        <f>SUM(E11:E12)</f>
        <v>80.384</v>
      </c>
      <c r="F13" s="36">
        <f>SUM(F11:F12)</f>
        <v>135.18799999999999</v>
      </c>
      <c r="G13" s="36">
        <f>E13-F13</f>
        <v>-54.803999999999988</v>
      </c>
      <c r="H13" s="126">
        <f>IF(F13&lt;0.00000001,"",E13/F13)</f>
        <v>0.59460898896351755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1.0460912179656423</v>
      </c>
      <c r="C15" s="39">
        <f>IF(C9=0,"",C13/C9)</f>
        <v>2.0336432831848543</v>
      </c>
      <c r="D15" s="8"/>
      <c r="E15" s="6">
        <f>IF(E9=0,"",E13/E9)</f>
        <v>0.86010690346427787</v>
      </c>
      <c r="F15" s="38">
        <f>IF(F9=0,"",F13/F9)</f>
        <v>1.7285779396279484</v>
      </c>
      <c r="G15" s="38">
        <f>IF(ISERROR(F15-E15),"",E15-F15)</f>
        <v>-0.8684710361636705</v>
      </c>
      <c r="H15" s="127">
        <f>IF(ISERROR(F15-E15),"",IF(F15&lt;0.00000001,"",E15/F15))</f>
        <v>0.49758063188600193</v>
      </c>
    </row>
    <row r="17" spans="1:8" ht="14.4" customHeight="1" x14ac:dyDescent="0.3">
      <c r="A17" s="113" t="s">
        <v>153</v>
      </c>
    </row>
    <row r="18" spans="1:8" ht="14.4" customHeight="1" x14ac:dyDescent="0.3">
      <c r="A18" s="294" t="s">
        <v>176</v>
      </c>
      <c r="B18" s="295"/>
      <c r="C18" s="295"/>
      <c r="D18" s="295"/>
      <c r="E18" s="295"/>
      <c r="F18" s="295"/>
      <c r="G18" s="295"/>
      <c r="H18" s="295"/>
    </row>
    <row r="19" spans="1:8" x14ac:dyDescent="0.3">
      <c r="A19" s="293" t="s">
        <v>175</v>
      </c>
      <c r="B19" s="295"/>
      <c r="C19" s="295"/>
      <c r="D19" s="295"/>
      <c r="E19" s="295"/>
      <c r="F19" s="295"/>
      <c r="G19" s="295"/>
      <c r="H19" s="295"/>
    </row>
    <row r="20" spans="1:8" ht="14.4" customHeight="1" x14ac:dyDescent="0.3">
      <c r="A20" s="114" t="s">
        <v>220</v>
      </c>
    </row>
    <row r="21" spans="1:8" ht="14.4" customHeight="1" x14ac:dyDescent="0.3">
      <c r="A21" s="114" t="s">
        <v>154</v>
      </c>
    </row>
    <row r="22" spans="1:8" ht="14.4" customHeight="1" x14ac:dyDescent="0.3">
      <c r="A22" s="115" t="s">
        <v>155</v>
      </c>
    </row>
    <row r="23" spans="1:8" ht="14.4" customHeight="1" x14ac:dyDescent="0.3">
      <c r="A23" s="115" t="s">
        <v>156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1" t="s">
        <v>103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ht="14.4" customHeight="1" x14ac:dyDescent="0.3">
      <c r="A2" s="231" t="s">
        <v>244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80</v>
      </c>
      <c r="C3" s="201" t="s">
        <v>81</v>
      </c>
      <c r="D3" s="201" t="s">
        <v>82</v>
      </c>
      <c r="E3" s="200" t="s">
        <v>83</v>
      </c>
      <c r="F3" s="201" t="s">
        <v>84</v>
      </c>
      <c r="G3" s="201" t="s">
        <v>85</v>
      </c>
      <c r="H3" s="201" t="s">
        <v>86</v>
      </c>
      <c r="I3" s="201" t="s">
        <v>87</v>
      </c>
      <c r="J3" s="201" t="s">
        <v>88</v>
      </c>
      <c r="K3" s="201" t="s">
        <v>89</v>
      </c>
      <c r="L3" s="201" t="s">
        <v>90</v>
      </c>
      <c r="M3" s="201" t="s">
        <v>91</v>
      </c>
    </row>
    <row r="4" spans="1:13" ht="14.4" customHeight="1" x14ac:dyDescent="0.3">
      <c r="A4" s="199" t="s">
        <v>79</v>
      </c>
      <c r="B4" s="202">
        <f>(B10+B8)/B6</f>
        <v>1.0887718320194217</v>
      </c>
      <c r="C4" s="202">
        <f t="shared" ref="C4:M4" si="0">(C10+C8)/C6</f>
        <v>0.86010690346427787</v>
      </c>
      <c r="D4" s="202">
        <f t="shared" si="0"/>
        <v>0.86010690346427787</v>
      </c>
      <c r="E4" s="202">
        <f t="shared" si="0"/>
        <v>0.86010690346427787</v>
      </c>
      <c r="F4" s="202">
        <f t="shared" si="0"/>
        <v>0.86010690346427787</v>
      </c>
      <c r="G4" s="202">
        <f t="shared" si="0"/>
        <v>0.86010690346427787</v>
      </c>
      <c r="H4" s="202">
        <f t="shared" si="0"/>
        <v>0.86010690346427787</v>
      </c>
      <c r="I4" s="202">
        <f t="shared" si="0"/>
        <v>0.86010690346427787</v>
      </c>
      <c r="J4" s="202">
        <f t="shared" si="0"/>
        <v>0.86010690346427787</v>
      </c>
      <c r="K4" s="202">
        <f t="shared" si="0"/>
        <v>0.86010690346427787</v>
      </c>
      <c r="L4" s="202">
        <f t="shared" si="0"/>
        <v>0.86010690346427787</v>
      </c>
      <c r="M4" s="202">
        <f t="shared" si="0"/>
        <v>0.86010690346427787</v>
      </c>
    </row>
    <row r="5" spans="1:13" ht="14.4" customHeight="1" x14ac:dyDescent="0.3">
      <c r="A5" s="203" t="s">
        <v>52</v>
      </c>
      <c r="B5" s="202">
        <f>IF(ISERROR(VLOOKUP($A5,'Man Tab'!$A:$Q,COLUMN()+2,0)),0,VLOOKUP($A5,'Man Tab'!$A:$Q,COLUMN()+2,0))</f>
        <v>41.9739</v>
      </c>
      <c r="C5" s="202">
        <f>IF(ISERROR(VLOOKUP($A5,'Man Tab'!$A:$Q,COLUMN()+2,0)),0,VLOOKUP($A5,'Man Tab'!$A:$Q,COLUMN()+2,0))</f>
        <v>51.484250000000003</v>
      </c>
      <c r="D5" s="202">
        <f>IF(ISERROR(VLOOKUP($A5,'Man Tab'!$A:$Q,COLUMN()+2,0)),0,VLOOKUP($A5,'Man Tab'!$A:$Q,COLUMN()+2,0))</f>
        <v>0</v>
      </c>
      <c r="E5" s="202">
        <f>IF(ISERROR(VLOOKUP($A5,'Man Tab'!$A:$Q,COLUMN()+2,0)),0,VLOOKUP($A5,'Man Tab'!$A:$Q,COLUMN()+2,0))</f>
        <v>0</v>
      </c>
      <c r="F5" s="202">
        <f>IF(ISERROR(VLOOKUP($A5,'Man Tab'!$A:$Q,COLUMN()+2,0)),0,VLOOKUP($A5,'Man Tab'!$A:$Q,COLUMN()+2,0))</f>
        <v>0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75</v>
      </c>
      <c r="B6" s="204">
        <f>B5</f>
        <v>41.9739</v>
      </c>
      <c r="C6" s="204">
        <f t="shared" ref="C6:M6" si="1">C5+B6</f>
        <v>93.458150000000003</v>
      </c>
      <c r="D6" s="204">
        <f t="shared" si="1"/>
        <v>93.458150000000003</v>
      </c>
      <c r="E6" s="204">
        <f t="shared" si="1"/>
        <v>93.458150000000003</v>
      </c>
      <c r="F6" s="204">
        <f t="shared" si="1"/>
        <v>93.458150000000003</v>
      </c>
      <c r="G6" s="204">
        <f t="shared" si="1"/>
        <v>93.458150000000003</v>
      </c>
      <c r="H6" s="204">
        <f t="shared" si="1"/>
        <v>93.458150000000003</v>
      </c>
      <c r="I6" s="204">
        <f t="shared" si="1"/>
        <v>93.458150000000003</v>
      </c>
      <c r="J6" s="204">
        <f t="shared" si="1"/>
        <v>93.458150000000003</v>
      </c>
      <c r="K6" s="204">
        <f t="shared" si="1"/>
        <v>93.458150000000003</v>
      </c>
      <c r="L6" s="204">
        <f t="shared" si="1"/>
        <v>93.458150000000003</v>
      </c>
      <c r="M6" s="204">
        <f t="shared" si="1"/>
        <v>93.458150000000003</v>
      </c>
    </row>
    <row r="7" spans="1:13" ht="14.4" customHeight="1" x14ac:dyDescent="0.3">
      <c r="A7" s="203" t="s">
        <v>101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76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102</v>
      </c>
      <c r="B9" s="203">
        <v>45700</v>
      </c>
      <c r="C9" s="203">
        <v>34684</v>
      </c>
      <c r="D9" s="203">
        <v>0</v>
      </c>
      <c r="E9" s="203">
        <v>0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77</v>
      </c>
      <c r="B10" s="204">
        <f>B9/1000</f>
        <v>45.7</v>
      </c>
      <c r="C10" s="204">
        <f t="shared" ref="C10:M10" si="3">C9/1000+B10</f>
        <v>80.384</v>
      </c>
      <c r="D10" s="204">
        <f t="shared" si="3"/>
        <v>80.384</v>
      </c>
      <c r="E10" s="204">
        <f t="shared" si="3"/>
        <v>80.384</v>
      </c>
      <c r="F10" s="204">
        <f t="shared" si="3"/>
        <v>80.384</v>
      </c>
      <c r="G10" s="204">
        <f t="shared" si="3"/>
        <v>80.384</v>
      </c>
      <c r="H10" s="204">
        <f t="shared" si="3"/>
        <v>80.384</v>
      </c>
      <c r="I10" s="204">
        <f t="shared" si="3"/>
        <v>80.384</v>
      </c>
      <c r="J10" s="204">
        <f t="shared" si="3"/>
        <v>80.384</v>
      </c>
      <c r="K10" s="204">
        <f t="shared" si="3"/>
        <v>80.384</v>
      </c>
      <c r="L10" s="204">
        <f t="shared" si="3"/>
        <v>80.384</v>
      </c>
      <c r="M10" s="204">
        <f t="shared" si="3"/>
        <v>80.384</v>
      </c>
    </row>
    <row r="11" spans="1:13" ht="14.4" customHeight="1" x14ac:dyDescent="0.3">
      <c r="A11" s="199"/>
      <c r="B11" s="199" t="s">
        <v>92</v>
      </c>
      <c r="C11" s="199">
        <f ca="1">IF(MONTH(TODAY())=1,12,MONTH(TODAY())-1)</f>
        <v>2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1.7285779396279484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1.7285779396279484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0" t="s">
        <v>246</v>
      </c>
      <c r="B1" s="330"/>
      <c r="C1" s="330"/>
      <c r="D1" s="330"/>
      <c r="E1" s="330"/>
      <c r="F1" s="330"/>
      <c r="G1" s="330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17" s="205" customFormat="1" ht="14.4" customHeight="1" thickBot="1" x14ac:dyDescent="0.3">
      <c r="A2" s="231" t="s">
        <v>244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1" t="s">
        <v>28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38"/>
      <c r="Q3" s="140"/>
    </row>
    <row r="4" spans="1:17" ht="14.4" customHeight="1" x14ac:dyDescent="0.3">
      <c r="A4" s="77"/>
      <c r="B4" s="20">
        <v>2015</v>
      </c>
      <c r="C4" s="139" t="s">
        <v>29</v>
      </c>
      <c r="D4" s="129" t="s">
        <v>223</v>
      </c>
      <c r="E4" s="129" t="s">
        <v>224</v>
      </c>
      <c r="F4" s="129" t="s">
        <v>225</v>
      </c>
      <c r="G4" s="129" t="s">
        <v>226</v>
      </c>
      <c r="H4" s="129" t="s">
        <v>227</v>
      </c>
      <c r="I4" s="129" t="s">
        <v>228</v>
      </c>
      <c r="J4" s="129" t="s">
        <v>229</v>
      </c>
      <c r="K4" s="129" t="s">
        <v>230</v>
      </c>
      <c r="L4" s="129" t="s">
        <v>231</v>
      </c>
      <c r="M4" s="129" t="s">
        <v>232</v>
      </c>
      <c r="N4" s="129" t="s">
        <v>233</v>
      </c>
      <c r="O4" s="129" t="s">
        <v>234</v>
      </c>
      <c r="P4" s="333" t="s">
        <v>3</v>
      </c>
      <c r="Q4" s="334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245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245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245</v>
      </c>
    </row>
    <row r="9" spans="1:17" ht="14.4" customHeight="1" x14ac:dyDescent="0.3">
      <c r="A9" s="15" t="s">
        <v>36</v>
      </c>
      <c r="B9" s="51">
        <v>443.99998601507599</v>
      </c>
      <c r="C9" s="52">
        <v>36.999998834589</v>
      </c>
      <c r="D9" s="52">
        <v>22.526900000000001</v>
      </c>
      <c r="E9" s="52">
        <v>48.585540000000002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71.112440000000007</v>
      </c>
      <c r="Q9" s="95">
        <v>0.960978949187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245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245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245</v>
      </c>
    </row>
    <row r="13" spans="1:17" ht="14.4" customHeight="1" x14ac:dyDescent="0.3">
      <c r="A13" s="15" t="s">
        <v>40</v>
      </c>
      <c r="B13" s="51">
        <v>4.9999998425119996</v>
      </c>
      <c r="C13" s="52">
        <v>0.416666653542</v>
      </c>
      <c r="D13" s="52">
        <v>0</v>
      </c>
      <c r="E13" s="52">
        <v>0.51031000000000004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0.51031000000000004</v>
      </c>
      <c r="Q13" s="95">
        <v>0.612372019288</v>
      </c>
    </row>
    <row r="14" spans="1:17" ht="14.4" customHeight="1" x14ac:dyDescent="0.3">
      <c r="A14" s="15" t="s">
        <v>41</v>
      </c>
      <c r="B14" s="51">
        <v>17.999999433043001</v>
      </c>
      <c r="C14" s="52">
        <v>1.4999999527529999</v>
      </c>
      <c r="D14" s="52">
        <v>2.847</v>
      </c>
      <c r="E14" s="52">
        <v>2.3879999999999999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5.2350000000000003</v>
      </c>
      <c r="Q14" s="95">
        <v>1.745000054963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245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245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245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245</v>
      </c>
    </row>
    <row r="19" spans="1:17" ht="14.4" customHeight="1" x14ac:dyDescent="0.3">
      <c r="A19" s="15" t="s">
        <v>46</v>
      </c>
      <c r="B19" s="51">
        <v>2.2458504942349999</v>
      </c>
      <c r="C19" s="52">
        <v>0.18715420785199999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5">
        <v>0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245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245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245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245</v>
      </c>
    </row>
    <row r="24" spans="1:17" ht="14.4" customHeight="1" x14ac:dyDescent="0.3">
      <c r="A24" s="16" t="s">
        <v>51</v>
      </c>
      <c r="B24" s="51">
        <v>-5.6843418860808002E-14</v>
      </c>
      <c r="C24" s="52">
        <v>0</v>
      </c>
      <c r="D24" s="52">
        <v>16.600000000000001</v>
      </c>
      <c r="E24" s="52">
        <v>3.9999999900000002E-4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16.6004</v>
      </c>
      <c r="Q24" s="95"/>
    </row>
    <row r="25" spans="1:17" ht="14.4" customHeight="1" x14ac:dyDescent="0.3">
      <c r="A25" s="17" t="s">
        <v>52</v>
      </c>
      <c r="B25" s="54">
        <v>469.24583578486801</v>
      </c>
      <c r="C25" s="55">
        <v>39.103819648738998</v>
      </c>
      <c r="D25" s="55">
        <v>41.9739</v>
      </c>
      <c r="E25" s="55">
        <v>51.484250000000003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93.458150000000003</v>
      </c>
      <c r="Q25" s="96">
        <v>1.195000269021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245</v>
      </c>
    </row>
    <row r="27" spans="1:17" ht="14.4" customHeight="1" x14ac:dyDescent="0.3">
      <c r="A27" s="18" t="s">
        <v>54</v>
      </c>
      <c r="B27" s="54">
        <v>469.24583578486801</v>
      </c>
      <c r="C27" s="55">
        <v>39.103819648738998</v>
      </c>
      <c r="D27" s="55">
        <v>41.9739</v>
      </c>
      <c r="E27" s="55">
        <v>51.484250000000003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93.458150000000003</v>
      </c>
      <c r="Q27" s="96">
        <v>1.195000269021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245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16.600000000000001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16.600000000000001</v>
      </c>
      <c r="Q31" s="97" t="s">
        <v>245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153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0" t="s">
        <v>60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60" customFormat="1" ht="14.4" customHeight="1" thickBot="1" x14ac:dyDescent="0.35">
      <c r="A2" s="231" t="s">
        <v>244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1" t="s">
        <v>61</v>
      </c>
      <c r="C3" s="332"/>
      <c r="D3" s="332"/>
      <c r="E3" s="332"/>
      <c r="F3" s="338" t="s">
        <v>62</v>
      </c>
      <c r="G3" s="332"/>
      <c r="H3" s="332"/>
      <c r="I3" s="332"/>
      <c r="J3" s="332"/>
      <c r="K3" s="339"/>
    </row>
    <row r="4" spans="1:11" ht="14.4" customHeight="1" x14ac:dyDescent="0.3">
      <c r="A4" s="77"/>
      <c r="B4" s="336"/>
      <c r="C4" s="337"/>
      <c r="D4" s="337"/>
      <c r="E4" s="337"/>
      <c r="F4" s="340" t="s">
        <v>239</v>
      </c>
      <c r="G4" s="342" t="s">
        <v>63</v>
      </c>
      <c r="H4" s="141" t="s">
        <v>137</v>
      </c>
      <c r="I4" s="340" t="s">
        <v>64</v>
      </c>
      <c r="J4" s="342" t="s">
        <v>241</v>
      </c>
      <c r="K4" s="343" t="s">
        <v>242</v>
      </c>
    </row>
    <row r="5" spans="1:11" ht="42" thickBot="1" x14ac:dyDescent="0.35">
      <c r="A5" s="78"/>
      <c r="B5" s="24" t="s">
        <v>235</v>
      </c>
      <c r="C5" s="25" t="s">
        <v>236</v>
      </c>
      <c r="D5" s="26" t="s">
        <v>237</v>
      </c>
      <c r="E5" s="26" t="s">
        <v>238</v>
      </c>
      <c r="F5" s="341"/>
      <c r="G5" s="341"/>
      <c r="H5" s="25" t="s">
        <v>240</v>
      </c>
      <c r="I5" s="341"/>
      <c r="J5" s="341"/>
      <c r="K5" s="344"/>
    </row>
    <row r="6" spans="1:11" ht="14.4" customHeight="1" thickBot="1" x14ac:dyDescent="0.35">
      <c r="A6" s="447" t="s">
        <v>247</v>
      </c>
      <c r="B6" s="429">
        <v>470.14179244643202</v>
      </c>
      <c r="C6" s="429">
        <v>478.46681999999998</v>
      </c>
      <c r="D6" s="430">
        <v>8.3250275535680007</v>
      </c>
      <c r="E6" s="431">
        <v>1.017707482481</v>
      </c>
      <c r="F6" s="429">
        <v>469.24583578486801</v>
      </c>
      <c r="G6" s="430">
        <v>78.207639297477002</v>
      </c>
      <c r="H6" s="432">
        <v>51.484250000000003</v>
      </c>
      <c r="I6" s="429">
        <v>93.458150000000003</v>
      </c>
      <c r="J6" s="430">
        <v>15.250510702522</v>
      </c>
      <c r="K6" s="433">
        <v>0.199166711503</v>
      </c>
    </row>
    <row r="7" spans="1:11" ht="14.4" customHeight="1" thickBot="1" x14ac:dyDescent="0.35">
      <c r="A7" s="448" t="s">
        <v>248</v>
      </c>
      <c r="B7" s="429">
        <v>470.14179244643202</v>
      </c>
      <c r="C7" s="429">
        <v>472.32886000000002</v>
      </c>
      <c r="D7" s="430">
        <v>2.1870675535680002</v>
      </c>
      <c r="E7" s="431">
        <v>1.004651931797</v>
      </c>
      <c r="F7" s="429">
        <v>466.99998529063203</v>
      </c>
      <c r="G7" s="430">
        <v>77.833330881772</v>
      </c>
      <c r="H7" s="432">
        <v>51.484250000000003</v>
      </c>
      <c r="I7" s="429">
        <v>93.458150000000003</v>
      </c>
      <c r="J7" s="430">
        <v>15.624819118228</v>
      </c>
      <c r="K7" s="433">
        <v>0.20012452450400001</v>
      </c>
    </row>
    <row r="8" spans="1:11" ht="14.4" customHeight="1" thickBot="1" x14ac:dyDescent="0.35">
      <c r="A8" s="449" t="s">
        <v>249</v>
      </c>
      <c r="B8" s="429">
        <v>451.81306277650702</v>
      </c>
      <c r="C8" s="429">
        <v>455.32585999999998</v>
      </c>
      <c r="D8" s="430">
        <v>3.5127972234930001</v>
      </c>
      <c r="E8" s="431">
        <v>1.007774890796</v>
      </c>
      <c r="F8" s="429">
        <v>448.999985857588</v>
      </c>
      <c r="G8" s="430">
        <v>74.833330976263994</v>
      </c>
      <c r="H8" s="432">
        <v>49.096249999999998</v>
      </c>
      <c r="I8" s="429">
        <v>88.223150000000004</v>
      </c>
      <c r="J8" s="430">
        <v>13.389819023735001</v>
      </c>
      <c r="K8" s="433">
        <v>0.19648809082099999</v>
      </c>
    </row>
    <row r="9" spans="1:11" ht="14.4" customHeight="1" thickBot="1" x14ac:dyDescent="0.35">
      <c r="A9" s="450" t="s">
        <v>250</v>
      </c>
      <c r="B9" s="434">
        <v>0</v>
      </c>
      <c r="C9" s="434">
        <v>2.7999999999999998E-4</v>
      </c>
      <c r="D9" s="435">
        <v>2.7999999999999998E-4</v>
      </c>
      <c r="E9" s="436" t="s">
        <v>251</v>
      </c>
      <c r="F9" s="434">
        <v>0</v>
      </c>
      <c r="G9" s="435">
        <v>0</v>
      </c>
      <c r="H9" s="437">
        <v>4.0000000000000002E-4</v>
      </c>
      <c r="I9" s="434">
        <v>4.0000000000000002E-4</v>
      </c>
      <c r="J9" s="435">
        <v>4.0000000000000002E-4</v>
      </c>
      <c r="K9" s="438" t="s">
        <v>245</v>
      </c>
    </row>
    <row r="10" spans="1:11" ht="14.4" customHeight="1" thickBot="1" x14ac:dyDescent="0.35">
      <c r="A10" s="451" t="s">
        <v>252</v>
      </c>
      <c r="B10" s="429">
        <v>0</v>
      </c>
      <c r="C10" s="429">
        <v>2.7999999999999998E-4</v>
      </c>
      <c r="D10" s="430">
        <v>2.7999999999999998E-4</v>
      </c>
      <c r="E10" s="439" t="s">
        <v>251</v>
      </c>
      <c r="F10" s="429">
        <v>0</v>
      </c>
      <c r="G10" s="430">
        <v>0</v>
      </c>
      <c r="H10" s="432">
        <v>4.0000000000000002E-4</v>
      </c>
      <c r="I10" s="429">
        <v>4.0000000000000002E-4</v>
      </c>
      <c r="J10" s="430">
        <v>4.0000000000000002E-4</v>
      </c>
      <c r="K10" s="440" t="s">
        <v>245</v>
      </c>
    </row>
    <row r="11" spans="1:11" ht="14.4" customHeight="1" thickBot="1" x14ac:dyDescent="0.35">
      <c r="A11" s="450" t="s">
        <v>253</v>
      </c>
      <c r="B11" s="434">
        <v>444.81310161143398</v>
      </c>
      <c r="C11" s="434">
        <v>451.73370999999997</v>
      </c>
      <c r="D11" s="435">
        <v>6.9206083885660004</v>
      </c>
      <c r="E11" s="441">
        <v>1.015558463461</v>
      </c>
      <c r="F11" s="434">
        <v>443.99998601507599</v>
      </c>
      <c r="G11" s="435">
        <v>73.999997669178995</v>
      </c>
      <c r="H11" s="437">
        <v>48.585540000000002</v>
      </c>
      <c r="I11" s="434">
        <v>71.112440000000007</v>
      </c>
      <c r="J11" s="435">
        <v>-2.8875576691789999</v>
      </c>
      <c r="K11" s="442">
        <v>0.160163158197</v>
      </c>
    </row>
    <row r="12" spans="1:11" ht="14.4" customHeight="1" thickBot="1" x14ac:dyDescent="0.35">
      <c r="A12" s="451" t="s">
        <v>254</v>
      </c>
      <c r="B12" s="429">
        <v>23.442229502671999</v>
      </c>
      <c r="C12" s="429">
        <v>21.391210000000001</v>
      </c>
      <c r="D12" s="430">
        <v>-2.0510195026720002</v>
      </c>
      <c r="E12" s="431">
        <v>0.91250748985100005</v>
      </c>
      <c r="F12" s="429">
        <v>22.999999275554998</v>
      </c>
      <c r="G12" s="430">
        <v>3.8333332125920001</v>
      </c>
      <c r="H12" s="432">
        <v>2.2454000000000001</v>
      </c>
      <c r="I12" s="429">
        <v>11.6752</v>
      </c>
      <c r="J12" s="430">
        <v>7.8418667874069996</v>
      </c>
      <c r="K12" s="433">
        <v>0.50761740729299998</v>
      </c>
    </row>
    <row r="13" spans="1:11" ht="14.4" customHeight="1" thickBot="1" x14ac:dyDescent="0.35">
      <c r="A13" s="451" t="s">
        <v>255</v>
      </c>
      <c r="B13" s="429">
        <v>316.76570576605297</v>
      </c>
      <c r="C13" s="429">
        <v>330.96188000000001</v>
      </c>
      <c r="D13" s="430">
        <v>14.196174233947</v>
      </c>
      <c r="E13" s="431">
        <v>1.044816007463</v>
      </c>
      <c r="F13" s="429">
        <v>316.999990015268</v>
      </c>
      <c r="G13" s="430">
        <v>52.833331669210999</v>
      </c>
      <c r="H13" s="432">
        <v>31.676549999999999</v>
      </c>
      <c r="I13" s="429">
        <v>44.724649999999997</v>
      </c>
      <c r="J13" s="430">
        <v>-8.1086816692110002</v>
      </c>
      <c r="K13" s="433">
        <v>0.141087228418</v>
      </c>
    </row>
    <row r="14" spans="1:11" ht="14.4" customHeight="1" thickBot="1" x14ac:dyDescent="0.35">
      <c r="A14" s="451" t="s">
        <v>256</v>
      </c>
      <c r="B14" s="429">
        <v>53.611599617282003</v>
      </c>
      <c r="C14" s="429">
        <v>51.295470000000002</v>
      </c>
      <c r="D14" s="430">
        <v>-2.3161296172819998</v>
      </c>
      <c r="E14" s="431">
        <v>0.95679797592600002</v>
      </c>
      <c r="F14" s="429">
        <v>52.999998330628003</v>
      </c>
      <c r="G14" s="430">
        <v>8.8333330551039992</v>
      </c>
      <c r="H14" s="432">
        <v>12.20856</v>
      </c>
      <c r="I14" s="429">
        <v>12.20856</v>
      </c>
      <c r="J14" s="430">
        <v>3.3752269448950001</v>
      </c>
      <c r="K14" s="433">
        <v>0.230350195934</v>
      </c>
    </row>
    <row r="15" spans="1:11" ht="14.4" customHeight="1" thickBot="1" x14ac:dyDescent="0.35">
      <c r="A15" s="451" t="s">
        <v>257</v>
      </c>
      <c r="B15" s="429">
        <v>17.127162774807001</v>
      </c>
      <c r="C15" s="429">
        <v>15.418509999999999</v>
      </c>
      <c r="D15" s="430">
        <v>-1.708652774807</v>
      </c>
      <c r="E15" s="431">
        <v>0.90023725486299999</v>
      </c>
      <c r="F15" s="429">
        <v>16.999999464540998</v>
      </c>
      <c r="G15" s="430">
        <v>2.8333332440899999</v>
      </c>
      <c r="H15" s="432">
        <v>1.78003</v>
      </c>
      <c r="I15" s="429">
        <v>1.8290299999999999</v>
      </c>
      <c r="J15" s="430">
        <v>-1.0043032440899999</v>
      </c>
      <c r="K15" s="433">
        <v>0.107590003388</v>
      </c>
    </row>
    <row r="16" spans="1:11" ht="14.4" customHeight="1" thickBot="1" x14ac:dyDescent="0.35">
      <c r="A16" s="451" t="s">
        <v>258</v>
      </c>
      <c r="B16" s="429">
        <v>15.217297548743</v>
      </c>
      <c r="C16" s="429">
        <v>14.1496</v>
      </c>
      <c r="D16" s="430">
        <v>-1.067697548743</v>
      </c>
      <c r="E16" s="431">
        <v>0.92983658594200003</v>
      </c>
      <c r="F16" s="429">
        <v>14.999999527536</v>
      </c>
      <c r="G16" s="430">
        <v>2.4999999212559998</v>
      </c>
      <c r="H16" s="432">
        <v>0.67500000000000004</v>
      </c>
      <c r="I16" s="429">
        <v>0.67500000000000004</v>
      </c>
      <c r="J16" s="430">
        <v>-1.824999921256</v>
      </c>
      <c r="K16" s="433">
        <v>4.5000001417000002E-2</v>
      </c>
    </row>
    <row r="17" spans="1:11" ht="14.4" customHeight="1" thickBot="1" x14ac:dyDescent="0.35">
      <c r="A17" s="451" t="s">
        <v>259</v>
      </c>
      <c r="B17" s="429">
        <v>18.649106401874</v>
      </c>
      <c r="C17" s="429">
        <v>18.517040000000001</v>
      </c>
      <c r="D17" s="430">
        <v>-0.13206640187400001</v>
      </c>
      <c r="E17" s="431">
        <v>0.99291835227699998</v>
      </c>
      <c r="F17" s="429">
        <v>18.999999401545999</v>
      </c>
      <c r="G17" s="430">
        <v>3.1666665669239999</v>
      </c>
      <c r="H17" s="432">
        <v>0</v>
      </c>
      <c r="I17" s="429">
        <v>0</v>
      </c>
      <c r="J17" s="430">
        <v>-3.1666665669239999</v>
      </c>
      <c r="K17" s="433">
        <v>0</v>
      </c>
    </row>
    <row r="18" spans="1:11" ht="14.4" customHeight="1" thickBot="1" x14ac:dyDescent="0.35">
      <c r="A18" s="450" t="s">
        <v>260</v>
      </c>
      <c r="B18" s="434">
        <v>6.9999611650729996</v>
      </c>
      <c r="C18" s="434">
        <v>3.5918700000000001</v>
      </c>
      <c r="D18" s="435">
        <v>-3.4080911650729999</v>
      </c>
      <c r="E18" s="441">
        <v>0.51312713246399999</v>
      </c>
      <c r="F18" s="434">
        <v>4.9999998425119996</v>
      </c>
      <c r="G18" s="435">
        <v>0.83333330708499997</v>
      </c>
      <c r="H18" s="437">
        <v>0.51031000000000004</v>
      </c>
      <c r="I18" s="434">
        <v>0.51031000000000004</v>
      </c>
      <c r="J18" s="435">
        <v>-0.32302330708499999</v>
      </c>
      <c r="K18" s="442">
        <v>0.102062003214</v>
      </c>
    </row>
    <row r="19" spans="1:11" ht="14.4" customHeight="1" thickBot="1" x14ac:dyDescent="0.35">
      <c r="A19" s="451" t="s">
        <v>261</v>
      </c>
      <c r="B19" s="429">
        <v>6.9999611650729996</v>
      </c>
      <c r="C19" s="429">
        <v>3.5918700000000001</v>
      </c>
      <c r="D19" s="430">
        <v>-3.4080911650729999</v>
      </c>
      <c r="E19" s="431">
        <v>0.51312713246399999</v>
      </c>
      <c r="F19" s="429">
        <v>4.9999998425119996</v>
      </c>
      <c r="G19" s="430">
        <v>0.83333330708499997</v>
      </c>
      <c r="H19" s="432">
        <v>0.51031000000000004</v>
      </c>
      <c r="I19" s="429">
        <v>0.51031000000000004</v>
      </c>
      <c r="J19" s="430">
        <v>-0.32302330708499999</v>
      </c>
      <c r="K19" s="433">
        <v>0.102062003214</v>
      </c>
    </row>
    <row r="20" spans="1:11" ht="14.4" customHeight="1" thickBot="1" x14ac:dyDescent="0.35">
      <c r="A20" s="450" t="s">
        <v>262</v>
      </c>
      <c r="B20" s="434">
        <v>0</v>
      </c>
      <c r="C20" s="434">
        <v>0</v>
      </c>
      <c r="D20" s="435">
        <v>0</v>
      </c>
      <c r="E20" s="441">
        <v>1</v>
      </c>
      <c r="F20" s="434">
        <v>0</v>
      </c>
      <c r="G20" s="435">
        <v>0</v>
      </c>
      <c r="H20" s="437">
        <v>0</v>
      </c>
      <c r="I20" s="434">
        <v>16.600000000000001</v>
      </c>
      <c r="J20" s="435">
        <v>16.600000000000001</v>
      </c>
      <c r="K20" s="438" t="s">
        <v>251</v>
      </c>
    </row>
    <row r="21" spans="1:11" ht="14.4" customHeight="1" thickBot="1" x14ac:dyDescent="0.35">
      <c r="A21" s="451" t="s">
        <v>263</v>
      </c>
      <c r="B21" s="429">
        <v>0</v>
      </c>
      <c r="C21" s="429">
        <v>0</v>
      </c>
      <c r="D21" s="430">
        <v>0</v>
      </c>
      <c r="E21" s="431">
        <v>1</v>
      </c>
      <c r="F21" s="429">
        <v>0</v>
      </c>
      <c r="G21" s="430">
        <v>0</v>
      </c>
      <c r="H21" s="432">
        <v>0</v>
      </c>
      <c r="I21" s="429">
        <v>16.600000000000001</v>
      </c>
      <c r="J21" s="430">
        <v>16.600000000000001</v>
      </c>
      <c r="K21" s="440" t="s">
        <v>251</v>
      </c>
    </row>
    <row r="22" spans="1:11" ht="14.4" customHeight="1" thickBot="1" x14ac:dyDescent="0.35">
      <c r="A22" s="449" t="s">
        <v>41</v>
      </c>
      <c r="B22" s="429">
        <v>18.328729669924002</v>
      </c>
      <c r="C22" s="429">
        <v>17.003</v>
      </c>
      <c r="D22" s="430">
        <v>-1.325729669924</v>
      </c>
      <c r="E22" s="431">
        <v>0.92766930966799999</v>
      </c>
      <c r="F22" s="429">
        <v>17.999999433043001</v>
      </c>
      <c r="G22" s="430">
        <v>2.9999999055069999</v>
      </c>
      <c r="H22" s="432">
        <v>2.3879999999999999</v>
      </c>
      <c r="I22" s="429">
        <v>5.2350000000000003</v>
      </c>
      <c r="J22" s="430">
        <v>2.2350000944919999</v>
      </c>
      <c r="K22" s="433">
        <v>0.29083334249300002</v>
      </c>
    </row>
    <row r="23" spans="1:11" ht="14.4" customHeight="1" thickBot="1" x14ac:dyDescent="0.35">
      <c r="A23" s="450" t="s">
        <v>264</v>
      </c>
      <c r="B23" s="434">
        <v>18.328729669924002</v>
      </c>
      <c r="C23" s="434">
        <v>17.003</v>
      </c>
      <c r="D23" s="435">
        <v>-1.325729669924</v>
      </c>
      <c r="E23" s="441">
        <v>0.92766930966799999</v>
      </c>
      <c r="F23" s="434">
        <v>17.999999433043001</v>
      </c>
      <c r="G23" s="435">
        <v>2.9999999055069999</v>
      </c>
      <c r="H23" s="437">
        <v>2.3879999999999999</v>
      </c>
      <c r="I23" s="434">
        <v>5.2350000000000003</v>
      </c>
      <c r="J23" s="435">
        <v>2.2350000944919999</v>
      </c>
      <c r="K23" s="442">
        <v>0.29083334249300002</v>
      </c>
    </row>
    <row r="24" spans="1:11" ht="14.4" customHeight="1" thickBot="1" x14ac:dyDescent="0.35">
      <c r="A24" s="451" t="s">
        <v>265</v>
      </c>
      <c r="B24" s="429">
        <v>18.328729669924002</v>
      </c>
      <c r="C24" s="429">
        <v>17.003</v>
      </c>
      <c r="D24" s="430">
        <v>-1.325729669924</v>
      </c>
      <c r="E24" s="431">
        <v>0.92766930966799999</v>
      </c>
      <c r="F24" s="429">
        <v>17.999999433043001</v>
      </c>
      <c r="G24" s="430">
        <v>2.9999999055069999</v>
      </c>
      <c r="H24" s="432">
        <v>2.3879999999999999</v>
      </c>
      <c r="I24" s="429">
        <v>5.2350000000000003</v>
      </c>
      <c r="J24" s="430">
        <v>2.2350000944919999</v>
      </c>
      <c r="K24" s="433">
        <v>0.29083334249300002</v>
      </c>
    </row>
    <row r="25" spans="1:11" ht="14.4" customHeight="1" thickBot="1" x14ac:dyDescent="0.35">
      <c r="A25" s="452" t="s">
        <v>266</v>
      </c>
      <c r="B25" s="434">
        <v>0</v>
      </c>
      <c r="C25" s="434">
        <v>2.4059699999999999</v>
      </c>
      <c r="D25" s="435">
        <v>2.4059699999999999</v>
      </c>
      <c r="E25" s="436" t="s">
        <v>251</v>
      </c>
      <c r="F25" s="434">
        <v>2.2458504942349999</v>
      </c>
      <c r="G25" s="435">
        <v>0.37430841570500001</v>
      </c>
      <c r="H25" s="437">
        <v>0</v>
      </c>
      <c r="I25" s="434">
        <v>0</v>
      </c>
      <c r="J25" s="435">
        <v>-0.37430841570500001</v>
      </c>
      <c r="K25" s="442">
        <v>0</v>
      </c>
    </row>
    <row r="26" spans="1:11" ht="14.4" customHeight="1" thickBot="1" x14ac:dyDescent="0.35">
      <c r="A26" s="449" t="s">
        <v>46</v>
      </c>
      <c r="B26" s="429">
        <v>0</v>
      </c>
      <c r="C26" s="429">
        <v>2.4059699999999999</v>
      </c>
      <c r="D26" s="430">
        <v>2.4059699999999999</v>
      </c>
      <c r="E26" s="439" t="s">
        <v>251</v>
      </c>
      <c r="F26" s="429">
        <v>2.2458504942349999</v>
      </c>
      <c r="G26" s="430">
        <v>0.37430841570500001</v>
      </c>
      <c r="H26" s="432">
        <v>0</v>
      </c>
      <c r="I26" s="429">
        <v>0</v>
      </c>
      <c r="J26" s="430">
        <v>-0.37430841570500001</v>
      </c>
      <c r="K26" s="433">
        <v>0</v>
      </c>
    </row>
    <row r="27" spans="1:11" ht="14.4" customHeight="1" thickBot="1" x14ac:dyDescent="0.35">
      <c r="A27" s="450" t="s">
        <v>267</v>
      </c>
      <c r="B27" s="434">
        <v>0</v>
      </c>
      <c r="C27" s="434">
        <v>0.41399999999999998</v>
      </c>
      <c r="D27" s="435">
        <v>0.41399999999999998</v>
      </c>
      <c r="E27" s="436" t="s">
        <v>251</v>
      </c>
      <c r="F27" s="434">
        <v>0.20973774570699999</v>
      </c>
      <c r="G27" s="435">
        <v>3.4956290951000002E-2</v>
      </c>
      <c r="H27" s="437">
        <v>0</v>
      </c>
      <c r="I27" s="434">
        <v>0</v>
      </c>
      <c r="J27" s="435">
        <v>-3.4956290951000002E-2</v>
      </c>
      <c r="K27" s="442">
        <v>0</v>
      </c>
    </row>
    <row r="28" spans="1:11" ht="14.4" customHeight="1" thickBot="1" x14ac:dyDescent="0.35">
      <c r="A28" s="451" t="s">
        <v>268</v>
      </c>
      <c r="B28" s="429">
        <v>0</v>
      </c>
      <c r="C28" s="429">
        <v>0.41399999999999998</v>
      </c>
      <c r="D28" s="430">
        <v>0.41399999999999998</v>
      </c>
      <c r="E28" s="439" t="s">
        <v>251</v>
      </c>
      <c r="F28" s="429">
        <v>0.20973774570699999</v>
      </c>
      <c r="G28" s="430">
        <v>3.4956290951000002E-2</v>
      </c>
      <c r="H28" s="432">
        <v>0</v>
      </c>
      <c r="I28" s="429">
        <v>0</v>
      </c>
      <c r="J28" s="430">
        <v>-3.4956290951000002E-2</v>
      </c>
      <c r="K28" s="433">
        <v>0</v>
      </c>
    </row>
    <row r="29" spans="1:11" ht="14.4" customHeight="1" thickBot="1" x14ac:dyDescent="0.35">
      <c r="A29" s="450" t="s">
        <v>269</v>
      </c>
      <c r="B29" s="434">
        <v>0</v>
      </c>
      <c r="C29" s="434">
        <v>1.99197</v>
      </c>
      <c r="D29" s="435">
        <v>1.99197</v>
      </c>
      <c r="E29" s="436" t="s">
        <v>251</v>
      </c>
      <c r="F29" s="434">
        <v>2.0361127485280002</v>
      </c>
      <c r="G29" s="435">
        <v>0.33935212475400001</v>
      </c>
      <c r="H29" s="437">
        <v>0</v>
      </c>
      <c r="I29" s="434">
        <v>0</v>
      </c>
      <c r="J29" s="435">
        <v>-0.33935212475400001</v>
      </c>
      <c r="K29" s="442">
        <v>0</v>
      </c>
    </row>
    <row r="30" spans="1:11" ht="14.4" customHeight="1" thickBot="1" x14ac:dyDescent="0.35">
      <c r="A30" s="451" t="s">
        <v>270</v>
      </c>
      <c r="B30" s="429">
        <v>0</v>
      </c>
      <c r="C30" s="429">
        <v>1.99197</v>
      </c>
      <c r="D30" s="430">
        <v>1.99197</v>
      </c>
      <c r="E30" s="439" t="s">
        <v>251</v>
      </c>
      <c r="F30" s="429">
        <v>2.0361127485280002</v>
      </c>
      <c r="G30" s="430">
        <v>0.33935212475400001</v>
      </c>
      <c r="H30" s="432">
        <v>0</v>
      </c>
      <c r="I30" s="429">
        <v>0</v>
      </c>
      <c r="J30" s="430">
        <v>-0.33935212475400001</v>
      </c>
      <c r="K30" s="433">
        <v>0</v>
      </c>
    </row>
    <row r="31" spans="1:11" ht="14.4" customHeight="1" thickBot="1" x14ac:dyDescent="0.35">
      <c r="A31" s="448" t="s">
        <v>271</v>
      </c>
      <c r="B31" s="429">
        <v>0</v>
      </c>
      <c r="C31" s="429">
        <v>3.7319900000000001</v>
      </c>
      <c r="D31" s="430">
        <v>3.7319900000000001</v>
      </c>
      <c r="E31" s="439" t="s">
        <v>251</v>
      </c>
      <c r="F31" s="429">
        <v>0</v>
      </c>
      <c r="G31" s="430">
        <v>0</v>
      </c>
      <c r="H31" s="432">
        <v>0</v>
      </c>
      <c r="I31" s="429">
        <v>0</v>
      </c>
      <c r="J31" s="430">
        <v>0</v>
      </c>
      <c r="K31" s="440" t="s">
        <v>245</v>
      </c>
    </row>
    <row r="32" spans="1:11" ht="14.4" customHeight="1" thickBot="1" x14ac:dyDescent="0.35">
      <c r="A32" s="449" t="s">
        <v>272</v>
      </c>
      <c r="B32" s="429">
        <v>0</v>
      </c>
      <c r="C32" s="429">
        <v>3.7319900000000001</v>
      </c>
      <c r="D32" s="430">
        <v>3.7319900000000001</v>
      </c>
      <c r="E32" s="439" t="s">
        <v>251</v>
      </c>
      <c r="F32" s="429">
        <v>0</v>
      </c>
      <c r="G32" s="430">
        <v>0</v>
      </c>
      <c r="H32" s="432">
        <v>0</v>
      </c>
      <c r="I32" s="429">
        <v>0</v>
      </c>
      <c r="J32" s="430">
        <v>0</v>
      </c>
      <c r="K32" s="440" t="s">
        <v>245</v>
      </c>
    </row>
    <row r="33" spans="1:11" ht="14.4" customHeight="1" thickBot="1" x14ac:dyDescent="0.35">
      <c r="A33" s="450" t="s">
        <v>273</v>
      </c>
      <c r="B33" s="434">
        <v>0</v>
      </c>
      <c r="C33" s="434">
        <v>3.7319900000000001</v>
      </c>
      <c r="D33" s="435">
        <v>3.7319900000000001</v>
      </c>
      <c r="E33" s="436" t="s">
        <v>251</v>
      </c>
      <c r="F33" s="434">
        <v>0</v>
      </c>
      <c r="G33" s="435">
        <v>0</v>
      </c>
      <c r="H33" s="437">
        <v>0</v>
      </c>
      <c r="I33" s="434">
        <v>0</v>
      </c>
      <c r="J33" s="435">
        <v>0</v>
      </c>
      <c r="K33" s="438" t="s">
        <v>245</v>
      </c>
    </row>
    <row r="34" spans="1:11" ht="14.4" customHeight="1" thickBot="1" x14ac:dyDescent="0.35">
      <c r="A34" s="451" t="s">
        <v>274</v>
      </c>
      <c r="B34" s="429">
        <v>0</v>
      </c>
      <c r="C34" s="429">
        <v>3.7319900000000001</v>
      </c>
      <c r="D34" s="430">
        <v>3.7319900000000001</v>
      </c>
      <c r="E34" s="439" t="s">
        <v>251</v>
      </c>
      <c r="F34" s="429">
        <v>0</v>
      </c>
      <c r="G34" s="430">
        <v>0</v>
      </c>
      <c r="H34" s="432">
        <v>0</v>
      </c>
      <c r="I34" s="429">
        <v>0</v>
      </c>
      <c r="J34" s="430">
        <v>0</v>
      </c>
      <c r="K34" s="440" t="s">
        <v>245</v>
      </c>
    </row>
    <row r="35" spans="1:11" ht="14.4" customHeight="1" thickBot="1" x14ac:dyDescent="0.35">
      <c r="A35" s="447" t="s">
        <v>275</v>
      </c>
      <c r="B35" s="429">
        <v>0</v>
      </c>
      <c r="C35" s="429">
        <v>1386.08032</v>
      </c>
      <c r="D35" s="430">
        <v>1386.08032</v>
      </c>
      <c r="E35" s="439" t="s">
        <v>251</v>
      </c>
      <c r="F35" s="429">
        <v>1433.0000000003699</v>
      </c>
      <c r="G35" s="430">
        <v>238.83333333339601</v>
      </c>
      <c r="H35" s="432">
        <v>65.861900000000006</v>
      </c>
      <c r="I35" s="429">
        <v>87.2453</v>
      </c>
      <c r="J35" s="430">
        <v>-151.588033333396</v>
      </c>
      <c r="K35" s="433">
        <v>6.0882972783999997E-2</v>
      </c>
    </row>
    <row r="36" spans="1:11" ht="14.4" customHeight="1" thickBot="1" x14ac:dyDescent="0.35">
      <c r="A36" s="448" t="s">
        <v>276</v>
      </c>
      <c r="B36" s="429">
        <v>0</v>
      </c>
      <c r="C36" s="429">
        <v>1386.08032</v>
      </c>
      <c r="D36" s="430">
        <v>1386.08032</v>
      </c>
      <c r="E36" s="439" t="s">
        <v>251</v>
      </c>
      <c r="F36" s="429">
        <v>1433.0000000003699</v>
      </c>
      <c r="G36" s="430">
        <v>238.83333333339601</v>
      </c>
      <c r="H36" s="432">
        <v>65.861900000000006</v>
      </c>
      <c r="I36" s="429">
        <v>70.645300000000006</v>
      </c>
      <c r="J36" s="430">
        <v>-168.18803333339599</v>
      </c>
      <c r="K36" s="433">
        <v>4.9298883460999997E-2</v>
      </c>
    </row>
    <row r="37" spans="1:11" ht="14.4" customHeight="1" thickBot="1" x14ac:dyDescent="0.35">
      <c r="A37" s="449" t="s">
        <v>277</v>
      </c>
      <c r="B37" s="429">
        <v>0</v>
      </c>
      <c r="C37" s="429">
        <v>1386.08032</v>
      </c>
      <c r="D37" s="430">
        <v>1386.08032</v>
      </c>
      <c r="E37" s="439" t="s">
        <v>251</v>
      </c>
      <c r="F37" s="429">
        <v>1433.0000000003699</v>
      </c>
      <c r="G37" s="430">
        <v>238.83333333339601</v>
      </c>
      <c r="H37" s="432">
        <v>65.861900000000006</v>
      </c>
      <c r="I37" s="429">
        <v>70.645300000000006</v>
      </c>
      <c r="J37" s="430">
        <v>-168.18803333339599</v>
      </c>
      <c r="K37" s="433">
        <v>4.9298883460999997E-2</v>
      </c>
    </row>
    <row r="38" spans="1:11" ht="14.4" customHeight="1" thickBot="1" x14ac:dyDescent="0.35">
      <c r="A38" s="450" t="s">
        <v>278</v>
      </c>
      <c r="B38" s="434">
        <v>0</v>
      </c>
      <c r="C38" s="434">
        <v>1.4961199999999999</v>
      </c>
      <c r="D38" s="435">
        <v>1.4961199999999999</v>
      </c>
      <c r="E38" s="436" t="s">
        <v>251</v>
      </c>
      <c r="F38" s="434">
        <v>2</v>
      </c>
      <c r="G38" s="435">
        <v>0.33333333333300003</v>
      </c>
      <c r="H38" s="437">
        <v>0.24302000000000001</v>
      </c>
      <c r="I38" s="434">
        <v>0.40117999999999998</v>
      </c>
      <c r="J38" s="435">
        <v>6.7846666666000005E-2</v>
      </c>
      <c r="K38" s="442">
        <v>0.20058999999900001</v>
      </c>
    </row>
    <row r="39" spans="1:11" ht="14.4" customHeight="1" thickBot="1" x14ac:dyDescent="0.35">
      <c r="A39" s="451" t="s">
        <v>279</v>
      </c>
      <c r="B39" s="429">
        <v>0</v>
      </c>
      <c r="C39" s="429">
        <v>1.4961199999999999</v>
      </c>
      <c r="D39" s="430">
        <v>1.4961199999999999</v>
      </c>
      <c r="E39" s="439" t="s">
        <v>251</v>
      </c>
      <c r="F39" s="429">
        <v>2</v>
      </c>
      <c r="G39" s="430">
        <v>0.33333333333300003</v>
      </c>
      <c r="H39" s="432">
        <v>0.24302000000000001</v>
      </c>
      <c r="I39" s="429">
        <v>0.40117999999999998</v>
      </c>
      <c r="J39" s="430">
        <v>6.7846666666000005E-2</v>
      </c>
      <c r="K39" s="433">
        <v>0.20058999999900001</v>
      </c>
    </row>
    <row r="40" spans="1:11" ht="14.4" customHeight="1" thickBot="1" x14ac:dyDescent="0.35">
      <c r="A40" s="450" t="s">
        <v>280</v>
      </c>
      <c r="B40" s="434">
        <v>0</v>
      </c>
      <c r="C40" s="434">
        <v>0.44358999999999998</v>
      </c>
      <c r="D40" s="435">
        <v>0.44358999999999998</v>
      </c>
      <c r="E40" s="436" t="s">
        <v>251</v>
      </c>
      <c r="F40" s="434">
        <v>1</v>
      </c>
      <c r="G40" s="435">
        <v>0.166666666666</v>
      </c>
      <c r="H40" s="437">
        <v>0</v>
      </c>
      <c r="I40" s="434">
        <v>0</v>
      </c>
      <c r="J40" s="435">
        <v>-0.166666666666</v>
      </c>
      <c r="K40" s="442">
        <v>0</v>
      </c>
    </row>
    <row r="41" spans="1:11" ht="14.4" customHeight="1" thickBot="1" x14ac:dyDescent="0.35">
      <c r="A41" s="451" t="s">
        <v>281</v>
      </c>
      <c r="B41" s="429">
        <v>0</v>
      </c>
      <c r="C41" s="429">
        <v>0.44358999999999998</v>
      </c>
      <c r="D41" s="430">
        <v>0.44358999999999998</v>
      </c>
      <c r="E41" s="439" t="s">
        <v>251</v>
      </c>
      <c r="F41" s="429">
        <v>1</v>
      </c>
      <c r="G41" s="430">
        <v>0.166666666666</v>
      </c>
      <c r="H41" s="432">
        <v>0</v>
      </c>
      <c r="I41" s="429">
        <v>0</v>
      </c>
      <c r="J41" s="430">
        <v>-0.166666666666</v>
      </c>
      <c r="K41" s="433">
        <v>0</v>
      </c>
    </row>
    <row r="42" spans="1:11" ht="14.4" customHeight="1" thickBot="1" x14ac:dyDescent="0.35">
      <c r="A42" s="450" t="s">
        <v>282</v>
      </c>
      <c r="B42" s="434">
        <v>0</v>
      </c>
      <c r="C42" s="434">
        <v>1384.1406099999999</v>
      </c>
      <c r="D42" s="435">
        <v>1384.1406099999999</v>
      </c>
      <c r="E42" s="436" t="s">
        <v>251</v>
      </c>
      <c r="F42" s="434">
        <v>1430.0000000003699</v>
      </c>
      <c r="G42" s="435">
        <v>238.33333333339601</v>
      </c>
      <c r="H42" s="437">
        <v>65.618880000000004</v>
      </c>
      <c r="I42" s="434">
        <v>70.244119999999995</v>
      </c>
      <c r="J42" s="435">
        <v>-168.089213333396</v>
      </c>
      <c r="K42" s="442">
        <v>4.9121762237000002E-2</v>
      </c>
    </row>
    <row r="43" spans="1:11" ht="14.4" customHeight="1" thickBot="1" x14ac:dyDescent="0.35">
      <c r="A43" s="451" t="s">
        <v>283</v>
      </c>
      <c r="B43" s="429">
        <v>0</v>
      </c>
      <c r="C43" s="429">
        <v>297.911</v>
      </c>
      <c r="D43" s="430">
        <v>297.911</v>
      </c>
      <c r="E43" s="439" t="s">
        <v>251</v>
      </c>
      <c r="F43" s="429">
        <v>289.00000000007498</v>
      </c>
      <c r="G43" s="430">
        <v>48.166666666678999</v>
      </c>
      <c r="H43" s="432">
        <v>0</v>
      </c>
      <c r="I43" s="429">
        <v>0</v>
      </c>
      <c r="J43" s="430">
        <v>-48.166666666678999</v>
      </c>
      <c r="K43" s="433">
        <v>0</v>
      </c>
    </row>
    <row r="44" spans="1:11" ht="14.4" customHeight="1" thickBot="1" x14ac:dyDescent="0.35">
      <c r="A44" s="451" t="s">
        <v>284</v>
      </c>
      <c r="B44" s="429">
        <v>0</v>
      </c>
      <c r="C44" s="429">
        <v>1086.2296100000001</v>
      </c>
      <c r="D44" s="430">
        <v>1086.2296100000001</v>
      </c>
      <c r="E44" s="439" t="s">
        <v>251</v>
      </c>
      <c r="F44" s="429">
        <v>1141.0000000002999</v>
      </c>
      <c r="G44" s="430">
        <v>190.166666666716</v>
      </c>
      <c r="H44" s="432">
        <v>65.618880000000004</v>
      </c>
      <c r="I44" s="429">
        <v>70.244119999999995</v>
      </c>
      <c r="J44" s="430">
        <v>-119.922546666716</v>
      </c>
      <c r="K44" s="433">
        <v>6.1563645924000002E-2</v>
      </c>
    </row>
    <row r="45" spans="1:11" ht="14.4" customHeight="1" thickBot="1" x14ac:dyDescent="0.35">
      <c r="A45" s="448" t="s">
        <v>285</v>
      </c>
      <c r="B45" s="429">
        <v>0</v>
      </c>
      <c r="C45" s="429">
        <v>0</v>
      </c>
      <c r="D45" s="430">
        <v>0</v>
      </c>
      <c r="E45" s="431">
        <v>1</v>
      </c>
      <c r="F45" s="429">
        <v>0</v>
      </c>
      <c r="G45" s="430">
        <v>0</v>
      </c>
      <c r="H45" s="432">
        <v>0</v>
      </c>
      <c r="I45" s="429">
        <v>16.600000000000001</v>
      </c>
      <c r="J45" s="430">
        <v>16.600000000000001</v>
      </c>
      <c r="K45" s="440" t="s">
        <v>245</v>
      </c>
    </row>
    <row r="46" spans="1:11" ht="14.4" customHeight="1" thickBot="1" x14ac:dyDescent="0.35">
      <c r="A46" s="453" t="s">
        <v>286</v>
      </c>
      <c r="B46" s="434">
        <v>0</v>
      </c>
      <c r="C46" s="434">
        <v>0</v>
      </c>
      <c r="D46" s="435">
        <v>0</v>
      </c>
      <c r="E46" s="441">
        <v>1</v>
      </c>
      <c r="F46" s="434">
        <v>0</v>
      </c>
      <c r="G46" s="435">
        <v>0</v>
      </c>
      <c r="H46" s="437">
        <v>0</v>
      </c>
      <c r="I46" s="434">
        <v>16.600000000000001</v>
      </c>
      <c r="J46" s="435">
        <v>16.600000000000001</v>
      </c>
      <c r="K46" s="438" t="s">
        <v>245</v>
      </c>
    </row>
    <row r="47" spans="1:11" ht="14.4" customHeight="1" thickBot="1" x14ac:dyDescent="0.35">
      <c r="A47" s="450" t="s">
        <v>287</v>
      </c>
      <c r="B47" s="434">
        <v>0</v>
      </c>
      <c r="C47" s="434">
        <v>0</v>
      </c>
      <c r="D47" s="435">
        <v>0</v>
      </c>
      <c r="E47" s="441">
        <v>1</v>
      </c>
      <c r="F47" s="434">
        <v>0</v>
      </c>
      <c r="G47" s="435">
        <v>0</v>
      </c>
      <c r="H47" s="437">
        <v>0</v>
      </c>
      <c r="I47" s="434">
        <v>16.600000000000001</v>
      </c>
      <c r="J47" s="435">
        <v>16.600000000000001</v>
      </c>
      <c r="K47" s="438" t="s">
        <v>251</v>
      </c>
    </row>
    <row r="48" spans="1:11" ht="14.4" customHeight="1" thickBot="1" x14ac:dyDescent="0.35">
      <c r="A48" s="451" t="s">
        <v>288</v>
      </c>
      <c r="B48" s="429">
        <v>0</v>
      </c>
      <c r="C48" s="429">
        <v>0</v>
      </c>
      <c r="D48" s="430">
        <v>0</v>
      </c>
      <c r="E48" s="431">
        <v>1</v>
      </c>
      <c r="F48" s="429">
        <v>0</v>
      </c>
      <c r="G48" s="430">
        <v>0</v>
      </c>
      <c r="H48" s="432">
        <v>0</v>
      </c>
      <c r="I48" s="429">
        <v>16.600000000000001</v>
      </c>
      <c r="J48" s="430">
        <v>16.600000000000001</v>
      </c>
      <c r="K48" s="440" t="s">
        <v>251</v>
      </c>
    </row>
    <row r="49" spans="1:11" ht="14.4" customHeight="1" thickBot="1" x14ac:dyDescent="0.35">
      <c r="A49" s="447" t="s">
        <v>289</v>
      </c>
      <c r="B49" s="429">
        <v>43</v>
      </c>
      <c r="C49" s="429">
        <v>37.899650000000001</v>
      </c>
      <c r="D49" s="430">
        <v>-5.1003499999999997</v>
      </c>
      <c r="E49" s="431">
        <v>0.88138720930199999</v>
      </c>
      <c r="F49" s="429">
        <v>0</v>
      </c>
      <c r="G49" s="430">
        <v>0</v>
      </c>
      <c r="H49" s="432">
        <v>0</v>
      </c>
      <c r="I49" s="429">
        <v>0</v>
      </c>
      <c r="J49" s="430">
        <v>0</v>
      </c>
      <c r="K49" s="440" t="s">
        <v>245</v>
      </c>
    </row>
    <row r="50" spans="1:11" ht="14.4" customHeight="1" thickBot="1" x14ac:dyDescent="0.35">
      <c r="A50" s="452" t="s">
        <v>290</v>
      </c>
      <c r="B50" s="434">
        <v>43</v>
      </c>
      <c r="C50" s="434">
        <v>37.899650000000001</v>
      </c>
      <c r="D50" s="435">
        <v>-5.1003499999999997</v>
      </c>
      <c r="E50" s="441">
        <v>0.88138720930199999</v>
      </c>
      <c r="F50" s="434">
        <v>0</v>
      </c>
      <c r="G50" s="435">
        <v>0</v>
      </c>
      <c r="H50" s="437">
        <v>0</v>
      </c>
      <c r="I50" s="434">
        <v>0</v>
      </c>
      <c r="J50" s="435">
        <v>0</v>
      </c>
      <c r="K50" s="438" t="s">
        <v>245</v>
      </c>
    </row>
    <row r="51" spans="1:11" ht="14.4" customHeight="1" thickBot="1" x14ac:dyDescent="0.35">
      <c r="A51" s="453" t="s">
        <v>53</v>
      </c>
      <c r="B51" s="434">
        <v>43</v>
      </c>
      <c r="C51" s="434">
        <v>37.899650000000001</v>
      </c>
      <c r="D51" s="435">
        <v>-5.1003499999999997</v>
      </c>
      <c r="E51" s="441">
        <v>0.88138720930199999</v>
      </c>
      <c r="F51" s="434">
        <v>0</v>
      </c>
      <c r="G51" s="435">
        <v>0</v>
      </c>
      <c r="H51" s="437">
        <v>0</v>
      </c>
      <c r="I51" s="434">
        <v>0</v>
      </c>
      <c r="J51" s="435">
        <v>0</v>
      </c>
      <c r="K51" s="438" t="s">
        <v>245</v>
      </c>
    </row>
    <row r="52" spans="1:11" ht="14.4" customHeight="1" thickBot="1" x14ac:dyDescent="0.35">
      <c r="A52" s="450" t="s">
        <v>291</v>
      </c>
      <c r="B52" s="434">
        <v>0</v>
      </c>
      <c r="C52" s="434">
        <v>0.31492999999999999</v>
      </c>
      <c r="D52" s="435">
        <v>0.31492999999999999</v>
      </c>
      <c r="E52" s="436" t="s">
        <v>251</v>
      </c>
      <c r="F52" s="434">
        <v>0</v>
      </c>
      <c r="G52" s="435">
        <v>0</v>
      </c>
      <c r="H52" s="437">
        <v>0</v>
      </c>
      <c r="I52" s="434">
        <v>0</v>
      </c>
      <c r="J52" s="435">
        <v>0</v>
      </c>
      <c r="K52" s="438" t="s">
        <v>245</v>
      </c>
    </row>
    <row r="53" spans="1:11" ht="14.4" customHeight="1" thickBot="1" x14ac:dyDescent="0.35">
      <c r="A53" s="451" t="s">
        <v>292</v>
      </c>
      <c r="B53" s="429">
        <v>0</v>
      </c>
      <c r="C53" s="429">
        <v>0.31492999999999999</v>
      </c>
      <c r="D53" s="430">
        <v>0.31492999999999999</v>
      </c>
      <c r="E53" s="439" t="s">
        <v>251</v>
      </c>
      <c r="F53" s="429">
        <v>0</v>
      </c>
      <c r="G53" s="430">
        <v>0</v>
      </c>
      <c r="H53" s="432">
        <v>0</v>
      </c>
      <c r="I53" s="429">
        <v>0</v>
      </c>
      <c r="J53" s="430">
        <v>0</v>
      </c>
      <c r="K53" s="440" t="s">
        <v>245</v>
      </c>
    </row>
    <row r="54" spans="1:11" ht="14.4" customHeight="1" thickBot="1" x14ac:dyDescent="0.35">
      <c r="A54" s="450" t="s">
        <v>293</v>
      </c>
      <c r="B54" s="434">
        <v>43</v>
      </c>
      <c r="C54" s="434">
        <v>37.584719999999997</v>
      </c>
      <c r="D54" s="435">
        <v>-5.4152800000000001</v>
      </c>
      <c r="E54" s="441">
        <v>0.87406325581300004</v>
      </c>
      <c r="F54" s="434">
        <v>0</v>
      </c>
      <c r="G54" s="435">
        <v>0</v>
      </c>
      <c r="H54" s="437">
        <v>0</v>
      </c>
      <c r="I54" s="434">
        <v>0</v>
      </c>
      <c r="J54" s="435">
        <v>0</v>
      </c>
      <c r="K54" s="438" t="s">
        <v>245</v>
      </c>
    </row>
    <row r="55" spans="1:11" ht="14.4" customHeight="1" thickBot="1" x14ac:dyDescent="0.35">
      <c r="A55" s="451" t="s">
        <v>294</v>
      </c>
      <c r="B55" s="429">
        <v>43</v>
      </c>
      <c r="C55" s="429">
        <v>37.584719999999997</v>
      </c>
      <c r="D55" s="430">
        <v>-5.4152800000000001</v>
      </c>
      <c r="E55" s="431">
        <v>0.87406325581300004</v>
      </c>
      <c r="F55" s="429">
        <v>0</v>
      </c>
      <c r="G55" s="430">
        <v>0</v>
      </c>
      <c r="H55" s="432">
        <v>0</v>
      </c>
      <c r="I55" s="429">
        <v>0</v>
      </c>
      <c r="J55" s="430">
        <v>0</v>
      </c>
      <c r="K55" s="440" t="s">
        <v>245</v>
      </c>
    </row>
    <row r="56" spans="1:11" ht="14.4" customHeight="1" thickBot="1" x14ac:dyDescent="0.35">
      <c r="A56" s="454" t="s">
        <v>295</v>
      </c>
      <c r="B56" s="434">
        <v>0</v>
      </c>
      <c r="C56" s="434">
        <v>0</v>
      </c>
      <c r="D56" s="435">
        <v>0</v>
      </c>
      <c r="E56" s="441">
        <v>1</v>
      </c>
      <c r="F56" s="434">
        <v>0</v>
      </c>
      <c r="G56" s="435">
        <v>0</v>
      </c>
      <c r="H56" s="437">
        <v>0</v>
      </c>
      <c r="I56" s="434">
        <v>0.93991999999999998</v>
      </c>
      <c r="J56" s="435">
        <v>0.93991999999999998</v>
      </c>
      <c r="K56" s="438" t="s">
        <v>251</v>
      </c>
    </row>
    <row r="57" spans="1:11" ht="14.4" customHeight="1" thickBot="1" x14ac:dyDescent="0.35">
      <c r="A57" s="452" t="s">
        <v>296</v>
      </c>
      <c r="B57" s="434">
        <v>0</v>
      </c>
      <c r="C57" s="434">
        <v>0</v>
      </c>
      <c r="D57" s="435">
        <v>0</v>
      </c>
      <c r="E57" s="441">
        <v>1</v>
      </c>
      <c r="F57" s="434">
        <v>0</v>
      </c>
      <c r="G57" s="435">
        <v>0</v>
      </c>
      <c r="H57" s="437">
        <v>0</v>
      </c>
      <c r="I57" s="434">
        <v>0.93991999999999998</v>
      </c>
      <c r="J57" s="435">
        <v>0.93991999999999998</v>
      </c>
      <c r="K57" s="438" t="s">
        <v>251</v>
      </c>
    </row>
    <row r="58" spans="1:11" ht="14.4" customHeight="1" thickBot="1" x14ac:dyDescent="0.35">
      <c r="A58" s="453" t="s">
        <v>297</v>
      </c>
      <c r="B58" s="434">
        <v>0</v>
      </c>
      <c r="C58" s="434">
        <v>0</v>
      </c>
      <c r="D58" s="435">
        <v>0</v>
      </c>
      <c r="E58" s="441">
        <v>1</v>
      </c>
      <c r="F58" s="434">
        <v>0</v>
      </c>
      <c r="G58" s="435">
        <v>0</v>
      </c>
      <c r="H58" s="437">
        <v>0</v>
      </c>
      <c r="I58" s="434">
        <v>0.93991999999999998</v>
      </c>
      <c r="J58" s="435">
        <v>0.93991999999999998</v>
      </c>
      <c r="K58" s="438" t="s">
        <v>251</v>
      </c>
    </row>
    <row r="59" spans="1:11" ht="14.4" customHeight="1" thickBot="1" x14ac:dyDescent="0.35">
      <c r="A59" s="450" t="s">
        <v>298</v>
      </c>
      <c r="B59" s="434">
        <v>0</v>
      </c>
      <c r="C59" s="434">
        <v>0</v>
      </c>
      <c r="D59" s="435">
        <v>0</v>
      </c>
      <c r="E59" s="441">
        <v>1</v>
      </c>
      <c r="F59" s="434">
        <v>0</v>
      </c>
      <c r="G59" s="435">
        <v>0</v>
      </c>
      <c r="H59" s="437">
        <v>0</v>
      </c>
      <c r="I59" s="434">
        <v>0.93991999999999998</v>
      </c>
      <c r="J59" s="435">
        <v>0.93991999999999998</v>
      </c>
      <c r="K59" s="438" t="s">
        <v>251</v>
      </c>
    </row>
    <row r="60" spans="1:11" ht="14.4" customHeight="1" thickBot="1" x14ac:dyDescent="0.35">
      <c r="A60" s="451" t="s">
        <v>299</v>
      </c>
      <c r="B60" s="429">
        <v>0</v>
      </c>
      <c r="C60" s="429">
        <v>0</v>
      </c>
      <c r="D60" s="430">
        <v>0</v>
      </c>
      <c r="E60" s="431">
        <v>1</v>
      </c>
      <c r="F60" s="429">
        <v>0</v>
      </c>
      <c r="G60" s="430">
        <v>0</v>
      </c>
      <c r="H60" s="432">
        <v>0</v>
      </c>
      <c r="I60" s="429">
        <v>0.93991999999999998</v>
      </c>
      <c r="J60" s="430">
        <v>0.93991999999999998</v>
      </c>
      <c r="K60" s="440" t="s">
        <v>251</v>
      </c>
    </row>
    <row r="61" spans="1:11" ht="14.4" customHeight="1" thickBot="1" x14ac:dyDescent="0.35">
      <c r="A61" s="455"/>
      <c r="B61" s="429">
        <v>-513.14179244643196</v>
      </c>
      <c r="C61" s="429">
        <v>869.71384999999998</v>
      </c>
      <c r="D61" s="430">
        <v>1382.85564244643</v>
      </c>
      <c r="E61" s="431">
        <v>-1.694880173087</v>
      </c>
      <c r="F61" s="429">
        <v>963.75416421550699</v>
      </c>
      <c r="G61" s="430">
        <v>160.625694035918</v>
      </c>
      <c r="H61" s="432">
        <v>14.377649999999001</v>
      </c>
      <c r="I61" s="429">
        <v>-5.2729299999999997</v>
      </c>
      <c r="J61" s="430">
        <v>-165.898624035918</v>
      </c>
      <c r="K61" s="433">
        <v>-5.4712396540000001E-3</v>
      </c>
    </row>
    <row r="62" spans="1:11" ht="14.4" customHeight="1" thickBot="1" x14ac:dyDescent="0.35">
      <c r="A62" s="456" t="s">
        <v>65</v>
      </c>
      <c r="B62" s="443">
        <v>-513.14179244643196</v>
      </c>
      <c r="C62" s="443">
        <v>869.71384999999998</v>
      </c>
      <c r="D62" s="444">
        <v>1382.85564244643</v>
      </c>
      <c r="E62" s="445" t="s">
        <v>251</v>
      </c>
      <c r="F62" s="443">
        <v>963.75416421550699</v>
      </c>
      <c r="G62" s="444">
        <v>160.625694035918</v>
      </c>
      <c r="H62" s="443">
        <v>14.377649999999001</v>
      </c>
      <c r="I62" s="443">
        <v>-5.2729299999999997</v>
      </c>
      <c r="J62" s="444">
        <v>-165.898624035918</v>
      </c>
      <c r="K62" s="446">
        <v>-5.4712396540000001E-3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7" t="s">
        <v>134</v>
      </c>
      <c r="B1" s="357"/>
      <c r="C1" s="357"/>
      <c r="D1" s="357"/>
      <c r="E1" s="357"/>
      <c r="F1" s="357"/>
      <c r="G1" s="357"/>
      <c r="H1" s="357"/>
      <c r="I1" s="322"/>
      <c r="J1" s="322"/>
      <c r="K1" s="322"/>
      <c r="L1" s="322"/>
    </row>
    <row r="2" spans="1:14" ht="14.4" customHeight="1" thickBot="1" x14ac:dyDescent="0.35">
      <c r="A2" s="231" t="s">
        <v>244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68" t="s">
        <v>14</v>
      </c>
      <c r="D3" s="367"/>
      <c r="E3" s="367" t="s">
        <v>15</v>
      </c>
      <c r="F3" s="367"/>
      <c r="G3" s="367"/>
      <c r="H3" s="367"/>
      <c r="I3" s="367" t="s">
        <v>141</v>
      </c>
      <c r="J3" s="367"/>
      <c r="K3" s="367"/>
      <c r="L3" s="369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57">
        <v>57</v>
      </c>
      <c r="B5" s="458" t="s">
        <v>300</v>
      </c>
      <c r="C5" s="459">
        <v>417648.81</v>
      </c>
      <c r="D5" s="459">
        <v>100</v>
      </c>
      <c r="E5" s="459">
        <v>295484.65000000002</v>
      </c>
      <c r="F5" s="460">
        <v>0.70749549124777833</v>
      </c>
      <c r="G5" s="459">
        <v>57</v>
      </c>
      <c r="H5" s="460">
        <v>0.56999999999999995</v>
      </c>
      <c r="I5" s="459">
        <v>122164.15999999999</v>
      </c>
      <c r="J5" s="460">
        <v>0.29250450875222173</v>
      </c>
      <c r="K5" s="459">
        <v>43</v>
      </c>
      <c r="L5" s="460">
        <v>0.43</v>
      </c>
      <c r="M5" s="459" t="s">
        <v>67</v>
      </c>
      <c r="N5" s="151"/>
    </row>
    <row r="6" spans="1:14" ht="14.4" customHeight="1" x14ac:dyDescent="0.3">
      <c r="A6" s="457">
        <v>57</v>
      </c>
      <c r="B6" s="458" t="s">
        <v>301</v>
      </c>
      <c r="C6" s="459">
        <v>413648.81</v>
      </c>
      <c r="D6" s="459">
        <v>92</v>
      </c>
      <c r="E6" s="459">
        <v>291484.65000000002</v>
      </c>
      <c r="F6" s="460">
        <v>0.70466696132886253</v>
      </c>
      <c r="G6" s="459">
        <v>51</v>
      </c>
      <c r="H6" s="460">
        <v>0.55434782608695654</v>
      </c>
      <c r="I6" s="459">
        <v>122164.15999999999</v>
      </c>
      <c r="J6" s="460">
        <v>0.29533303867113747</v>
      </c>
      <c r="K6" s="459">
        <v>41</v>
      </c>
      <c r="L6" s="460">
        <v>0.44565217391304346</v>
      </c>
      <c r="M6" s="459" t="s">
        <v>1</v>
      </c>
      <c r="N6" s="151"/>
    </row>
    <row r="7" spans="1:14" ht="14.4" customHeight="1" x14ac:dyDescent="0.3">
      <c r="A7" s="457">
        <v>57</v>
      </c>
      <c r="B7" s="458" t="s">
        <v>302</v>
      </c>
      <c r="C7" s="459">
        <v>0</v>
      </c>
      <c r="D7" s="459">
        <v>5</v>
      </c>
      <c r="E7" s="459">
        <v>0</v>
      </c>
      <c r="F7" s="460" t="s">
        <v>303</v>
      </c>
      <c r="G7" s="459">
        <v>4</v>
      </c>
      <c r="H7" s="460">
        <v>0.8</v>
      </c>
      <c r="I7" s="459">
        <v>0</v>
      </c>
      <c r="J7" s="460" t="s">
        <v>303</v>
      </c>
      <c r="K7" s="459">
        <v>1</v>
      </c>
      <c r="L7" s="460">
        <v>0.2</v>
      </c>
      <c r="M7" s="459" t="s">
        <v>1</v>
      </c>
      <c r="N7" s="151"/>
    </row>
    <row r="8" spans="1:14" ht="14.4" customHeight="1" x14ac:dyDescent="0.3">
      <c r="A8" s="457">
        <v>57</v>
      </c>
      <c r="B8" s="458" t="s">
        <v>304</v>
      </c>
      <c r="C8" s="459">
        <v>4000</v>
      </c>
      <c r="D8" s="459">
        <v>3</v>
      </c>
      <c r="E8" s="459">
        <v>4000</v>
      </c>
      <c r="F8" s="460">
        <v>1</v>
      </c>
      <c r="G8" s="459">
        <v>2</v>
      </c>
      <c r="H8" s="460">
        <v>0.66666666666666663</v>
      </c>
      <c r="I8" s="459">
        <v>0</v>
      </c>
      <c r="J8" s="460">
        <v>0</v>
      </c>
      <c r="K8" s="459">
        <v>1</v>
      </c>
      <c r="L8" s="460">
        <v>0.33333333333333331</v>
      </c>
      <c r="M8" s="459" t="s">
        <v>1</v>
      </c>
      <c r="N8" s="151"/>
    </row>
    <row r="9" spans="1:14" ht="14.4" customHeight="1" x14ac:dyDescent="0.3">
      <c r="A9" s="457" t="s">
        <v>305</v>
      </c>
      <c r="B9" s="458" t="s">
        <v>3</v>
      </c>
      <c r="C9" s="459">
        <v>417648.81</v>
      </c>
      <c r="D9" s="459">
        <v>100</v>
      </c>
      <c r="E9" s="459">
        <v>295484.65000000002</v>
      </c>
      <c r="F9" s="460">
        <v>0.70749549124777833</v>
      </c>
      <c r="G9" s="459">
        <v>57</v>
      </c>
      <c r="H9" s="460">
        <v>0.56999999999999995</v>
      </c>
      <c r="I9" s="459">
        <v>122164.15999999999</v>
      </c>
      <c r="J9" s="460">
        <v>0.29250450875222173</v>
      </c>
      <c r="K9" s="459">
        <v>43</v>
      </c>
      <c r="L9" s="460">
        <v>0.43</v>
      </c>
      <c r="M9" s="459" t="s">
        <v>306</v>
      </c>
      <c r="N9" s="151"/>
    </row>
    <row r="11" spans="1:14" ht="14.4" customHeight="1" x14ac:dyDescent="0.3">
      <c r="A11" s="457">
        <v>57</v>
      </c>
      <c r="B11" s="458" t="s">
        <v>300</v>
      </c>
      <c r="C11" s="459" t="s">
        <v>303</v>
      </c>
      <c r="D11" s="459" t="s">
        <v>303</v>
      </c>
      <c r="E11" s="459" t="s">
        <v>303</v>
      </c>
      <c r="F11" s="460" t="s">
        <v>303</v>
      </c>
      <c r="G11" s="459" t="s">
        <v>303</v>
      </c>
      <c r="H11" s="460" t="s">
        <v>303</v>
      </c>
      <c r="I11" s="459" t="s">
        <v>303</v>
      </c>
      <c r="J11" s="460" t="s">
        <v>303</v>
      </c>
      <c r="K11" s="459" t="s">
        <v>303</v>
      </c>
      <c r="L11" s="460" t="s">
        <v>303</v>
      </c>
      <c r="M11" s="459" t="s">
        <v>67</v>
      </c>
      <c r="N11" s="151"/>
    </row>
    <row r="12" spans="1:14" ht="14.4" customHeight="1" x14ac:dyDescent="0.3">
      <c r="A12" s="457">
        <v>89301594</v>
      </c>
      <c r="B12" s="458" t="s">
        <v>301</v>
      </c>
      <c r="C12" s="459">
        <v>413648.81</v>
      </c>
      <c r="D12" s="459">
        <v>92</v>
      </c>
      <c r="E12" s="459">
        <v>291484.65000000002</v>
      </c>
      <c r="F12" s="460">
        <v>0.70466696132886253</v>
      </c>
      <c r="G12" s="459">
        <v>51</v>
      </c>
      <c r="H12" s="460">
        <v>0.55434782608695654</v>
      </c>
      <c r="I12" s="459">
        <v>122164.15999999999</v>
      </c>
      <c r="J12" s="460">
        <v>0.29533303867113747</v>
      </c>
      <c r="K12" s="459">
        <v>41</v>
      </c>
      <c r="L12" s="460">
        <v>0.44565217391304346</v>
      </c>
      <c r="M12" s="459" t="s">
        <v>1</v>
      </c>
      <c r="N12" s="151"/>
    </row>
    <row r="13" spans="1:14" ht="14.4" customHeight="1" x14ac:dyDescent="0.3">
      <c r="A13" s="457">
        <v>89301594</v>
      </c>
      <c r="B13" s="458" t="s">
        <v>302</v>
      </c>
      <c r="C13" s="459">
        <v>0</v>
      </c>
      <c r="D13" s="459">
        <v>5</v>
      </c>
      <c r="E13" s="459">
        <v>0</v>
      </c>
      <c r="F13" s="460" t="s">
        <v>303</v>
      </c>
      <c r="G13" s="459">
        <v>4</v>
      </c>
      <c r="H13" s="460">
        <v>0.8</v>
      </c>
      <c r="I13" s="459">
        <v>0</v>
      </c>
      <c r="J13" s="460" t="s">
        <v>303</v>
      </c>
      <c r="K13" s="459">
        <v>1</v>
      </c>
      <c r="L13" s="460">
        <v>0.2</v>
      </c>
      <c r="M13" s="459" t="s">
        <v>1</v>
      </c>
      <c r="N13" s="151"/>
    </row>
    <row r="14" spans="1:14" ht="14.4" customHeight="1" x14ac:dyDescent="0.3">
      <c r="A14" s="457">
        <v>89301594</v>
      </c>
      <c r="B14" s="458" t="s">
        <v>304</v>
      </c>
      <c r="C14" s="459">
        <v>4000</v>
      </c>
      <c r="D14" s="459">
        <v>3</v>
      </c>
      <c r="E14" s="459">
        <v>4000</v>
      </c>
      <c r="F14" s="460">
        <v>1</v>
      </c>
      <c r="G14" s="459">
        <v>2</v>
      </c>
      <c r="H14" s="460">
        <v>0.66666666666666663</v>
      </c>
      <c r="I14" s="459">
        <v>0</v>
      </c>
      <c r="J14" s="460">
        <v>0</v>
      </c>
      <c r="K14" s="459">
        <v>1</v>
      </c>
      <c r="L14" s="460">
        <v>0.33333333333333331</v>
      </c>
      <c r="M14" s="459" t="s">
        <v>1</v>
      </c>
      <c r="N14" s="151"/>
    </row>
    <row r="15" spans="1:14" ht="14.4" customHeight="1" x14ac:dyDescent="0.3">
      <c r="A15" s="457" t="s">
        <v>307</v>
      </c>
      <c r="B15" s="458" t="s">
        <v>308</v>
      </c>
      <c r="C15" s="459">
        <v>417648.81</v>
      </c>
      <c r="D15" s="459">
        <v>100</v>
      </c>
      <c r="E15" s="459">
        <v>295484.65000000002</v>
      </c>
      <c r="F15" s="460">
        <v>0.70749549124777833</v>
      </c>
      <c r="G15" s="459">
        <v>57</v>
      </c>
      <c r="H15" s="460">
        <v>0.56999999999999995</v>
      </c>
      <c r="I15" s="459">
        <v>122164.15999999999</v>
      </c>
      <c r="J15" s="460">
        <v>0.29250450875222173</v>
      </c>
      <c r="K15" s="459">
        <v>43</v>
      </c>
      <c r="L15" s="460">
        <v>0.43</v>
      </c>
      <c r="M15" s="459" t="s">
        <v>309</v>
      </c>
      <c r="N15" s="151"/>
    </row>
    <row r="16" spans="1:14" ht="14.4" customHeight="1" x14ac:dyDescent="0.3">
      <c r="A16" s="457" t="s">
        <v>303</v>
      </c>
      <c r="B16" s="458" t="s">
        <v>303</v>
      </c>
      <c r="C16" s="459" t="s">
        <v>303</v>
      </c>
      <c r="D16" s="459" t="s">
        <v>303</v>
      </c>
      <c r="E16" s="459" t="s">
        <v>303</v>
      </c>
      <c r="F16" s="460" t="s">
        <v>303</v>
      </c>
      <c r="G16" s="459" t="s">
        <v>303</v>
      </c>
      <c r="H16" s="460" t="s">
        <v>303</v>
      </c>
      <c r="I16" s="459" t="s">
        <v>303</v>
      </c>
      <c r="J16" s="460" t="s">
        <v>303</v>
      </c>
      <c r="K16" s="459" t="s">
        <v>303</v>
      </c>
      <c r="L16" s="460" t="s">
        <v>303</v>
      </c>
      <c r="M16" s="459" t="s">
        <v>310</v>
      </c>
      <c r="N16" s="151"/>
    </row>
    <row r="17" spans="1:14" ht="14.4" customHeight="1" x14ac:dyDescent="0.3">
      <c r="A17" s="457" t="s">
        <v>305</v>
      </c>
      <c r="B17" s="458" t="s">
        <v>308</v>
      </c>
      <c r="C17" s="459">
        <v>417648.81</v>
      </c>
      <c r="D17" s="459">
        <v>100</v>
      </c>
      <c r="E17" s="459">
        <v>295484.65000000002</v>
      </c>
      <c r="F17" s="460">
        <v>0.70749549124777833</v>
      </c>
      <c r="G17" s="459">
        <v>57</v>
      </c>
      <c r="H17" s="460">
        <v>0.56999999999999995</v>
      </c>
      <c r="I17" s="459">
        <v>122164.15999999999</v>
      </c>
      <c r="J17" s="460">
        <v>0.29250450875222173</v>
      </c>
      <c r="K17" s="459">
        <v>43</v>
      </c>
      <c r="L17" s="460">
        <v>0.43</v>
      </c>
      <c r="M17" s="459" t="s">
        <v>306</v>
      </c>
      <c r="N17" s="151"/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7" t="s">
        <v>142</v>
      </c>
      <c r="B1" s="357"/>
      <c r="C1" s="357"/>
      <c r="D1" s="357"/>
      <c r="E1" s="357"/>
      <c r="F1" s="357"/>
      <c r="G1" s="357"/>
      <c r="H1" s="357"/>
      <c r="I1" s="357"/>
      <c r="J1" s="322"/>
      <c r="K1" s="322"/>
      <c r="L1" s="322"/>
      <c r="M1" s="322"/>
    </row>
    <row r="2" spans="1:13" ht="14.4" customHeight="1" thickBot="1" x14ac:dyDescent="0.35">
      <c r="A2" s="231" t="s">
        <v>244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68" t="s">
        <v>14</v>
      </c>
      <c r="C3" s="370"/>
      <c r="D3" s="367"/>
      <c r="E3" s="143"/>
      <c r="F3" s="367" t="s">
        <v>15</v>
      </c>
      <c r="G3" s="367"/>
      <c r="H3" s="367"/>
      <c r="I3" s="367"/>
      <c r="J3" s="367" t="s">
        <v>141</v>
      </c>
      <c r="K3" s="367"/>
      <c r="L3" s="367"/>
      <c r="M3" s="369"/>
    </row>
    <row r="4" spans="1:13" ht="14.4" customHeight="1" thickBot="1" x14ac:dyDescent="0.35">
      <c r="A4" s="461" t="s">
        <v>132</v>
      </c>
      <c r="B4" s="465" t="s">
        <v>18</v>
      </c>
      <c r="C4" s="466"/>
      <c r="D4" s="465" t="s">
        <v>19</v>
      </c>
      <c r="E4" s="466"/>
      <c r="F4" s="465" t="s">
        <v>18</v>
      </c>
      <c r="G4" s="479" t="s">
        <v>2</v>
      </c>
      <c r="H4" s="465" t="s">
        <v>19</v>
      </c>
      <c r="I4" s="479" t="s">
        <v>2</v>
      </c>
      <c r="J4" s="465" t="s">
        <v>18</v>
      </c>
      <c r="K4" s="479" t="s">
        <v>2</v>
      </c>
      <c r="L4" s="465" t="s">
        <v>19</v>
      </c>
      <c r="M4" s="480" t="s">
        <v>2</v>
      </c>
    </row>
    <row r="5" spans="1:13" ht="14.4" customHeight="1" x14ac:dyDescent="0.3">
      <c r="A5" s="462" t="s">
        <v>311</v>
      </c>
      <c r="B5" s="467">
        <v>86304.059999999983</v>
      </c>
      <c r="C5" s="468">
        <v>1</v>
      </c>
      <c r="D5" s="476">
        <v>25</v>
      </c>
      <c r="E5" s="489" t="s">
        <v>311</v>
      </c>
      <c r="F5" s="467">
        <v>44972.489999999983</v>
      </c>
      <c r="G5" s="483">
        <v>0.52109356153117237</v>
      </c>
      <c r="H5" s="469">
        <v>11</v>
      </c>
      <c r="I5" s="484">
        <v>0.44</v>
      </c>
      <c r="J5" s="492">
        <v>41331.57</v>
      </c>
      <c r="K5" s="483">
        <v>0.47890643846882763</v>
      </c>
      <c r="L5" s="469">
        <v>14</v>
      </c>
      <c r="M5" s="484">
        <v>0.56000000000000005</v>
      </c>
    </row>
    <row r="6" spans="1:13" ht="14.4" customHeight="1" x14ac:dyDescent="0.3">
      <c r="A6" s="463" t="s">
        <v>312</v>
      </c>
      <c r="B6" s="470">
        <v>1895.4</v>
      </c>
      <c r="C6" s="471">
        <v>1</v>
      </c>
      <c r="D6" s="477">
        <v>6</v>
      </c>
      <c r="E6" s="490" t="s">
        <v>312</v>
      </c>
      <c r="F6" s="470">
        <v>0</v>
      </c>
      <c r="G6" s="485">
        <v>0</v>
      </c>
      <c r="H6" s="472">
        <v>4</v>
      </c>
      <c r="I6" s="486">
        <v>0.66666666666666663</v>
      </c>
      <c r="J6" s="493">
        <v>1895.4</v>
      </c>
      <c r="K6" s="485">
        <v>1</v>
      </c>
      <c r="L6" s="472">
        <v>2</v>
      </c>
      <c r="M6" s="486">
        <v>0.33333333333333331</v>
      </c>
    </row>
    <row r="7" spans="1:13" ht="14.4" customHeight="1" thickBot="1" x14ac:dyDescent="0.35">
      <c r="A7" s="464" t="s">
        <v>313</v>
      </c>
      <c r="B7" s="473">
        <v>329449.34999999998</v>
      </c>
      <c r="C7" s="474">
        <v>1</v>
      </c>
      <c r="D7" s="478">
        <v>69</v>
      </c>
      <c r="E7" s="491" t="s">
        <v>313</v>
      </c>
      <c r="F7" s="473">
        <v>250512.15999999995</v>
      </c>
      <c r="G7" s="487">
        <v>0.76039658296487744</v>
      </c>
      <c r="H7" s="475">
        <v>42</v>
      </c>
      <c r="I7" s="488">
        <v>0.60869565217391308</v>
      </c>
      <c r="J7" s="494">
        <v>78937.19</v>
      </c>
      <c r="K7" s="487">
        <v>0.23960341703512242</v>
      </c>
      <c r="L7" s="475">
        <v>27</v>
      </c>
      <c r="M7" s="488">
        <v>0.39130434782608697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0" t="s">
        <v>410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</row>
    <row r="2" spans="1:21" ht="14.4" customHeight="1" thickBot="1" x14ac:dyDescent="0.35">
      <c r="A2" s="231" t="s">
        <v>244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74"/>
      <c r="B3" s="375"/>
      <c r="C3" s="375"/>
      <c r="D3" s="375"/>
      <c r="E3" s="375"/>
      <c r="F3" s="375"/>
      <c r="G3" s="375"/>
      <c r="H3" s="375"/>
      <c r="I3" s="375"/>
      <c r="J3" s="375"/>
      <c r="K3" s="376" t="s">
        <v>125</v>
      </c>
      <c r="L3" s="377"/>
      <c r="M3" s="66">
        <f>SUBTOTAL(9,M7:M1048576)</f>
        <v>417648.80999999994</v>
      </c>
      <c r="N3" s="66">
        <f>SUBTOTAL(9,N7:N1048576)</f>
        <v>3337</v>
      </c>
      <c r="O3" s="66">
        <f>SUBTOTAL(9,O7:O1048576)</f>
        <v>100</v>
      </c>
      <c r="P3" s="66">
        <f>SUBTOTAL(9,P7:P1048576)</f>
        <v>295484.64999999997</v>
      </c>
      <c r="Q3" s="67">
        <f>IF(M3=0,0,P3/M3)</f>
        <v>0.70749549124777822</v>
      </c>
      <c r="R3" s="66">
        <f>SUBTOTAL(9,R7:R1048576)</f>
        <v>2182</v>
      </c>
      <c r="S3" s="67">
        <f>IF(N3=0,0,R3/N3)</f>
        <v>0.65388073119568479</v>
      </c>
      <c r="T3" s="66">
        <f>SUBTOTAL(9,T7:T1048576)</f>
        <v>57</v>
      </c>
      <c r="U3" s="68">
        <f>IF(O3=0,0,T3/O3)</f>
        <v>0.56999999999999995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8" t="s">
        <v>14</v>
      </c>
      <c r="N4" s="379"/>
      <c r="O4" s="379"/>
      <c r="P4" s="380" t="s">
        <v>20</v>
      </c>
      <c r="Q4" s="379"/>
      <c r="R4" s="379"/>
      <c r="S4" s="379"/>
      <c r="T4" s="379"/>
      <c r="U4" s="381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71" t="s">
        <v>21</v>
      </c>
      <c r="Q5" s="372"/>
      <c r="R5" s="371" t="s">
        <v>12</v>
      </c>
      <c r="S5" s="372"/>
      <c r="T5" s="371" t="s">
        <v>19</v>
      </c>
      <c r="U5" s="373"/>
    </row>
    <row r="6" spans="1:21" s="209" customFormat="1" ht="14.4" customHeight="1" thickBot="1" x14ac:dyDescent="0.35">
      <c r="A6" s="495" t="s">
        <v>22</v>
      </c>
      <c r="B6" s="496" t="s">
        <v>5</v>
      </c>
      <c r="C6" s="495" t="s">
        <v>23</v>
      </c>
      <c r="D6" s="496" t="s">
        <v>6</v>
      </c>
      <c r="E6" s="496" t="s">
        <v>144</v>
      </c>
      <c r="F6" s="496" t="s">
        <v>24</v>
      </c>
      <c r="G6" s="496" t="s">
        <v>25</v>
      </c>
      <c r="H6" s="496" t="s">
        <v>8</v>
      </c>
      <c r="I6" s="496" t="s">
        <v>9</v>
      </c>
      <c r="J6" s="496" t="s">
        <v>10</v>
      </c>
      <c r="K6" s="496" t="s">
        <v>11</v>
      </c>
      <c r="L6" s="496" t="s">
        <v>26</v>
      </c>
      <c r="M6" s="497" t="s">
        <v>13</v>
      </c>
      <c r="N6" s="498" t="s">
        <v>27</v>
      </c>
      <c r="O6" s="498" t="s">
        <v>27</v>
      </c>
      <c r="P6" s="498" t="s">
        <v>13</v>
      </c>
      <c r="Q6" s="498" t="s">
        <v>2</v>
      </c>
      <c r="R6" s="498" t="s">
        <v>27</v>
      </c>
      <c r="S6" s="498" t="s">
        <v>2</v>
      </c>
      <c r="T6" s="498" t="s">
        <v>27</v>
      </c>
      <c r="U6" s="499" t="s">
        <v>2</v>
      </c>
    </row>
    <row r="7" spans="1:21" ht="14.4" customHeight="1" x14ac:dyDescent="0.3">
      <c r="A7" s="500">
        <v>57</v>
      </c>
      <c r="B7" s="501" t="s">
        <v>300</v>
      </c>
      <c r="C7" s="501">
        <v>89301594</v>
      </c>
      <c r="D7" s="502" t="s">
        <v>300</v>
      </c>
      <c r="E7" s="503" t="s">
        <v>311</v>
      </c>
      <c r="F7" s="501" t="s">
        <v>301</v>
      </c>
      <c r="G7" s="501" t="s">
        <v>314</v>
      </c>
      <c r="H7" s="501" t="s">
        <v>409</v>
      </c>
      <c r="I7" s="501" t="s">
        <v>315</v>
      </c>
      <c r="J7" s="501" t="s">
        <v>316</v>
      </c>
      <c r="K7" s="501" t="s">
        <v>317</v>
      </c>
      <c r="L7" s="504">
        <v>194.26</v>
      </c>
      <c r="M7" s="504">
        <v>8547.4399999999987</v>
      </c>
      <c r="N7" s="501">
        <v>44</v>
      </c>
      <c r="O7" s="505">
        <v>6</v>
      </c>
      <c r="P7" s="504">
        <v>971.3</v>
      </c>
      <c r="Q7" s="506">
        <v>0.11363636363636365</v>
      </c>
      <c r="R7" s="501">
        <v>5</v>
      </c>
      <c r="S7" s="506">
        <v>0.11363636363636363</v>
      </c>
      <c r="T7" s="505">
        <v>1</v>
      </c>
      <c r="U7" s="122">
        <v>0.16666666666666666</v>
      </c>
    </row>
    <row r="8" spans="1:21" ht="14.4" customHeight="1" x14ac:dyDescent="0.3">
      <c r="A8" s="481">
        <v>57</v>
      </c>
      <c r="B8" s="471" t="s">
        <v>300</v>
      </c>
      <c r="C8" s="471">
        <v>89301594</v>
      </c>
      <c r="D8" s="507" t="s">
        <v>300</v>
      </c>
      <c r="E8" s="508" t="s">
        <v>311</v>
      </c>
      <c r="F8" s="471" t="s">
        <v>301</v>
      </c>
      <c r="G8" s="471" t="s">
        <v>314</v>
      </c>
      <c r="H8" s="471" t="s">
        <v>409</v>
      </c>
      <c r="I8" s="471" t="s">
        <v>318</v>
      </c>
      <c r="J8" s="471" t="s">
        <v>319</v>
      </c>
      <c r="K8" s="471" t="s">
        <v>320</v>
      </c>
      <c r="L8" s="509">
        <v>21.06</v>
      </c>
      <c r="M8" s="509">
        <v>589.67999999999995</v>
      </c>
      <c r="N8" s="471">
        <v>28</v>
      </c>
      <c r="O8" s="510">
        <v>1</v>
      </c>
      <c r="P8" s="509">
        <v>294.83999999999997</v>
      </c>
      <c r="Q8" s="485">
        <v>0.5</v>
      </c>
      <c r="R8" s="471">
        <v>14</v>
      </c>
      <c r="S8" s="485">
        <v>0.5</v>
      </c>
      <c r="T8" s="510">
        <v>0.5</v>
      </c>
      <c r="U8" s="486">
        <v>0.5</v>
      </c>
    </row>
    <row r="9" spans="1:21" ht="14.4" customHeight="1" x14ac:dyDescent="0.3">
      <c r="A9" s="481">
        <v>57</v>
      </c>
      <c r="B9" s="471" t="s">
        <v>300</v>
      </c>
      <c r="C9" s="471">
        <v>89301594</v>
      </c>
      <c r="D9" s="507" t="s">
        <v>300</v>
      </c>
      <c r="E9" s="508" t="s">
        <v>311</v>
      </c>
      <c r="F9" s="471" t="s">
        <v>301</v>
      </c>
      <c r="G9" s="471" t="s">
        <v>314</v>
      </c>
      <c r="H9" s="471" t="s">
        <v>409</v>
      </c>
      <c r="I9" s="471" t="s">
        <v>321</v>
      </c>
      <c r="J9" s="471" t="s">
        <v>322</v>
      </c>
      <c r="K9" s="471" t="s">
        <v>320</v>
      </c>
      <c r="L9" s="509">
        <v>21.06</v>
      </c>
      <c r="M9" s="509">
        <v>589.67999999999995</v>
      </c>
      <c r="N9" s="471">
        <v>28</v>
      </c>
      <c r="O9" s="510">
        <v>1</v>
      </c>
      <c r="P9" s="509">
        <v>294.83999999999997</v>
      </c>
      <c r="Q9" s="485">
        <v>0.5</v>
      </c>
      <c r="R9" s="471">
        <v>14</v>
      </c>
      <c r="S9" s="485">
        <v>0.5</v>
      </c>
      <c r="T9" s="510">
        <v>0.5</v>
      </c>
      <c r="U9" s="486">
        <v>0.5</v>
      </c>
    </row>
    <row r="10" spans="1:21" ht="14.4" customHeight="1" x14ac:dyDescent="0.3">
      <c r="A10" s="481">
        <v>57</v>
      </c>
      <c r="B10" s="471" t="s">
        <v>300</v>
      </c>
      <c r="C10" s="471">
        <v>89301594</v>
      </c>
      <c r="D10" s="507" t="s">
        <v>300</v>
      </c>
      <c r="E10" s="508" t="s">
        <v>311</v>
      </c>
      <c r="F10" s="471" t="s">
        <v>301</v>
      </c>
      <c r="G10" s="471" t="s">
        <v>314</v>
      </c>
      <c r="H10" s="471" t="s">
        <v>409</v>
      </c>
      <c r="I10" s="471" t="s">
        <v>323</v>
      </c>
      <c r="J10" s="471" t="s">
        <v>324</v>
      </c>
      <c r="K10" s="471" t="s">
        <v>320</v>
      </c>
      <c r="L10" s="509">
        <v>31.59</v>
      </c>
      <c r="M10" s="509">
        <v>473.85</v>
      </c>
      <c r="N10" s="471">
        <v>15</v>
      </c>
      <c r="O10" s="510">
        <v>0.5</v>
      </c>
      <c r="P10" s="509"/>
      <c r="Q10" s="485">
        <v>0</v>
      </c>
      <c r="R10" s="471"/>
      <c r="S10" s="485">
        <v>0</v>
      </c>
      <c r="T10" s="510"/>
      <c r="U10" s="486">
        <v>0</v>
      </c>
    </row>
    <row r="11" spans="1:21" ht="14.4" customHeight="1" x14ac:dyDescent="0.3">
      <c r="A11" s="481">
        <v>57</v>
      </c>
      <c r="B11" s="471" t="s">
        <v>300</v>
      </c>
      <c r="C11" s="471">
        <v>89301594</v>
      </c>
      <c r="D11" s="507" t="s">
        <v>300</v>
      </c>
      <c r="E11" s="508" t="s">
        <v>311</v>
      </c>
      <c r="F11" s="471" t="s">
        <v>301</v>
      </c>
      <c r="G11" s="471" t="s">
        <v>314</v>
      </c>
      <c r="H11" s="471" t="s">
        <v>409</v>
      </c>
      <c r="I11" s="471" t="s">
        <v>325</v>
      </c>
      <c r="J11" s="471" t="s">
        <v>326</v>
      </c>
      <c r="K11" s="471" t="s">
        <v>320</v>
      </c>
      <c r="L11" s="509">
        <v>31.59</v>
      </c>
      <c r="M11" s="509">
        <v>473.85</v>
      </c>
      <c r="N11" s="471">
        <v>15</v>
      </c>
      <c r="O11" s="510">
        <v>0.5</v>
      </c>
      <c r="P11" s="509"/>
      <c r="Q11" s="485">
        <v>0</v>
      </c>
      <c r="R11" s="471"/>
      <c r="S11" s="485">
        <v>0</v>
      </c>
      <c r="T11" s="510"/>
      <c r="U11" s="486">
        <v>0</v>
      </c>
    </row>
    <row r="12" spans="1:21" ht="14.4" customHeight="1" x14ac:dyDescent="0.3">
      <c r="A12" s="481">
        <v>57</v>
      </c>
      <c r="B12" s="471" t="s">
        <v>300</v>
      </c>
      <c r="C12" s="471">
        <v>89301594</v>
      </c>
      <c r="D12" s="507" t="s">
        <v>300</v>
      </c>
      <c r="E12" s="508" t="s">
        <v>311</v>
      </c>
      <c r="F12" s="471" t="s">
        <v>301</v>
      </c>
      <c r="G12" s="471" t="s">
        <v>314</v>
      </c>
      <c r="H12" s="471" t="s">
        <v>409</v>
      </c>
      <c r="I12" s="471" t="s">
        <v>327</v>
      </c>
      <c r="J12" s="471" t="s">
        <v>328</v>
      </c>
      <c r="K12" s="471" t="s">
        <v>329</v>
      </c>
      <c r="L12" s="509">
        <v>105.31</v>
      </c>
      <c r="M12" s="509">
        <v>6318.6</v>
      </c>
      <c r="N12" s="471">
        <v>60</v>
      </c>
      <c r="O12" s="510">
        <v>1</v>
      </c>
      <c r="P12" s="509"/>
      <c r="Q12" s="485">
        <v>0</v>
      </c>
      <c r="R12" s="471"/>
      <c r="S12" s="485">
        <v>0</v>
      </c>
      <c r="T12" s="510"/>
      <c r="U12" s="486">
        <v>0</v>
      </c>
    </row>
    <row r="13" spans="1:21" ht="14.4" customHeight="1" x14ac:dyDescent="0.3">
      <c r="A13" s="481">
        <v>57</v>
      </c>
      <c r="B13" s="471" t="s">
        <v>300</v>
      </c>
      <c r="C13" s="471">
        <v>89301594</v>
      </c>
      <c r="D13" s="507" t="s">
        <v>300</v>
      </c>
      <c r="E13" s="508" t="s">
        <v>311</v>
      </c>
      <c r="F13" s="471" t="s">
        <v>301</v>
      </c>
      <c r="G13" s="471" t="s">
        <v>314</v>
      </c>
      <c r="H13" s="471" t="s">
        <v>409</v>
      </c>
      <c r="I13" s="471" t="s">
        <v>330</v>
      </c>
      <c r="J13" s="471" t="s">
        <v>331</v>
      </c>
      <c r="K13" s="471" t="s">
        <v>332</v>
      </c>
      <c r="L13" s="509">
        <v>127.34</v>
      </c>
      <c r="M13" s="509">
        <v>891.38</v>
      </c>
      <c r="N13" s="471">
        <v>7</v>
      </c>
      <c r="O13" s="510">
        <v>1</v>
      </c>
      <c r="P13" s="509">
        <v>891.38</v>
      </c>
      <c r="Q13" s="485">
        <v>1</v>
      </c>
      <c r="R13" s="471">
        <v>7</v>
      </c>
      <c r="S13" s="485">
        <v>1</v>
      </c>
      <c r="T13" s="510">
        <v>1</v>
      </c>
      <c r="U13" s="486">
        <v>1</v>
      </c>
    </row>
    <row r="14" spans="1:21" ht="14.4" customHeight="1" x14ac:dyDescent="0.3">
      <c r="A14" s="481">
        <v>57</v>
      </c>
      <c r="B14" s="471" t="s">
        <v>300</v>
      </c>
      <c r="C14" s="471">
        <v>89301594</v>
      </c>
      <c r="D14" s="507" t="s">
        <v>300</v>
      </c>
      <c r="E14" s="508" t="s">
        <v>311</v>
      </c>
      <c r="F14" s="471" t="s">
        <v>301</v>
      </c>
      <c r="G14" s="471" t="s">
        <v>314</v>
      </c>
      <c r="H14" s="471" t="s">
        <v>409</v>
      </c>
      <c r="I14" s="471" t="s">
        <v>333</v>
      </c>
      <c r="J14" s="471" t="s">
        <v>334</v>
      </c>
      <c r="K14" s="471" t="s">
        <v>332</v>
      </c>
      <c r="L14" s="509">
        <v>127.34</v>
      </c>
      <c r="M14" s="509">
        <v>891.38</v>
      </c>
      <c r="N14" s="471">
        <v>7</v>
      </c>
      <c r="O14" s="510">
        <v>0.5</v>
      </c>
      <c r="P14" s="509">
        <v>891.38</v>
      </c>
      <c r="Q14" s="485">
        <v>1</v>
      </c>
      <c r="R14" s="471">
        <v>7</v>
      </c>
      <c r="S14" s="485">
        <v>1</v>
      </c>
      <c r="T14" s="510">
        <v>0.5</v>
      </c>
      <c r="U14" s="486">
        <v>1</v>
      </c>
    </row>
    <row r="15" spans="1:21" ht="14.4" customHeight="1" x14ac:dyDescent="0.3">
      <c r="A15" s="481">
        <v>57</v>
      </c>
      <c r="B15" s="471" t="s">
        <v>300</v>
      </c>
      <c r="C15" s="471">
        <v>89301594</v>
      </c>
      <c r="D15" s="507" t="s">
        <v>300</v>
      </c>
      <c r="E15" s="508" t="s">
        <v>311</v>
      </c>
      <c r="F15" s="471" t="s">
        <v>301</v>
      </c>
      <c r="G15" s="471" t="s">
        <v>314</v>
      </c>
      <c r="H15" s="471" t="s">
        <v>409</v>
      </c>
      <c r="I15" s="471" t="s">
        <v>335</v>
      </c>
      <c r="J15" s="471" t="s">
        <v>336</v>
      </c>
      <c r="K15" s="471" t="s">
        <v>332</v>
      </c>
      <c r="L15" s="509">
        <v>127.34</v>
      </c>
      <c r="M15" s="509">
        <v>891.38</v>
      </c>
      <c r="N15" s="471">
        <v>7</v>
      </c>
      <c r="O15" s="510">
        <v>0.5</v>
      </c>
      <c r="P15" s="509">
        <v>891.38</v>
      </c>
      <c r="Q15" s="485">
        <v>1</v>
      </c>
      <c r="R15" s="471">
        <v>7</v>
      </c>
      <c r="S15" s="485">
        <v>1</v>
      </c>
      <c r="T15" s="510">
        <v>0.5</v>
      </c>
      <c r="U15" s="486">
        <v>1</v>
      </c>
    </row>
    <row r="16" spans="1:21" ht="14.4" customHeight="1" x14ac:dyDescent="0.3">
      <c r="A16" s="481">
        <v>57</v>
      </c>
      <c r="B16" s="471" t="s">
        <v>300</v>
      </c>
      <c r="C16" s="471">
        <v>89301594</v>
      </c>
      <c r="D16" s="507" t="s">
        <v>300</v>
      </c>
      <c r="E16" s="508" t="s">
        <v>311</v>
      </c>
      <c r="F16" s="471" t="s">
        <v>301</v>
      </c>
      <c r="G16" s="471" t="s">
        <v>314</v>
      </c>
      <c r="H16" s="471" t="s">
        <v>409</v>
      </c>
      <c r="I16" s="471" t="s">
        <v>337</v>
      </c>
      <c r="J16" s="471" t="s">
        <v>338</v>
      </c>
      <c r="K16" s="471" t="s">
        <v>339</v>
      </c>
      <c r="L16" s="509">
        <v>242.63</v>
      </c>
      <c r="M16" s="509">
        <v>62113.279999999992</v>
      </c>
      <c r="N16" s="471">
        <v>256</v>
      </c>
      <c r="O16" s="510">
        <v>9.5</v>
      </c>
      <c r="P16" s="509">
        <v>39063.429999999993</v>
      </c>
      <c r="Q16" s="485">
        <v>0.62890625</v>
      </c>
      <c r="R16" s="471">
        <v>161</v>
      </c>
      <c r="S16" s="485">
        <v>0.62890625</v>
      </c>
      <c r="T16" s="510">
        <v>5.5</v>
      </c>
      <c r="U16" s="486">
        <v>0.57894736842105265</v>
      </c>
    </row>
    <row r="17" spans="1:21" ht="14.4" customHeight="1" x14ac:dyDescent="0.3">
      <c r="A17" s="481">
        <v>57</v>
      </c>
      <c r="B17" s="471" t="s">
        <v>300</v>
      </c>
      <c r="C17" s="471">
        <v>89301594</v>
      </c>
      <c r="D17" s="507" t="s">
        <v>300</v>
      </c>
      <c r="E17" s="508" t="s">
        <v>311</v>
      </c>
      <c r="F17" s="471" t="s">
        <v>301</v>
      </c>
      <c r="G17" s="471" t="s">
        <v>314</v>
      </c>
      <c r="H17" s="471" t="s">
        <v>409</v>
      </c>
      <c r="I17" s="471" t="s">
        <v>340</v>
      </c>
      <c r="J17" s="471" t="s">
        <v>341</v>
      </c>
      <c r="K17" s="471" t="s">
        <v>329</v>
      </c>
      <c r="L17" s="509">
        <v>78.989999999999995</v>
      </c>
      <c r="M17" s="509">
        <v>473.93999999999994</v>
      </c>
      <c r="N17" s="471">
        <v>6</v>
      </c>
      <c r="O17" s="510">
        <v>0.5</v>
      </c>
      <c r="P17" s="509">
        <v>473.93999999999994</v>
      </c>
      <c r="Q17" s="485">
        <v>1</v>
      </c>
      <c r="R17" s="471">
        <v>6</v>
      </c>
      <c r="S17" s="485">
        <v>1</v>
      </c>
      <c r="T17" s="510">
        <v>0.5</v>
      </c>
      <c r="U17" s="486">
        <v>1</v>
      </c>
    </row>
    <row r="18" spans="1:21" ht="14.4" customHeight="1" x14ac:dyDescent="0.3">
      <c r="A18" s="481">
        <v>57</v>
      </c>
      <c r="B18" s="471" t="s">
        <v>300</v>
      </c>
      <c r="C18" s="471">
        <v>89301594</v>
      </c>
      <c r="D18" s="507" t="s">
        <v>300</v>
      </c>
      <c r="E18" s="508" t="s">
        <v>311</v>
      </c>
      <c r="F18" s="471" t="s">
        <v>301</v>
      </c>
      <c r="G18" s="471" t="s">
        <v>314</v>
      </c>
      <c r="H18" s="471" t="s">
        <v>303</v>
      </c>
      <c r="I18" s="471" t="s">
        <v>342</v>
      </c>
      <c r="J18" s="471" t="s">
        <v>343</v>
      </c>
      <c r="K18" s="471" t="s">
        <v>344</v>
      </c>
      <c r="L18" s="509">
        <v>35.619999999999997</v>
      </c>
      <c r="M18" s="509">
        <v>1424.8</v>
      </c>
      <c r="N18" s="471">
        <v>40</v>
      </c>
      <c r="O18" s="510">
        <v>1</v>
      </c>
      <c r="P18" s="509"/>
      <c r="Q18" s="485">
        <v>0</v>
      </c>
      <c r="R18" s="471"/>
      <c r="S18" s="485">
        <v>0</v>
      </c>
      <c r="T18" s="510"/>
      <c r="U18" s="486">
        <v>0</v>
      </c>
    </row>
    <row r="19" spans="1:21" ht="14.4" customHeight="1" x14ac:dyDescent="0.3">
      <c r="A19" s="481">
        <v>57</v>
      </c>
      <c r="B19" s="471" t="s">
        <v>300</v>
      </c>
      <c r="C19" s="471">
        <v>89301594</v>
      </c>
      <c r="D19" s="507" t="s">
        <v>300</v>
      </c>
      <c r="E19" s="508" t="s">
        <v>311</v>
      </c>
      <c r="F19" s="471" t="s">
        <v>301</v>
      </c>
      <c r="G19" s="471" t="s">
        <v>314</v>
      </c>
      <c r="H19" s="471" t="s">
        <v>303</v>
      </c>
      <c r="I19" s="471" t="s">
        <v>345</v>
      </c>
      <c r="J19" s="471" t="s">
        <v>346</v>
      </c>
      <c r="K19" s="471" t="s">
        <v>344</v>
      </c>
      <c r="L19" s="509">
        <v>35.619999999999997</v>
      </c>
      <c r="M19" s="509">
        <v>1424.8</v>
      </c>
      <c r="N19" s="471">
        <v>40</v>
      </c>
      <c r="O19" s="510">
        <v>1</v>
      </c>
      <c r="P19" s="509"/>
      <c r="Q19" s="485">
        <v>0</v>
      </c>
      <c r="R19" s="471"/>
      <c r="S19" s="485">
        <v>0</v>
      </c>
      <c r="T19" s="510"/>
      <c r="U19" s="486">
        <v>0</v>
      </c>
    </row>
    <row r="20" spans="1:21" ht="14.4" customHeight="1" x14ac:dyDescent="0.3">
      <c r="A20" s="481">
        <v>57</v>
      </c>
      <c r="B20" s="471" t="s">
        <v>300</v>
      </c>
      <c r="C20" s="471">
        <v>89301594</v>
      </c>
      <c r="D20" s="507" t="s">
        <v>300</v>
      </c>
      <c r="E20" s="508" t="s">
        <v>311</v>
      </c>
      <c r="F20" s="471" t="s">
        <v>301</v>
      </c>
      <c r="G20" s="471" t="s">
        <v>314</v>
      </c>
      <c r="H20" s="471" t="s">
        <v>409</v>
      </c>
      <c r="I20" s="471" t="s">
        <v>347</v>
      </c>
      <c r="J20" s="471" t="s">
        <v>348</v>
      </c>
      <c r="K20" s="471" t="s">
        <v>329</v>
      </c>
      <c r="L20" s="509">
        <v>100</v>
      </c>
      <c r="M20" s="509">
        <v>1200</v>
      </c>
      <c r="N20" s="471">
        <v>12</v>
      </c>
      <c r="O20" s="510">
        <v>1</v>
      </c>
      <c r="P20" s="509">
        <v>1200</v>
      </c>
      <c r="Q20" s="485">
        <v>1</v>
      </c>
      <c r="R20" s="471">
        <v>12</v>
      </c>
      <c r="S20" s="485">
        <v>1</v>
      </c>
      <c r="T20" s="510">
        <v>1</v>
      </c>
      <c r="U20" s="486">
        <v>1</v>
      </c>
    </row>
    <row r="21" spans="1:21" ht="14.4" customHeight="1" x14ac:dyDescent="0.3">
      <c r="A21" s="481">
        <v>57</v>
      </c>
      <c r="B21" s="471" t="s">
        <v>300</v>
      </c>
      <c r="C21" s="471">
        <v>89301594</v>
      </c>
      <c r="D21" s="507" t="s">
        <v>300</v>
      </c>
      <c r="E21" s="508" t="s">
        <v>312</v>
      </c>
      <c r="F21" s="471" t="s">
        <v>301</v>
      </c>
      <c r="G21" s="471" t="s">
        <v>314</v>
      </c>
      <c r="H21" s="471" t="s">
        <v>409</v>
      </c>
      <c r="I21" s="471" t="s">
        <v>349</v>
      </c>
      <c r="J21" s="471" t="s">
        <v>350</v>
      </c>
      <c r="K21" s="471" t="s">
        <v>320</v>
      </c>
      <c r="L21" s="509">
        <v>31.59</v>
      </c>
      <c r="M21" s="509">
        <v>947.7</v>
      </c>
      <c r="N21" s="471">
        <v>30</v>
      </c>
      <c r="O21" s="510">
        <v>0.5</v>
      </c>
      <c r="P21" s="509"/>
      <c r="Q21" s="485">
        <v>0</v>
      </c>
      <c r="R21" s="471"/>
      <c r="S21" s="485">
        <v>0</v>
      </c>
      <c r="T21" s="510"/>
      <c r="U21" s="486">
        <v>0</v>
      </c>
    </row>
    <row r="22" spans="1:21" ht="14.4" customHeight="1" x14ac:dyDescent="0.3">
      <c r="A22" s="481">
        <v>57</v>
      </c>
      <c r="B22" s="471" t="s">
        <v>300</v>
      </c>
      <c r="C22" s="471">
        <v>89301594</v>
      </c>
      <c r="D22" s="507" t="s">
        <v>300</v>
      </c>
      <c r="E22" s="508" t="s">
        <v>312</v>
      </c>
      <c r="F22" s="471" t="s">
        <v>301</v>
      </c>
      <c r="G22" s="471" t="s">
        <v>314</v>
      </c>
      <c r="H22" s="471" t="s">
        <v>409</v>
      </c>
      <c r="I22" s="471" t="s">
        <v>325</v>
      </c>
      <c r="J22" s="471" t="s">
        <v>326</v>
      </c>
      <c r="K22" s="471" t="s">
        <v>320</v>
      </c>
      <c r="L22" s="509">
        <v>31.59</v>
      </c>
      <c r="M22" s="509">
        <v>947.7</v>
      </c>
      <c r="N22" s="471">
        <v>30</v>
      </c>
      <c r="O22" s="510">
        <v>0.5</v>
      </c>
      <c r="P22" s="509"/>
      <c r="Q22" s="485">
        <v>0</v>
      </c>
      <c r="R22" s="471"/>
      <c r="S22" s="485">
        <v>0</v>
      </c>
      <c r="T22" s="510"/>
      <c r="U22" s="486">
        <v>0</v>
      </c>
    </row>
    <row r="23" spans="1:21" ht="14.4" customHeight="1" x14ac:dyDescent="0.3">
      <c r="A23" s="481">
        <v>57</v>
      </c>
      <c r="B23" s="471" t="s">
        <v>300</v>
      </c>
      <c r="C23" s="471">
        <v>89301594</v>
      </c>
      <c r="D23" s="507" t="s">
        <v>300</v>
      </c>
      <c r="E23" s="508" t="s">
        <v>312</v>
      </c>
      <c r="F23" s="471" t="s">
        <v>302</v>
      </c>
      <c r="G23" s="471" t="s">
        <v>351</v>
      </c>
      <c r="H23" s="471" t="s">
        <v>303</v>
      </c>
      <c r="I23" s="471" t="s">
        <v>352</v>
      </c>
      <c r="J23" s="471" t="s">
        <v>353</v>
      </c>
      <c r="K23" s="471"/>
      <c r="L23" s="509">
        <v>0</v>
      </c>
      <c r="M23" s="509">
        <v>0</v>
      </c>
      <c r="N23" s="471">
        <v>1</v>
      </c>
      <c r="O23" s="510">
        <v>1</v>
      </c>
      <c r="P23" s="509"/>
      <c r="Q23" s="485"/>
      <c r="R23" s="471"/>
      <c r="S23" s="485">
        <v>0</v>
      </c>
      <c r="T23" s="510"/>
      <c r="U23" s="486">
        <v>0</v>
      </c>
    </row>
    <row r="24" spans="1:21" ht="14.4" customHeight="1" x14ac:dyDescent="0.3">
      <c r="A24" s="481">
        <v>57</v>
      </c>
      <c r="B24" s="471" t="s">
        <v>300</v>
      </c>
      <c r="C24" s="471">
        <v>89301594</v>
      </c>
      <c r="D24" s="507" t="s">
        <v>300</v>
      </c>
      <c r="E24" s="508" t="s">
        <v>312</v>
      </c>
      <c r="F24" s="471" t="s">
        <v>302</v>
      </c>
      <c r="G24" s="471" t="s">
        <v>351</v>
      </c>
      <c r="H24" s="471" t="s">
        <v>303</v>
      </c>
      <c r="I24" s="471" t="s">
        <v>354</v>
      </c>
      <c r="J24" s="471" t="s">
        <v>353</v>
      </c>
      <c r="K24" s="471"/>
      <c r="L24" s="509">
        <v>0</v>
      </c>
      <c r="M24" s="509">
        <v>0</v>
      </c>
      <c r="N24" s="471">
        <v>4</v>
      </c>
      <c r="O24" s="510">
        <v>4</v>
      </c>
      <c r="P24" s="509">
        <v>0</v>
      </c>
      <c r="Q24" s="485"/>
      <c r="R24" s="471">
        <v>4</v>
      </c>
      <c r="S24" s="485">
        <v>1</v>
      </c>
      <c r="T24" s="510">
        <v>4</v>
      </c>
      <c r="U24" s="486">
        <v>1</v>
      </c>
    </row>
    <row r="25" spans="1:21" ht="14.4" customHeight="1" x14ac:dyDescent="0.3">
      <c r="A25" s="481">
        <v>57</v>
      </c>
      <c r="B25" s="471" t="s">
        <v>300</v>
      </c>
      <c r="C25" s="471">
        <v>89301594</v>
      </c>
      <c r="D25" s="507" t="s">
        <v>300</v>
      </c>
      <c r="E25" s="508" t="s">
        <v>313</v>
      </c>
      <c r="F25" s="471" t="s">
        <v>301</v>
      </c>
      <c r="G25" s="471" t="s">
        <v>355</v>
      </c>
      <c r="H25" s="471" t="s">
        <v>303</v>
      </c>
      <c r="I25" s="471" t="s">
        <v>356</v>
      </c>
      <c r="J25" s="471" t="s">
        <v>357</v>
      </c>
      <c r="K25" s="471" t="s">
        <v>358</v>
      </c>
      <c r="L25" s="509">
        <v>11.21</v>
      </c>
      <c r="M25" s="509">
        <v>11.21</v>
      </c>
      <c r="N25" s="471">
        <v>1</v>
      </c>
      <c r="O25" s="510">
        <v>0.5</v>
      </c>
      <c r="P25" s="509">
        <v>11.21</v>
      </c>
      <c r="Q25" s="485">
        <v>1</v>
      </c>
      <c r="R25" s="471">
        <v>1</v>
      </c>
      <c r="S25" s="485">
        <v>1</v>
      </c>
      <c r="T25" s="510">
        <v>0.5</v>
      </c>
      <c r="U25" s="486">
        <v>1</v>
      </c>
    </row>
    <row r="26" spans="1:21" ht="14.4" customHeight="1" x14ac:dyDescent="0.3">
      <c r="A26" s="481">
        <v>57</v>
      </c>
      <c r="B26" s="471" t="s">
        <v>300</v>
      </c>
      <c r="C26" s="471">
        <v>89301594</v>
      </c>
      <c r="D26" s="507" t="s">
        <v>300</v>
      </c>
      <c r="E26" s="508" t="s">
        <v>313</v>
      </c>
      <c r="F26" s="471" t="s">
        <v>301</v>
      </c>
      <c r="G26" s="471" t="s">
        <v>351</v>
      </c>
      <c r="H26" s="471" t="s">
        <v>303</v>
      </c>
      <c r="I26" s="471" t="s">
        <v>359</v>
      </c>
      <c r="J26" s="471" t="s">
        <v>353</v>
      </c>
      <c r="K26" s="471"/>
      <c r="L26" s="509">
        <v>0</v>
      </c>
      <c r="M26" s="509">
        <v>0</v>
      </c>
      <c r="N26" s="471">
        <v>226</v>
      </c>
      <c r="O26" s="510">
        <v>4.5</v>
      </c>
      <c r="P26" s="509">
        <v>0</v>
      </c>
      <c r="Q26" s="485"/>
      <c r="R26" s="471">
        <v>192</v>
      </c>
      <c r="S26" s="485">
        <v>0.84955752212389379</v>
      </c>
      <c r="T26" s="510">
        <v>2</v>
      </c>
      <c r="U26" s="486">
        <v>0.44444444444444442</v>
      </c>
    </row>
    <row r="27" spans="1:21" ht="14.4" customHeight="1" x14ac:dyDescent="0.3">
      <c r="A27" s="481">
        <v>57</v>
      </c>
      <c r="B27" s="471" t="s">
        <v>300</v>
      </c>
      <c r="C27" s="471">
        <v>89301594</v>
      </c>
      <c r="D27" s="507" t="s">
        <v>300</v>
      </c>
      <c r="E27" s="508" t="s">
        <v>313</v>
      </c>
      <c r="F27" s="471" t="s">
        <v>301</v>
      </c>
      <c r="G27" s="471" t="s">
        <v>360</v>
      </c>
      <c r="H27" s="471" t="s">
        <v>303</v>
      </c>
      <c r="I27" s="471" t="s">
        <v>361</v>
      </c>
      <c r="J27" s="471" t="s">
        <v>362</v>
      </c>
      <c r="K27" s="471" t="s">
        <v>363</v>
      </c>
      <c r="L27" s="509">
        <v>733.55</v>
      </c>
      <c r="M27" s="509">
        <v>1467.1</v>
      </c>
      <c r="N27" s="471">
        <v>2</v>
      </c>
      <c r="O27" s="510">
        <v>1</v>
      </c>
      <c r="P27" s="509"/>
      <c r="Q27" s="485">
        <v>0</v>
      </c>
      <c r="R27" s="471"/>
      <c r="S27" s="485">
        <v>0</v>
      </c>
      <c r="T27" s="510"/>
      <c r="U27" s="486">
        <v>0</v>
      </c>
    </row>
    <row r="28" spans="1:21" ht="14.4" customHeight="1" x14ac:dyDescent="0.3">
      <c r="A28" s="481">
        <v>57</v>
      </c>
      <c r="B28" s="471" t="s">
        <v>300</v>
      </c>
      <c r="C28" s="471">
        <v>89301594</v>
      </c>
      <c r="D28" s="507" t="s">
        <v>300</v>
      </c>
      <c r="E28" s="508" t="s">
        <v>313</v>
      </c>
      <c r="F28" s="471" t="s">
        <v>301</v>
      </c>
      <c r="G28" s="471" t="s">
        <v>364</v>
      </c>
      <c r="H28" s="471" t="s">
        <v>409</v>
      </c>
      <c r="I28" s="471" t="s">
        <v>365</v>
      </c>
      <c r="J28" s="471" t="s">
        <v>366</v>
      </c>
      <c r="K28" s="471" t="s">
        <v>367</v>
      </c>
      <c r="L28" s="509">
        <v>0</v>
      </c>
      <c r="M28" s="509">
        <v>0</v>
      </c>
      <c r="N28" s="471">
        <v>1</v>
      </c>
      <c r="O28" s="510">
        <v>1</v>
      </c>
      <c r="P28" s="509"/>
      <c r="Q28" s="485"/>
      <c r="R28" s="471"/>
      <c r="S28" s="485">
        <v>0</v>
      </c>
      <c r="T28" s="510"/>
      <c r="U28" s="486">
        <v>0</v>
      </c>
    </row>
    <row r="29" spans="1:21" ht="14.4" customHeight="1" x14ac:dyDescent="0.3">
      <c r="A29" s="481">
        <v>57</v>
      </c>
      <c r="B29" s="471" t="s">
        <v>300</v>
      </c>
      <c r="C29" s="471">
        <v>89301594</v>
      </c>
      <c r="D29" s="507" t="s">
        <v>300</v>
      </c>
      <c r="E29" s="508" t="s">
        <v>313</v>
      </c>
      <c r="F29" s="471" t="s">
        <v>301</v>
      </c>
      <c r="G29" s="471" t="s">
        <v>368</v>
      </c>
      <c r="H29" s="471" t="s">
        <v>303</v>
      </c>
      <c r="I29" s="471" t="s">
        <v>369</v>
      </c>
      <c r="J29" s="471" t="s">
        <v>370</v>
      </c>
      <c r="K29" s="471" t="s">
        <v>371</v>
      </c>
      <c r="L29" s="509">
        <v>301.2</v>
      </c>
      <c r="M29" s="509">
        <v>602.4</v>
      </c>
      <c r="N29" s="471">
        <v>2</v>
      </c>
      <c r="O29" s="510">
        <v>0.5</v>
      </c>
      <c r="P29" s="509"/>
      <c r="Q29" s="485">
        <v>0</v>
      </c>
      <c r="R29" s="471"/>
      <c r="S29" s="485">
        <v>0</v>
      </c>
      <c r="T29" s="510"/>
      <c r="U29" s="486">
        <v>0</v>
      </c>
    </row>
    <row r="30" spans="1:21" ht="14.4" customHeight="1" x14ac:dyDescent="0.3">
      <c r="A30" s="481">
        <v>57</v>
      </c>
      <c r="B30" s="471" t="s">
        <v>300</v>
      </c>
      <c r="C30" s="471">
        <v>89301594</v>
      </c>
      <c r="D30" s="507" t="s">
        <v>300</v>
      </c>
      <c r="E30" s="508" t="s">
        <v>313</v>
      </c>
      <c r="F30" s="471" t="s">
        <v>301</v>
      </c>
      <c r="G30" s="471" t="s">
        <v>314</v>
      </c>
      <c r="H30" s="471" t="s">
        <v>409</v>
      </c>
      <c r="I30" s="471" t="s">
        <v>372</v>
      </c>
      <c r="J30" s="471" t="s">
        <v>373</v>
      </c>
      <c r="K30" s="471" t="s">
        <v>320</v>
      </c>
      <c r="L30" s="509">
        <v>32.6</v>
      </c>
      <c r="M30" s="509">
        <v>1564.8000000000002</v>
      </c>
      <c r="N30" s="471">
        <v>48</v>
      </c>
      <c r="O30" s="510">
        <v>0.5</v>
      </c>
      <c r="P30" s="509"/>
      <c r="Q30" s="485">
        <v>0</v>
      </c>
      <c r="R30" s="471"/>
      <c r="S30" s="485">
        <v>0</v>
      </c>
      <c r="T30" s="510"/>
      <c r="U30" s="486">
        <v>0</v>
      </c>
    </row>
    <row r="31" spans="1:21" ht="14.4" customHeight="1" x14ac:dyDescent="0.3">
      <c r="A31" s="481">
        <v>57</v>
      </c>
      <c r="B31" s="471" t="s">
        <v>300</v>
      </c>
      <c r="C31" s="471">
        <v>89301594</v>
      </c>
      <c r="D31" s="507" t="s">
        <v>300</v>
      </c>
      <c r="E31" s="508" t="s">
        <v>313</v>
      </c>
      <c r="F31" s="471" t="s">
        <v>301</v>
      </c>
      <c r="G31" s="471" t="s">
        <v>314</v>
      </c>
      <c r="H31" s="471" t="s">
        <v>409</v>
      </c>
      <c r="I31" s="471" t="s">
        <v>374</v>
      </c>
      <c r="J31" s="471" t="s">
        <v>375</v>
      </c>
      <c r="K31" s="471" t="s">
        <v>320</v>
      </c>
      <c r="L31" s="509">
        <v>32.380000000000003</v>
      </c>
      <c r="M31" s="509">
        <v>2266.6000000000004</v>
      </c>
      <c r="N31" s="471">
        <v>70</v>
      </c>
      <c r="O31" s="510">
        <v>1.5</v>
      </c>
      <c r="P31" s="509"/>
      <c r="Q31" s="485">
        <v>0</v>
      </c>
      <c r="R31" s="471"/>
      <c r="S31" s="485">
        <v>0</v>
      </c>
      <c r="T31" s="510"/>
      <c r="U31" s="486">
        <v>0</v>
      </c>
    </row>
    <row r="32" spans="1:21" ht="14.4" customHeight="1" x14ac:dyDescent="0.3">
      <c r="A32" s="481">
        <v>57</v>
      </c>
      <c r="B32" s="471" t="s">
        <v>300</v>
      </c>
      <c r="C32" s="471">
        <v>89301594</v>
      </c>
      <c r="D32" s="507" t="s">
        <v>300</v>
      </c>
      <c r="E32" s="508" t="s">
        <v>313</v>
      </c>
      <c r="F32" s="471" t="s">
        <v>301</v>
      </c>
      <c r="G32" s="471" t="s">
        <v>314</v>
      </c>
      <c r="H32" s="471" t="s">
        <v>409</v>
      </c>
      <c r="I32" s="471" t="s">
        <v>315</v>
      </c>
      <c r="J32" s="471" t="s">
        <v>316</v>
      </c>
      <c r="K32" s="471" t="s">
        <v>317</v>
      </c>
      <c r="L32" s="509">
        <v>194.26</v>
      </c>
      <c r="M32" s="509">
        <v>93827.579999999987</v>
      </c>
      <c r="N32" s="471">
        <v>483</v>
      </c>
      <c r="O32" s="510">
        <v>26.5</v>
      </c>
      <c r="P32" s="509">
        <v>49342.039999999994</v>
      </c>
      <c r="Q32" s="485">
        <v>0.52587991718426497</v>
      </c>
      <c r="R32" s="471">
        <v>254</v>
      </c>
      <c r="S32" s="485">
        <v>0.52587991718426497</v>
      </c>
      <c r="T32" s="510">
        <v>14</v>
      </c>
      <c r="U32" s="486">
        <v>0.52830188679245282</v>
      </c>
    </row>
    <row r="33" spans="1:21" ht="14.4" customHeight="1" x14ac:dyDescent="0.3">
      <c r="A33" s="481">
        <v>57</v>
      </c>
      <c r="B33" s="471" t="s">
        <v>300</v>
      </c>
      <c r="C33" s="471">
        <v>89301594</v>
      </c>
      <c r="D33" s="507" t="s">
        <v>300</v>
      </c>
      <c r="E33" s="508" t="s">
        <v>313</v>
      </c>
      <c r="F33" s="471" t="s">
        <v>301</v>
      </c>
      <c r="G33" s="471" t="s">
        <v>314</v>
      </c>
      <c r="H33" s="471" t="s">
        <v>409</v>
      </c>
      <c r="I33" s="471" t="s">
        <v>321</v>
      </c>
      <c r="J33" s="471" t="s">
        <v>322</v>
      </c>
      <c r="K33" s="471" t="s">
        <v>320</v>
      </c>
      <c r="L33" s="509">
        <v>21.06</v>
      </c>
      <c r="M33" s="509">
        <v>631.79999999999995</v>
      </c>
      <c r="N33" s="471">
        <v>30</v>
      </c>
      <c r="O33" s="510">
        <v>0.5</v>
      </c>
      <c r="P33" s="509">
        <v>631.79999999999995</v>
      </c>
      <c r="Q33" s="485">
        <v>1</v>
      </c>
      <c r="R33" s="471">
        <v>30</v>
      </c>
      <c r="S33" s="485">
        <v>1</v>
      </c>
      <c r="T33" s="510">
        <v>0.5</v>
      </c>
      <c r="U33" s="486">
        <v>1</v>
      </c>
    </row>
    <row r="34" spans="1:21" ht="14.4" customHeight="1" x14ac:dyDescent="0.3">
      <c r="A34" s="481">
        <v>57</v>
      </c>
      <c r="B34" s="471" t="s">
        <v>300</v>
      </c>
      <c r="C34" s="471">
        <v>89301594</v>
      </c>
      <c r="D34" s="507" t="s">
        <v>300</v>
      </c>
      <c r="E34" s="508" t="s">
        <v>313</v>
      </c>
      <c r="F34" s="471" t="s">
        <v>301</v>
      </c>
      <c r="G34" s="471" t="s">
        <v>314</v>
      </c>
      <c r="H34" s="471" t="s">
        <v>409</v>
      </c>
      <c r="I34" s="471" t="s">
        <v>376</v>
      </c>
      <c r="J34" s="471" t="s">
        <v>377</v>
      </c>
      <c r="K34" s="471" t="s">
        <v>320</v>
      </c>
      <c r="L34" s="509">
        <v>26.33</v>
      </c>
      <c r="M34" s="509">
        <v>5529.2999999999993</v>
      </c>
      <c r="N34" s="471">
        <v>210</v>
      </c>
      <c r="O34" s="510">
        <v>4.5</v>
      </c>
      <c r="P34" s="509">
        <v>5002.7</v>
      </c>
      <c r="Q34" s="485">
        <v>0.90476190476190488</v>
      </c>
      <c r="R34" s="471">
        <v>190</v>
      </c>
      <c r="S34" s="485">
        <v>0.90476190476190477</v>
      </c>
      <c r="T34" s="510">
        <v>4</v>
      </c>
      <c r="U34" s="486">
        <v>0.88888888888888884</v>
      </c>
    </row>
    <row r="35" spans="1:21" ht="14.4" customHeight="1" x14ac:dyDescent="0.3">
      <c r="A35" s="481">
        <v>57</v>
      </c>
      <c r="B35" s="471" t="s">
        <v>300</v>
      </c>
      <c r="C35" s="471">
        <v>89301594</v>
      </c>
      <c r="D35" s="507" t="s">
        <v>300</v>
      </c>
      <c r="E35" s="508" t="s">
        <v>313</v>
      </c>
      <c r="F35" s="471" t="s">
        <v>301</v>
      </c>
      <c r="G35" s="471" t="s">
        <v>314</v>
      </c>
      <c r="H35" s="471" t="s">
        <v>409</v>
      </c>
      <c r="I35" s="471" t="s">
        <v>378</v>
      </c>
      <c r="J35" s="471" t="s">
        <v>379</v>
      </c>
      <c r="K35" s="471" t="s">
        <v>320</v>
      </c>
      <c r="L35" s="509">
        <v>26.33</v>
      </c>
      <c r="M35" s="509">
        <v>1843.1</v>
      </c>
      <c r="N35" s="471">
        <v>70</v>
      </c>
      <c r="O35" s="510">
        <v>1.5</v>
      </c>
      <c r="P35" s="509">
        <v>1316.5</v>
      </c>
      <c r="Q35" s="485">
        <v>0.7142857142857143</v>
      </c>
      <c r="R35" s="471">
        <v>50</v>
      </c>
      <c r="S35" s="485">
        <v>0.7142857142857143</v>
      </c>
      <c r="T35" s="510">
        <v>1</v>
      </c>
      <c r="U35" s="486">
        <v>0.66666666666666663</v>
      </c>
    </row>
    <row r="36" spans="1:21" ht="14.4" customHeight="1" x14ac:dyDescent="0.3">
      <c r="A36" s="481">
        <v>57</v>
      </c>
      <c r="B36" s="471" t="s">
        <v>300</v>
      </c>
      <c r="C36" s="471">
        <v>89301594</v>
      </c>
      <c r="D36" s="507" t="s">
        <v>300</v>
      </c>
      <c r="E36" s="508" t="s">
        <v>313</v>
      </c>
      <c r="F36" s="471" t="s">
        <v>301</v>
      </c>
      <c r="G36" s="471" t="s">
        <v>314</v>
      </c>
      <c r="H36" s="471" t="s">
        <v>409</v>
      </c>
      <c r="I36" s="471" t="s">
        <v>380</v>
      </c>
      <c r="J36" s="471" t="s">
        <v>381</v>
      </c>
      <c r="K36" s="471" t="s">
        <v>320</v>
      </c>
      <c r="L36" s="509">
        <v>26.33</v>
      </c>
      <c r="M36" s="509">
        <v>2106.3999999999996</v>
      </c>
      <c r="N36" s="471">
        <v>80</v>
      </c>
      <c r="O36" s="510">
        <v>1</v>
      </c>
      <c r="P36" s="509">
        <v>2106.3999999999996</v>
      </c>
      <c r="Q36" s="485">
        <v>1</v>
      </c>
      <c r="R36" s="471">
        <v>80</v>
      </c>
      <c r="S36" s="485">
        <v>1</v>
      </c>
      <c r="T36" s="510">
        <v>1</v>
      </c>
      <c r="U36" s="486">
        <v>1</v>
      </c>
    </row>
    <row r="37" spans="1:21" ht="14.4" customHeight="1" x14ac:dyDescent="0.3">
      <c r="A37" s="481">
        <v>57</v>
      </c>
      <c r="B37" s="471" t="s">
        <v>300</v>
      </c>
      <c r="C37" s="471">
        <v>89301594</v>
      </c>
      <c r="D37" s="507" t="s">
        <v>300</v>
      </c>
      <c r="E37" s="508" t="s">
        <v>313</v>
      </c>
      <c r="F37" s="471" t="s">
        <v>301</v>
      </c>
      <c r="G37" s="471" t="s">
        <v>314</v>
      </c>
      <c r="H37" s="471" t="s">
        <v>409</v>
      </c>
      <c r="I37" s="471" t="s">
        <v>325</v>
      </c>
      <c r="J37" s="471" t="s">
        <v>326</v>
      </c>
      <c r="K37" s="471" t="s">
        <v>320</v>
      </c>
      <c r="L37" s="509">
        <v>31.59</v>
      </c>
      <c r="M37" s="509">
        <v>315.89999999999998</v>
      </c>
      <c r="N37" s="471">
        <v>10</v>
      </c>
      <c r="O37" s="510">
        <v>0.5</v>
      </c>
      <c r="P37" s="509"/>
      <c r="Q37" s="485">
        <v>0</v>
      </c>
      <c r="R37" s="471"/>
      <c r="S37" s="485">
        <v>0</v>
      </c>
      <c r="T37" s="510"/>
      <c r="U37" s="486">
        <v>0</v>
      </c>
    </row>
    <row r="38" spans="1:21" ht="14.4" customHeight="1" x14ac:dyDescent="0.3">
      <c r="A38" s="481">
        <v>57</v>
      </c>
      <c r="B38" s="471" t="s">
        <v>300</v>
      </c>
      <c r="C38" s="471">
        <v>89301594</v>
      </c>
      <c r="D38" s="507" t="s">
        <v>300</v>
      </c>
      <c r="E38" s="508" t="s">
        <v>313</v>
      </c>
      <c r="F38" s="471" t="s">
        <v>301</v>
      </c>
      <c r="G38" s="471" t="s">
        <v>314</v>
      </c>
      <c r="H38" s="471" t="s">
        <v>409</v>
      </c>
      <c r="I38" s="471" t="s">
        <v>327</v>
      </c>
      <c r="J38" s="471" t="s">
        <v>328</v>
      </c>
      <c r="K38" s="471" t="s">
        <v>329</v>
      </c>
      <c r="L38" s="509">
        <v>105.31</v>
      </c>
      <c r="M38" s="509">
        <v>18955.8</v>
      </c>
      <c r="N38" s="471">
        <v>180</v>
      </c>
      <c r="O38" s="510">
        <v>2.5</v>
      </c>
      <c r="P38" s="509">
        <v>18955.8</v>
      </c>
      <c r="Q38" s="485">
        <v>1</v>
      </c>
      <c r="R38" s="471">
        <v>180</v>
      </c>
      <c r="S38" s="485">
        <v>1</v>
      </c>
      <c r="T38" s="510">
        <v>2.5</v>
      </c>
      <c r="U38" s="486">
        <v>1</v>
      </c>
    </row>
    <row r="39" spans="1:21" ht="14.4" customHeight="1" x14ac:dyDescent="0.3">
      <c r="A39" s="481">
        <v>57</v>
      </c>
      <c r="B39" s="471" t="s">
        <v>300</v>
      </c>
      <c r="C39" s="471">
        <v>89301594</v>
      </c>
      <c r="D39" s="507" t="s">
        <v>300</v>
      </c>
      <c r="E39" s="508" t="s">
        <v>313</v>
      </c>
      <c r="F39" s="471" t="s">
        <v>301</v>
      </c>
      <c r="G39" s="471" t="s">
        <v>314</v>
      </c>
      <c r="H39" s="471" t="s">
        <v>409</v>
      </c>
      <c r="I39" s="471" t="s">
        <v>382</v>
      </c>
      <c r="J39" s="471" t="s">
        <v>328</v>
      </c>
      <c r="K39" s="471" t="s">
        <v>383</v>
      </c>
      <c r="L39" s="509">
        <v>52.66</v>
      </c>
      <c r="M39" s="509">
        <v>6319.2</v>
      </c>
      <c r="N39" s="471">
        <v>120</v>
      </c>
      <c r="O39" s="510">
        <v>1</v>
      </c>
      <c r="P39" s="509"/>
      <c r="Q39" s="485">
        <v>0</v>
      </c>
      <c r="R39" s="471"/>
      <c r="S39" s="485">
        <v>0</v>
      </c>
      <c r="T39" s="510"/>
      <c r="U39" s="486">
        <v>0</v>
      </c>
    </row>
    <row r="40" spans="1:21" ht="14.4" customHeight="1" x14ac:dyDescent="0.3">
      <c r="A40" s="481">
        <v>57</v>
      </c>
      <c r="B40" s="471" t="s">
        <v>300</v>
      </c>
      <c r="C40" s="471">
        <v>89301594</v>
      </c>
      <c r="D40" s="507" t="s">
        <v>300</v>
      </c>
      <c r="E40" s="508" t="s">
        <v>313</v>
      </c>
      <c r="F40" s="471" t="s">
        <v>301</v>
      </c>
      <c r="G40" s="471" t="s">
        <v>314</v>
      </c>
      <c r="H40" s="471" t="s">
        <v>409</v>
      </c>
      <c r="I40" s="471" t="s">
        <v>384</v>
      </c>
      <c r="J40" s="471" t="s">
        <v>385</v>
      </c>
      <c r="K40" s="471" t="s">
        <v>329</v>
      </c>
      <c r="L40" s="509">
        <v>108.47</v>
      </c>
      <c r="M40" s="509">
        <v>29286.899999999998</v>
      </c>
      <c r="N40" s="471">
        <v>270</v>
      </c>
      <c r="O40" s="510">
        <v>3</v>
      </c>
      <c r="P40" s="509">
        <v>29286.899999999998</v>
      </c>
      <c r="Q40" s="485">
        <v>1</v>
      </c>
      <c r="R40" s="471">
        <v>270</v>
      </c>
      <c r="S40" s="485">
        <v>1</v>
      </c>
      <c r="T40" s="510">
        <v>3</v>
      </c>
      <c r="U40" s="486">
        <v>1</v>
      </c>
    </row>
    <row r="41" spans="1:21" ht="14.4" customHeight="1" x14ac:dyDescent="0.3">
      <c r="A41" s="481">
        <v>57</v>
      </c>
      <c r="B41" s="471" t="s">
        <v>300</v>
      </c>
      <c r="C41" s="471">
        <v>89301594</v>
      </c>
      <c r="D41" s="507" t="s">
        <v>300</v>
      </c>
      <c r="E41" s="508" t="s">
        <v>313</v>
      </c>
      <c r="F41" s="471" t="s">
        <v>301</v>
      </c>
      <c r="G41" s="471" t="s">
        <v>314</v>
      </c>
      <c r="H41" s="471" t="s">
        <v>409</v>
      </c>
      <c r="I41" s="471" t="s">
        <v>386</v>
      </c>
      <c r="J41" s="471" t="s">
        <v>338</v>
      </c>
      <c r="K41" s="471" t="s">
        <v>329</v>
      </c>
      <c r="L41" s="509">
        <v>162.28</v>
      </c>
      <c r="M41" s="509">
        <v>29210.400000000001</v>
      </c>
      <c r="N41" s="471">
        <v>180</v>
      </c>
      <c r="O41" s="510">
        <v>2</v>
      </c>
      <c r="P41" s="509">
        <v>29210.400000000001</v>
      </c>
      <c r="Q41" s="485">
        <v>1</v>
      </c>
      <c r="R41" s="471">
        <v>180</v>
      </c>
      <c r="S41" s="485">
        <v>1</v>
      </c>
      <c r="T41" s="510">
        <v>2</v>
      </c>
      <c r="U41" s="486">
        <v>1</v>
      </c>
    </row>
    <row r="42" spans="1:21" ht="14.4" customHeight="1" x14ac:dyDescent="0.3">
      <c r="A42" s="481">
        <v>57</v>
      </c>
      <c r="B42" s="471" t="s">
        <v>300</v>
      </c>
      <c r="C42" s="471">
        <v>89301594</v>
      </c>
      <c r="D42" s="507" t="s">
        <v>300</v>
      </c>
      <c r="E42" s="508" t="s">
        <v>313</v>
      </c>
      <c r="F42" s="471" t="s">
        <v>301</v>
      </c>
      <c r="G42" s="471" t="s">
        <v>314</v>
      </c>
      <c r="H42" s="471" t="s">
        <v>409</v>
      </c>
      <c r="I42" s="471" t="s">
        <v>387</v>
      </c>
      <c r="J42" s="471" t="s">
        <v>388</v>
      </c>
      <c r="K42" s="471" t="s">
        <v>320</v>
      </c>
      <c r="L42" s="509">
        <v>21.91</v>
      </c>
      <c r="M42" s="509">
        <v>657.3</v>
      </c>
      <c r="N42" s="471">
        <v>30</v>
      </c>
      <c r="O42" s="510">
        <v>0.5</v>
      </c>
      <c r="P42" s="509">
        <v>657.3</v>
      </c>
      <c r="Q42" s="485">
        <v>1</v>
      </c>
      <c r="R42" s="471">
        <v>30</v>
      </c>
      <c r="S42" s="485">
        <v>1</v>
      </c>
      <c r="T42" s="510">
        <v>0.5</v>
      </c>
      <c r="U42" s="486">
        <v>1</v>
      </c>
    </row>
    <row r="43" spans="1:21" ht="14.4" customHeight="1" x14ac:dyDescent="0.3">
      <c r="A43" s="481">
        <v>57</v>
      </c>
      <c r="B43" s="471" t="s">
        <v>300</v>
      </c>
      <c r="C43" s="471">
        <v>89301594</v>
      </c>
      <c r="D43" s="507" t="s">
        <v>300</v>
      </c>
      <c r="E43" s="508" t="s">
        <v>313</v>
      </c>
      <c r="F43" s="471" t="s">
        <v>301</v>
      </c>
      <c r="G43" s="471" t="s">
        <v>314</v>
      </c>
      <c r="H43" s="471" t="s">
        <v>409</v>
      </c>
      <c r="I43" s="471" t="s">
        <v>330</v>
      </c>
      <c r="J43" s="471" t="s">
        <v>331</v>
      </c>
      <c r="K43" s="471" t="s">
        <v>332</v>
      </c>
      <c r="L43" s="509">
        <v>127.34</v>
      </c>
      <c r="M43" s="509">
        <v>5093.6000000000004</v>
      </c>
      <c r="N43" s="471">
        <v>40</v>
      </c>
      <c r="O43" s="510">
        <v>0.5</v>
      </c>
      <c r="P43" s="509">
        <v>5093.6000000000004</v>
      </c>
      <c r="Q43" s="485">
        <v>1</v>
      </c>
      <c r="R43" s="471">
        <v>40</v>
      </c>
      <c r="S43" s="485">
        <v>1</v>
      </c>
      <c r="T43" s="510">
        <v>0.5</v>
      </c>
      <c r="U43" s="486">
        <v>1</v>
      </c>
    </row>
    <row r="44" spans="1:21" ht="14.4" customHeight="1" x14ac:dyDescent="0.3">
      <c r="A44" s="481">
        <v>57</v>
      </c>
      <c r="B44" s="471" t="s">
        <v>300</v>
      </c>
      <c r="C44" s="471">
        <v>89301594</v>
      </c>
      <c r="D44" s="507" t="s">
        <v>300</v>
      </c>
      <c r="E44" s="508" t="s">
        <v>313</v>
      </c>
      <c r="F44" s="471" t="s">
        <v>301</v>
      </c>
      <c r="G44" s="471" t="s">
        <v>314</v>
      </c>
      <c r="H44" s="471" t="s">
        <v>409</v>
      </c>
      <c r="I44" s="471" t="s">
        <v>333</v>
      </c>
      <c r="J44" s="471" t="s">
        <v>334</v>
      </c>
      <c r="K44" s="471" t="s">
        <v>332</v>
      </c>
      <c r="L44" s="509">
        <v>127.34</v>
      </c>
      <c r="M44" s="509">
        <v>1273.4000000000001</v>
      </c>
      <c r="N44" s="471">
        <v>10</v>
      </c>
      <c r="O44" s="510">
        <v>0.5</v>
      </c>
      <c r="P44" s="509">
        <v>1273.4000000000001</v>
      </c>
      <c r="Q44" s="485">
        <v>1</v>
      </c>
      <c r="R44" s="471">
        <v>10</v>
      </c>
      <c r="S44" s="485">
        <v>1</v>
      </c>
      <c r="T44" s="510">
        <v>0.5</v>
      </c>
      <c r="U44" s="486">
        <v>1</v>
      </c>
    </row>
    <row r="45" spans="1:21" ht="14.4" customHeight="1" x14ac:dyDescent="0.3">
      <c r="A45" s="481">
        <v>57</v>
      </c>
      <c r="B45" s="471" t="s">
        <v>300</v>
      </c>
      <c r="C45" s="471">
        <v>89301594</v>
      </c>
      <c r="D45" s="507" t="s">
        <v>300</v>
      </c>
      <c r="E45" s="508" t="s">
        <v>313</v>
      </c>
      <c r="F45" s="471" t="s">
        <v>301</v>
      </c>
      <c r="G45" s="471" t="s">
        <v>314</v>
      </c>
      <c r="H45" s="471" t="s">
        <v>409</v>
      </c>
      <c r="I45" s="471" t="s">
        <v>335</v>
      </c>
      <c r="J45" s="471" t="s">
        <v>336</v>
      </c>
      <c r="K45" s="471" t="s">
        <v>332</v>
      </c>
      <c r="L45" s="509">
        <v>127.34</v>
      </c>
      <c r="M45" s="509">
        <v>1273.4000000000001</v>
      </c>
      <c r="N45" s="471">
        <v>10</v>
      </c>
      <c r="O45" s="510">
        <v>0.5</v>
      </c>
      <c r="P45" s="509">
        <v>1273.4000000000001</v>
      </c>
      <c r="Q45" s="485">
        <v>1</v>
      </c>
      <c r="R45" s="471">
        <v>10</v>
      </c>
      <c r="S45" s="485">
        <v>1</v>
      </c>
      <c r="T45" s="510">
        <v>0.5</v>
      </c>
      <c r="U45" s="486">
        <v>1</v>
      </c>
    </row>
    <row r="46" spans="1:21" ht="14.4" customHeight="1" x14ac:dyDescent="0.3">
      <c r="A46" s="481">
        <v>57</v>
      </c>
      <c r="B46" s="471" t="s">
        <v>300</v>
      </c>
      <c r="C46" s="471">
        <v>89301594</v>
      </c>
      <c r="D46" s="507" t="s">
        <v>300</v>
      </c>
      <c r="E46" s="508" t="s">
        <v>313</v>
      </c>
      <c r="F46" s="471" t="s">
        <v>301</v>
      </c>
      <c r="G46" s="471" t="s">
        <v>314</v>
      </c>
      <c r="H46" s="471" t="s">
        <v>409</v>
      </c>
      <c r="I46" s="471" t="s">
        <v>337</v>
      </c>
      <c r="J46" s="471" t="s">
        <v>338</v>
      </c>
      <c r="K46" s="471" t="s">
        <v>339</v>
      </c>
      <c r="L46" s="509">
        <v>242.63</v>
      </c>
      <c r="M46" s="509">
        <v>101904.59999999999</v>
      </c>
      <c r="N46" s="471">
        <v>420</v>
      </c>
      <c r="O46" s="510">
        <v>6</v>
      </c>
      <c r="P46" s="509">
        <v>101904.59999999999</v>
      </c>
      <c r="Q46" s="485">
        <v>1</v>
      </c>
      <c r="R46" s="471">
        <v>420</v>
      </c>
      <c r="S46" s="485">
        <v>1</v>
      </c>
      <c r="T46" s="510">
        <v>6</v>
      </c>
      <c r="U46" s="486">
        <v>1</v>
      </c>
    </row>
    <row r="47" spans="1:21" ht="14.4" customHeight="1" x14ac:dyDescent="0.3">
      <c r="A47" s="481">
        <v>57</v>
      </c>
      <c r="B47" s="471" t="s">
        <v>300</v>
      </c>
      <c r="C47" s="471">
        <v>89301594</v>
      </c>
      <c r="D47" s="507" t="s">
        <v>300</v>
      </c>
      <c r="E47" s="508" t="s">
        <v>313</v>
      </c>
      <c r="F47" s="471" t="s">
        <v>301</v>
      </c>
      <c r="G47" s="471" t="s">
        <v>314</v>
      </c>
      <c r="H47" s="471" t="s">
        <v>409</v>
      </c>
      <c r="I47" s="471" t="s">
        <v>340</v>
      </c>
      <c r="J47" s="471" t="s">
        <v>341</v>
      </c>
      <c r="K47" s="471" t="s">
        <v>329</v>
      </c>
      <c r="L47" s="509">
        <v>78.989999999999995</v>
      </c>
      <c r="M47" s="509">
        <v>4739.3999999999996</v>
      </c>
      <c r="N47" s="471">
        <v>60</v>
      </c>
      <c r="O47" s="510">
        <v>1</v>
      </c>
      <c r="P47" s="509"/>
      <c r="Q47" s="485">
        <v>0</v>
      </c>
      <c r="R47" s="471"/>
      <c r="S47" s="485">
        <v>0</v>
      </c>
      <c r="T47" s="510"/>
      <c r="U47" s="486">
        <v>0</v>
      </c>
    </row>
    <row r="48" spans="1:21" ht="14.4" customHeight="1" x14ac:dyDescent="0.3">
      <c r="A48" s="481">
        <v>57</v>
      </c>
      <c r="B48" s="471" t="s">
        <v>300</v>
      </c>
      <c r="C48" s="471">
        <v>89301594</v>
      </c>
      <c r="D48" s="507" t="s">
        <v>300</v>
      </c>
      <c r="E48" s="508" t="s">
        <v>313</v>
      </c>
      <c r="F48" s="471" t="s">
        <v>301</v>
      </c>
      <c r="G48" s="471" t="s">
        <v>314</v>
      </c>
      <c r="H48" s="471" t="s">
        <v>409</v>
      </c>
      <c r="I48" s="471" t="s">
        <v>389</v>
      </c>
      <c r="J48" s="471" t="s">
        <v>390</v>
      </c>
      <c r="K48" s="471" t="s">
        <v>391</v>
      </c>
      <c r="L48" s="509">
        <v>129.51</v>
      </c>
      <c r="M48" s="509">
        <v>3237.75</v>
      </c>
      <c r="N48" s="471">
        <v>25</v>
      </c>
      <c r="O48" s="510">
        <v>1</v>
      </c>
      <c r="P48" s="509"/>
      <c r="Q48" s="485">
        <v>0</v>
      </c>
      <c r="R48" s="471"/>
      <c r="S48" s="485">
        <v>0</v>
      </c>
      <c r="T48" s="510"/>
      <c r="U48" s="486">
        <v>0</v>
      </c>
    </row>
    <row r="49" spans="1:21" ht="14.4" customHeight="1" x14ac:dyDescent="0.3">
      <c r="A49" s="481">
        <v>57</v>
      </c>
      <c r="B49" s="471" t="s">
        <v>300</v>
      </c>
      <c r="C49" s="471">
        <v>89301594</v>
      </c>
      <c r="D49" s="507" t="s">
        <v>300</v>
      </c>
      <c r="E49" s="508" t="s">
        <v>313</v>
      </c>
      <c r="F49" s="471" t="s">
        <v>301</v>
      </c>
      <c r="G49" s="471" t="s">
        <v>314</v>
      </c>
      <c r="H49" s="471" t="s">
        <v>409</v>
      </c>
      <c r="I49" s="471" t="s">
        <v>392</v>
      </c>
      <c r="J49" s="471" t="s">
        <v>393</v>
      </c>
      <c r="K49" s="471" t="s">
        <v>391</v>
      </c>
      <c r="L49" s="509">
        <v>129.51</v>
      </c>
      <c r="M49" s="509">
        <v>3885.2999999999997</v>
      </c>
      <c r="N49" s="471">
        <v>30</v>
      </c>
      <c r="O49" s="510">
        <v>1</v>
      </c>
      <c r="P49" s="509"/>
      <c r="Q49" s="485">
        <v>0</v>
      </c>
      <c r="R49" s="471"/>
      <c r="S49" s="485">
        <v>0</v>
      </c>
      <c r="T49" s="510"/>
      <c r="U49" s="486">
        <v>0</v>
      </c>
    </row>
    <row r="50" spans="1:21" ht="14.4" customHeight="1" x14ac:dyDescent="0.3">
      <c r="A50" s="481">
        <v>57</v>
      </c>
      <c r="B50" s="471" t="s">
        <v>300</v>
      </c>
      <c r="C50" s="471">
        <v>89301594</v>
      </c>
      <c r="D50" s="507" t="s">
        <v>300</v>
      </c>
      <c r="E50" s="508" t="s">
        <v>313</v>
      </c>
      <c r="F50" s="471" t="s">
        <v>301</v>
      </c>
      <c r="G50" s="471" t="s">
        <v>314</v>
      </c>
      <c r="H50" s="471" t="s">
        <v>409</v>
      </c>
      <c r="I50" s="471" t="s">
        <v>347</v>
      </c>
      <c r="J50" s="471" t="s">
        <v>348</v>
      </c>
      <c r="K50" s="471" t="s">
        <v>329</v>
      </c>
      <c r="L50" s="509">
        <v>100</v>
      </c>
      <c r="M50" s="509">
        <v>9000</v>
      </c>
      <c r="N50" s="471">
        <v>90</v>
      </c>
      <c r="O50" s="510">
        <v>1</v>
      </c>
      <c r="P50" s="509"/>
      <c r="Q50" s="485">
        <v>0</v>
      </c>
      <c r="R50" s="471"/>
      <c r="S50" s="485">
        <v>0</v>
      </c>
      <c r="T50" s="510"/>
      <c r="U50" s="486">
        <v>0</v>
      </c>
    </row>
    <row r="51" spans="1:21" ht="14.4" customHeight="1" x14ac:dyDescent="0.3">
      <c r="A51" s="481">
        <v>57</v>
      </c>
      <c r="B51" s="471" t="s">
        <v>300</v>
      </c>
      <c r="C51" s="471">
        <v>89301594</v>
      </c>
      <c r="D51" s="507" t="s">
        <v>300</v>
      </c>
      <c r="E51" s="508" t="s">
        <v>313</v>
      </c>
      <c r="F51" s="471" t="s">
        <v>301</v>
      </c>
      <c r="G51" s="471" t="s">
        <v>394</v>
      </c>
      <c r="H51" s="471" t="s">
        <v>303</v>
      </c>
      <c r="I51" s="471" t="s">
        <v>395</v>
      </c>
      <c r="J51" s="471" t="s">
        <v>396</v>
      </c>
      <c r="K51" s="471" t="s">
        <v>397</v>
      </c>
      <c r="L51" s="509">
        <v>334.66</v>
      </c>
      <c r="M51" s="509">
        <v>334.66</v>
      </c>
      <c r="N51" s="471">
        <v>1</v>
      </c>
      <c r="O51" s="510">
        <v>1</v>
      </c>
      <c r="P51" s="509">
        <v>334.66</v>
      </c>
      <c r="Q51" s="485">
        <v>1</v>
      </c>
      <c r="R51" s="471">
        <v>1</v>
      </c>
      <c r="S51" s="485">
        <v>1</v>
      </c>
      <c r="T51" s="510">
        <v>1</v>
      </c>
      <c r="U51" s="486">
        <v>1</v>
      </c>
    </row>
    <row r="52" spans="1:21" ht="14.4" customHeight="1" x14ac:dyDescent="0.3">
      <c r="A52" s="481">
        <v>57</v>
      </c>
      <c r="B52" s="471" t="s">
        <v>300</v>
      </c>
      <c r="C52" s="471">
        <v>89301594</v>
      </c>
      <c r="D52" s="507" t="s">
        <v>300</v>
      </c>
      <c r="E52" s="508" t="s">
        <v>313</v>
      </c>
      <c r="F52" s="471" t="s">
        <v>301</v>
      </c>
      <c r="G52" s="471" t="s">
        <v>398</v>
      </c>
      <c r="H52" s="471" t="s">
        <v>303</v>
      </c>
      <c r="I52" s="471" t="s">
        <v>399</v>
      </c>
      <c r="J52" s="471" t="s">
        <v>400</v>
      </c>
      <c r="K52" s="471" t="s">
        <v>401</v>
      </c>
      <c r="L52" s="509">
        <v>111.45</v>
      </c>
      <c r="M52" s="509">
        <v>111.45</v>
      </c>
      <c r="N52" s="471">
        <v>1</v>
      </c>
      <c r="O52" s="510">
        <v>0.5</v>
      </c>
      <c r="P52" s="509">
        <v>111.45</v>
      </c>
      <c r="Q52" s="485">
        <v>1</v>
      </c>
      <c r="R52" s="471">
        <v>1</v>
      </c>
      <c r="S52" s="485">
        <v>1</v>
      </c>
      <c r="T52" s="510">
        <v>0.5</v>
      </c>
      <c r="U52" s="486">
        <v>1</v>
      </c>
    </row>
    <row r="53" spans="1:21" ht="14.4" customHeight="1" x14ac:dyDescent="0.3">
      <c r="A53" s="481">
        <v>57</v>
      </c>
      <c r="B53" s="471" t="s">
        <v>300</v>
      </c>
      <c r="C53" s="471">
        <v>89301594</v>
      </c>
      <c r="D53" s="507" t="s">
        <v>300</v>
      </c>
      <c r="E53" s="508" t="s">
        <v>313</v>
      </c>
      <c r="F53" s="471" t="s">
        <v>304</v>
      </c>
      <c r="G53" s="471" t="s">
        <v>351</v>
      </c>
      <c r="H53" s="471" t="s">
        <v>303</v>
      </c>
      <c r="I53" s="471" t="s">
        <v>359</v>
      </c>
      <c r="J53" s="471" t="s">
        <v>353</v>
      </c>
      <c r="K53" s="471"/>
      <c r="L53" s="509">
        <v>0</v>
      </c>
      <c r="M53" s="509">
        <v>0</v>
      </c>
      <c r="N53" s="471">
        <v>1</v>
      </c>
      <c r="O53" s="510">
        <v>1</v>
      </c>
      <c r="P53" s="509">
        <v>0</v>
      </c>
      <c r="Q53" s="485"/>
      <c r="R53" s="471">
        <v>1</v>
      </c>
      <c r="S53" s="485">
        <v>1</v>
      </c>
      <c r="T53" s="510">
        <v>1</v>
      </c>
      <c r="U53" s="486">
        <v>1</v>
      </c>
    </row>
    <row r="54" spans="1:21" ht="14.4" customHeight="1" x14ac:dyDescent="0.3">
      <c r="A54" s="481">
        <v>57</v>
      </c>
      <c r="B54" s="471" t="s">
        <v>300</v>
      </c>
      <c r="C54" s="471">
        <v>89301594</v>
      </c>
      <c r="D54" s="507" t="s">
        <v>300</v>
      </c>
      <c r="E54" s="508" t="s">
        <v>313</v>
      </c>
      <c r="F54" s="471" t="s">
        <v>304</v>
      </c>
      <c r="G54" s="471" t="s">
        <v>402</v>
      </c>
      <c r="H54" s="471" t="s">
        <v>303</v>
      </c>
      <c r="I54" s="471" t="s">
        <v>403</v>
      </c>
      <c r="J54" s="471" t="s">
        <v>404</v>
      </c>
      <c r="K54" s="471" t="s">
        <v>405</v>
      </c>
      <c r="L54" s="509">
        <v>0</v>
      </c>
      <c r="M54" s="509">
        <v>0</v>
      </c>
      <c r="N54" s="471">
        <v>1</v>
      </c>
      <c r="O54" s="510">
        <v>1</v>
      </c>
      <c r="P54" s="509"/>
      <c r="Q54" s="485"/>
      <c r="R54" s="471"/>
      <c r="S54" s="485">
        <v>0</v>
      </c>
      <c r="T54" s="510"/>
      <c r="U54" s="486">
        <v>0</v>
      </c>
    </row>
    <row r="55" spans="1:21" ht="14.4" customHeight="1" thickBot="1" x14ac:dyDescent="0.35">
      <c r="A55" s="482">
        <v>57</v>
      </c>
      <c r="B55" s="474" t="s">
        <v>300</v>
      </c>
      <c r="C55" s="474">
        <v>89301594</v>
      </c>
      <c r="D55" s="511" t="s">
        <v>300</v>
      </c>
      <c r="E55" s="512" t="s">
        <v>313</v>
      </c>
      <c r="F55" s="474" t="s">
        <v>304</v>
      </c>
      <c r="G55" s="474" t="s">
        <v>402</v>
      </c>
      <c r="H55" s="474" t="s">
        <v>303</v>
      </c>
      <c r="I55" s="474" t="s">
        <v>406</v>
      </c>
      <c r="J55" s="474" t="s">
        <v>407</v>
      </c>
      <c r="K55" s="474" t="s">
        <v>408</v>
      </c>
      <c r="L55" s="513">
        <v>800</v>
      </c>
      <c r="M55" s="513">
        <v>4000</v>
      </c>
      <c r="N55" s="474">
        <v>5</v>
      </c>
      <c r="O55" s="514">
        <v>1</v>
      </c>
      <c r="P55" s="513">
        <v>4000</v>
      </c>
      <c r="Q55" s="487">
        <v>1</v>
      </c>
      <c r="R55" s="474">
        <v>5</v>
      </c>
      <c r="S55" s="487">
        <v>1</v>
      </c>
      <c r="T55" s="514">
        <v>1</v>
      </c>
      <c r="U55" s="48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2015-03-21T00:28:24Z</dcterms:modified>
</cp:coreProperties>
</file>