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Detail'!$A$5:$P$5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K21" i="419" l="1"/>
  <c r="AK23" i="419" s="1"/>
  <c r="AJ21" i="419"/>
  <c r="AJ22" i="419" s="1"/>
  <c r="AI21" i="419"/>
  <c r="AI23" i="419" s="1"/>
  <c r="AH21" i="419"/>
  <c r="AH22" i="419" s="1"/>
  <c r="AG21" i="419"/>
  <c r="AG23" i="419" s="1"/>
  <c r="AF21" i="419"/>
  <c r="AF23" i="419" s="1"/>
  <c r="AE21" i="419"/>
  <c r="AE23" i="419" s="1"/>
  <c r="AD21" i="419"/>
  <c r="AD22" i="419" s="1"/>
  <c r="AC21" i="419"/>
  <c r="AC23" i="419" s="1"/>
  <c r="AB21" i="419"/>
  <c r="AB23" i="419" s="1"/>
  <c r="AA21" i="419"/>
  <c r="AA23" i="419" s="1"/>
  <c r="Z21" i="419"/>
  <c r="Z22" i="419" s="1"/>
  <c r="Y21" i="419"/>
  <c r="Y23" i="419" s="1"/>
  <c r="X21" i="419"/>
  <c r="X22" i="419" s="1"/>
  <c r="W21" i="419"/>
  <c r="W22" i="419" s="1"/>
  <c r="V21" i="419"/>
  <c r="V22" i="419" s="1"/>
  <c r="U21" i="419"/>
  <c r="U23" i="419" s="1"/>
  <c r="T21" i="419"/>
  <c r="T23" i="419" s="1"/>
  <c r="S21" i="419"/>
  <c r="S23" i="419" s="1"/>
  <c r="R21" i="419"/>
  <c r="R22" i="419" s="1"/>
  <c r="Q21" i="419"/>
  <c r="Q23" i="419" s="1"/>
  <c r="P21" i="419"/>
  <c r="P22" i="419" s="1"/>
  <c r="O21" i="419"/>
  <c r="O23" i="419" s="1"/>
  <c r="N21" i="419"/>
  <c r="N22" i="419" s="1"/>
  <c r="M21" i="419"/>
  <c r="M23" i="419" s="1"/>
  <c r="L21" i="419"/>
  <c r="L23" i="419" s="1"/>
  <c r="K21" i="419"/>
  <c r="K23" i="419" s="1"/>
  <c r="J21" i="419"/>
  <c r="J22" i="419" s="1"/>
  <c r="I21" i="419"/>
  <c r="I23" i="419" s="1"/>
  <c r="AK20" i="419"/>
  <c r="AJ20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K19" i="419"/>
  <c r="AJ19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K17" i="419"/>
  <c r="AJ17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K16" i="419"/>
  <c r="AJ16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K14" i="419"/>
  <c r="AJ14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K13" i="419"/>
  <c r="AJ13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K12" i="419"/>
  <c r="AJ12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K11" i="419"/>
  <c r="AJ11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AK6" i="419"/>
  <c r="AJ6" i="419"/>
  <c r="AI6" i="419"/>
  <c r="AH6" i="419"/>
  <c r="AG6" i="419"/>
  <c r="AF6" i="419"/>
  <c r="AE6" i="419"/>
  <c r="AD6" i="419"/>
  <c r="AC6" i="419"/>
  <c r="AB6" i="419"/>
  <c r="AA6" i="419"/>
  <c r="Z6" i="419"/>
  <c r="Y6" i="419"/>
  <c r="X6" i="419"/>
  <c r="W6" i="419"/>
  <c r="V6" i="419"/>
  <c r="U6" i="419"/>
  <c r="T6" i="419"/>
  <c r="S6" i="419"/>
  <c r="R6" i="419"/>
  <c r="Q6" i="419"/>
  <c r="P6" i="419"/>
  <c r="O6" i="419"/>
  <c r="N6" i="419"/>
  <c r="M6" i="419"/>
  <c r="L6" i="419"/>
  <c r="K6" i="419"/>
  <c r="J6" i="419"/>
  <c r="I6" i="419"/>
  <c r="K18" i="419" l="1"/>
  <c r="S18" i="419"/>
  <c r="W18" i="419"/>
  <c r="AA18" i="419"/>
  <c r="AI18" i="419"/>
  <c r="N23" i="419"/>
  <c r="V23" i="419"/>
  <c r="O18" i="419"/>
  <c r="AE18" i="419"/>
  <c r="AD23" i="419"/>
  <c r="O22" i="419"/>
  <c r="AE22" i="419"/>
  <c r="J18" i="419"/>
  <c r="N18" i="419"/>
  <c r="R18" i="419"/>
  <c r="V18" i="419"/>
  <c r="Z18" i="419"/>
  <c r="AD18" i="419"/>
  <c r="AH18" i="419"/>
  <c r="S22" i="419"/>
  <c r="AI22" i="419"/>
  <c r="W23" i="419"/>
  <c r="J23" i="419"/>
  <c r="R23" i="419"/>
  <c r="Z23" i="419"/>
  <c r="AH23" i="419"/>
  <c r="I18" i="419"/>
  <c r="M18" i="419"/>
  <c r="Q18" i="419"/>
  <c r="U18" i="419"/>
  <c r="Y18" i="419"/>
  <c r="AC18" i="419"/>
  <c r="AG18" i="419"/>
  <c r="AK18" i="419"/>
  <c r="L18" i="419"/>
  <c r="P18" i="419"/>
  <c r="T18" i="419"/>
  <c r="X18" i="419"/>
  <c r="AB18" i="419"/>
  <c r="AF18" i="419"/>
  <c r="AJ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E23" i="419" s="1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AJ26" i="419" l="1"/>
  <c r="AJ25" i="419"/>
  <c r="C11" i="340" l="1"/>
  <c r="A16" i="383" l="1"/>
  <c r="C25" i="419" l="1"/>
  <c r="AJ27" i="419" l="1"/>
  <c r="G26" i="419"/>
  <c r="C26" i="419"/>
  <c r="B26" i="419" l="1"/>
  <c r="B27" i="419" s="1"/>
  <c r="C28" i="419"/>
  <c r="G27" i="419"/>
  <c r="C27" i="419"/>
  <c r="AJ28" i="419" l="1"/>
  <c r="G25" i="419"/>
  <c r="B25" i="419" l="1"/>
  <c r="G28" i="419"/>
  <c r="B28" i="419" s="1"/>
  <c r="A7" i="339"/>
  <c r="E6" i="419" l="1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C14" i="414"/>
  <c r="D4" i="414"/>
  <c r="C17" i="414"/>
  <c r="D17" i="414"/>
  <c r="D1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D20" i="414"/>
  <c r="C20" i="414"/>
  <c r="F13" i="339" l="1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<sst xmlns="http://schemas.openxmlformats.org/spreadsheetml/2006/main" count="2009" uniqueCount="585">
  <si>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</si>
  <si>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</si>
  <si>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</si>
  <si>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</si>
  <si>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</si>
  <si>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</si>
  <si>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</si>
  <si>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</si>
  <si>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</si>
  <si>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</si>
  <si>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</si>
  <si>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</si>
  <si>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</si>
  <si>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</si>
  <si>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</si>
  <si>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</si>
  <si>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</si>
  <si>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</si>
  <si>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</si>
  <si>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</si>
  <si>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</si>
  <si>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</si>
  <si>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</si>
  <si>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</si>
  <si>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</si>
  <si>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</si>
  <si>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</si>
  <si>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</si>
  <si>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</si>
  <si>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</si>
  <si>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</si>
  <si>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</si>
  <si>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</si>
  <si>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</si>
  <si>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</si>
  <si>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</si>
  <si>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</si>
  <si>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</si>
  <si>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</si>
  <si>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</si>
  <si>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</si>
  <si>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</si>
  <si>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</si>
  <si>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</si>
  <si>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</si>
  <si>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</si>
  <si>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</si>
  <si>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</si>
  <si>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</si>
  <si>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</si>
  <si>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</si>
  <si>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</si>
  <si>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</si>
  <si>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</si>
  <si>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</si>
  <si>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</si>
  <si>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</si>
  <si>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</si>
  <si>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</si>
  <si>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</si>
  <si>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</si>
  <si>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</si>
  <si>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</si>
  <si>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</si>
  <si>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</si>
  <si>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</si>
  <si>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</si>
  <si>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</si>
  <si>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</si>
  <si>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</si>
  <si>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</si>
  <si>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</si>
  <si>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</si>
  <si>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</si>
  <si>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</si>
  <si>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</si>
  <si>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</si>
  <si>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</si>
  <si>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</si>
  <si>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</si>
  <si>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</si>
  <si>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</si>
  <si>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</si>
  <si>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</si>
  <si>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</si>
  <si>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</si>
  <si>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</si>
  <si>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</si>
  <si>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</si>
  <si>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</si>
  <si>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</si>
  <si>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</si>
  <si>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</si>
  <si>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</si>
  <si>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</si>
  <si>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</si>
  <si>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</si>
  <si>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</si>
  <si>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</si>
  <si>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</si>
  <si>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</si>
  <si>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</si>
  <si>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</si>
  <si>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</si>
  <si>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</si>
  <si>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</si>
  <si>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</si>
  <si>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</si>
  <si>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</si>
  <si>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</si>
  <si>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</si>
  <si>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</si>
  <si>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</si>
  <si>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</si>
  <si>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</si>
  <si>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</si>
  <si>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</si>
  <si>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</si>
  <si>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</si>
  <si>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</si>
  <si>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</si>
  <si>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</si>
  <si>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</si>
  <si>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</si>
  <si>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</si>
  <si>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</si>
  <si>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</si>
  <si>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</si>
  <si>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</si>
  <si>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</si>
  <si>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</si>
  <si>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</si>
  <si>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</si>
  <si>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</si>
  <si>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</si>
  <si>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</si>
  <si>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</si>
  <si>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</si>
  <si>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</si>
  <si>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</si>
  <si>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</si>
  <si>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</si>
  <si>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</si>
  <si>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</si>
  <si>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</si>
  <si>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</si>
  <si>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</si>
  <si>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</si>
  <si>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</si>
  <si>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</si>
  <si>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</si>
  <si>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</si>
  <si>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</si>
  <si>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</si>
  <si>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</si>
  <si>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</si>
  <si>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Lékař / ATC</t>
  </si>
  <si>
    <t>101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</si>
  <si>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</si>
  <si>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</si>
  <si>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</si>
  <si>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</si>
  <si>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</si>
  <si>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</si>
  <si>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</si>
  <si>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</si>
  <si>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</si>
  <si>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</si>
  <si>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</si>
  <si>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</si>
  <si>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</si>
  <si>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</si>
  <si>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</si>
  <si>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</si>
  <si>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</si>
  <si>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</si>
  <si>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</si>
  <si>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</si>
  <si>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</si>
  <si>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</si>
  <si>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</si>
  <si>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</si>
  <si>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</si>
  <si>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</si>
  <si>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</si>
  <si>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</si>
  <si>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</si>
  <si>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</si>
  <si>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</si>
  <si>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</si>
  <si>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</si>
  <si>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</si>
  <si>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</si>
  <si>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</si>
  <si>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</si>
  <si>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</si>
  <si>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</si>
  <si>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</si>
  <si>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</si>
  <si>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</si>
  <si>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</si>
  <si>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</si>
  <si>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</si>
  <si>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</si>
  <si>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</si>
  <si>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</si>
  <si>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</si>
  <si>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</si>
  <si>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</si>
  <si>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</si>
  <si>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</si>
  <si>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</si>
  <si>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</si>
  <si>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</si>
  <si>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</si>
  <si>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</si>
  <si>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</si>
  <si>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</si>
  <si>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</si>
  <si>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</si>
  <si>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</si>
  <si>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</si>
  <si>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</si>
  <si>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</si>
  <si>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</si>
  <si>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</si>
  <si>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</si>
  <si>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</si>
  <si>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</si>
  <si>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</si>
  <si>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</si>
  <si>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</si>
  <si>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</si>
  <si>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</si>
  <si>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</si>
  <si>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</si>
  <si>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</si>
  <si>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</si>
  <si>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</si>
  <si>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</si>
  <si>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</si>
  <si>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</si>
  <si>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</si>
  <si>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</si>
  <si>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</si>
  <si>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</si>
  <si>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</si>
  <si>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</si>
  <si>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</si>
  <si>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</si>
  <si>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</si>
  <si>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</si>
  <si>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</si>
  <si>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</si>
  <si>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</si>
  <si>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50115     Zdravotnické prostředky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</si>
  <si>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</si>
  <si>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</si>
  <si>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</si>
  <si>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</si>
  <si>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</si>
  <si>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50115070     ostatní ZPr - katetry (sk.Z_513)</t>
  </si>
  <si>
    <t>50119     DDHM a textil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</si>
  <si>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</si>
  <si>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</si>
  <si>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</si>
  <si>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</si>
  <si>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</si>
  <si>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</si>
  <si>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</si>
  <si>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</si>
  <si>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</si>
  <si>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</si>
  <si>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</si>
  <si>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</si>
  <si>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</si>
  <si>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</si>
  <si>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</si>
  <si>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</si>
  <si>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</si>
  <si>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</si>
  <si>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</si>
  <si>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</si>
  <si>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</si>
  <si>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</si>
  <si>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</si>
  <si>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</si>
  <si>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</si>
  <si>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</si>
  <si>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</si>
  <si>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</si>
  <si>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</si>
  <si>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</si>
  <si>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</si>
  <si>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</si>
  <si>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</si>
  <si>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</si>
  <si>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</si>
  <si>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</si>
  <si>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</si>
  <si>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</si>
  <si>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</si>
  <si>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</si>
  <si>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</si>
  <si>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</si>
  <si>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>HVLP</t>
  </si>
  <si>
    <t>IPLP</t>
  </si>
  <si>
    <t/>
  </si>
  <si>
    <t>PZT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</si>
  <si>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</si>
  <si>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</si>
  <si>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</si>
  <si>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</si>
  <si>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</si>
  <si>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</si>
  <si>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</si>
  <si>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</si>
  <si>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</si>
  <si>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Bohanes Tomáš</t>
  </si>
  <si>
    <t>Hrabalová Monika</t>
  </si>
  <si>
    <t>Karásková Eva</t>
  </si>
  <si>
    <t>Vrzalová Drahomíra</t>
  </si>
  <si>
    <t>Potraviny pro zvláštní lékařské účely (PZLÚ)</t>
  </si>
  <si>
    <t>33526</t>
  </si>
  <si>
    <t>NUTRISON</t>
  </si>
  <si>
    <t>POR SOL 1X1000ML</t>
  </si>
  <si>
    <t>Klopidogrel</t>
  </si>
  <si>
    <t>158391</t>
  </si>
  <si>
    <t>CLOPIDOGREL ACCORD 75 MG POTAHOVANÉ TABLETY</t>
  </si>
  <si>
    <t>POR TBL FLM 30X75MG</t>
  </si>
  <si>
    <t>33331</t>
  </si>
  <si>
    <t>NUTRIDRINK BALÍČEK 5+1</t>
  </si>
  <si>
    <t>POR SOL 6X200ML</t>
  </si>
  <si>
    <t>33339</t>
  </si>
  <si>
    <t>DIASIP S PŘÍCHUTÍ JAHODOVOU</t>
  </si>
  <si>
    <t>POR SOL 1X200ML</t>
  </si>
  <si>
    <t>33340</t>
  </si>
  <si>
    <t>DIASIP S PŘÍCHUTÍ VANILKOVOU</t>
  </si>
  <si>
    <t>33342</t>
  </si>
  <si>
    <t>CUBITAN S PŘÍCHUTÍ ČOKOLÁDOVOU</t>
  </si>
  <si>
    <t>33473</t>
  </si>
  <si>
    <t>NUTRIDRINK JUICE STYLE S PŘÍCHUTÍ JAHODOVOU</t>
  </si>
  <si>
    <t>33474</t>
  </si>
  <si>
    <t>NUTRIDRINK JUICE STYLE S PŘÍCHUTÍ JABLEČNOU</t>
  </si>
  <si>
    <t>33530</t>
  </si>
  <si>
    <t>NUTRISON MULTI FIBRE</t>
  </si>
  <si>
    <t>33739</t>
  </si>
  <si>
    <t>NUTRIDRINK COMPACT PROTEIN S PŘÍCHUTÍ VANILKOVOU</t>
  </si>
  <si>
    <t>POR SOL 4X125ML</t>
  </si>
  <si>
    <t>33741</t>
  </si>
  <si>
    <t>NUTRIDRINK COMPACT PROTEIN S PŘÍCHUTÍ BANÁNOVOU</t>
  </si>
  <si>
    <t>33751</t>
  </si>
  <si>
    <t>NUTRIDRINK CREME S PŘÍCHUTÍ ČOKOLÁDOVOU</t>
  </si>
  <si>
    <t>POR SOL 4X125GM</t>
  </si>
  <si>
    <t>33750</t>
  </si>
  <si>
    <t>NUTRIDRINK CREME S PŘÍCHUTÍ VANILKOVOU</t>
  </si>
  <si>
    <t>33785</t>
  </si>
  <si>
    <t>FORTICARE S PŘÍCHUTÍ POMERANČ A CITRÓN</t>
  </si>
  <si>
    <t>33742</t>
  </si>
  <si>
    <t>NUTRIDRINK COMPACT PROTEIN S PŘÍCHUTÍ JAHODOVOU</t>
  </si>
  <si>
    <t>33677</t>
  </si>
  <si>
    <t>NUTRISON ENERGY MULTI FIBRE</t>
  </si>
  <si>
    <t>POR SOL 1X1500ML</t>
  </si>
  <si>
    <t>33422</t>
  </si>
  <si>
    <t>NUTRISON ADVANCED DIASON LOW ENERGY</t>
  </si>
  <si>
    <t>33786</t>
  </si>
  <si>
    <t>FORTICARE S PŘÍCHUTÍ BROSKEV A ZÁZVOR</t>
  </si>
  <si>
    <t>33855</t>
  </si>
  <si>
    <t>NUTRIDRINK BALÍČEK 5 + 1</t>
  </si>
  <si>
    <t>33519</t>
  </si>
  <si>
    <t>ENSURE PLUS PŘÍCHUŤ ČOKOLÁDA</t>
  </si>
  <si>
    <t>POR SOL 1X220ML</t>
  </si>
  <si>
    <t>33521</t>
  </si>
  <si>
    <t>ENSURE PLUS PŘÍCHUŤ VANILKA</t>
  </si>
  <si>
    <t>33423</t>
  </si>
  <si>
    <t>NUTRISON ADVANCED PEPTISORB</t>
  </si>
  <si>
    <t>33859</t>
  </si>
  <si>
    <t>POR SOL 4X200ML</t>
  </si>
  <si>
    <t>33329</t>
  </si>
  <si>
    <t>NUTRIDRINK YOGHURT S PŘÍCHUTÍ MALINA</t>
  </si>
  <si>
    <t>Jiná</t>
  </si>
  <si>
    <t>1000</t>
  </si>
  <si>
    <t>Jiný</t>
  </si>
  <si>
    <t>1401014</t>
  </si>
  <si>
    <t>1402001</t>
  </si>
  <si>
    <t>Chlorid draselný</t>
  </si>
  <si>
    <t>2486</t>
  </si>
  <si>
    <t>KALIUM CHLORATUM LÉČIVA 7,5%</t>
  </si>
  <si>
    <t>INJ SOL 5X10ML 7.5%</t>
  </si>
  <si>
    <t>999999</t>
  </si>
  <si>
    <t>Kyselina ursodeoxycholová</t>
  </si>
  <si>
    <t>13808</t>
  </si>
  <si>
    <t>URSOSAN</t>
  </si>
  <si>
    <t>POR CPS DUR 100X250MG</t>
  </si>
  <si>
    <t>Laktulóza</t>
  </si>
  <si>
    <t>42547</t>
  </si>
  <si>
    <t>LACTULOSE AL SIRUP</t>
  </si>
  <si>
    <t>POR SIR 1X500ML</t>
  </si>
  <si>
    <t>Omeprazol</t>
  </si>
  <si>
    <t>25366</t>
  </si>
  <si>
    <t>HELICID 20 ZENTIVA</t>
  </si>
  <si>
    <t>POR CPS ETD 90X20MG</t>
  </si>
  <si>
    <t>33322</t>
  </si>
  <si>
    <t>NUTRIDRINK S PŘÍCHUTÍ ČOKOLÁDOVOU</t>
  </si>
  <si>
    <t>33327</t>
  </si>
  <si>
    <t>NUTRIDRINK NEUTRAL</t>
  </si>
  <si>
    <t>33328</t>
  </si>
  <si>
    <t>NUTRIDRINK S PŘÍCHUTÍ TROPICKÉHO OVOCE</t>
  </si>
  <si>
    <t>33341</t>
  </si>
  <si>
    <t>CUBITAN S PŘÍCHUTÍ VANILKOVOU</t>
  </si>
  <si>
    <t>33343</t>
  </si>
  <si>
    <t>CUBITAN S PŘÍCHUTÍ JAHODOVOU</t>
  </si>
  <si>
    <t>33488</t>
  </si>
  <si>
    <t>NUTRIDRINK PROTEIN S PŘÍCHUTÍ VANILKOVOU</t>
  </si>
  <si>
    <t>33490</t>
  </si>
  <si>
    <t>NUTRIDRINK PROTEIN S PŘÍCHUTÍ LESNÍHO OVOCE</t>
  </si>
  <si>
    <t>33527</t>
  </si>
  <si>
    <t>POR SOL 1X500ML</t>
  </si>
  <si>
    <t>33531</t>
  </si>
  <si>
    <t>33704</t>
  </si>
  <si>
    <t>DIASIP S PŘÍCHUTÍ CAPPUCCINO</t>
  </si>
  <si>
    <t>33853</t>
  </si>
  <si>
    <t>NUTRIDRINK S PŘÍCHUTÍ JAHODOVOU</t>
  </si>
  <si>
    <t>33854</t>
  </si>
  <si>
    <t>NUTRIDRINK S PŘÍCHUTÍ BANÁNOVOU</t>
  </si>
  <si>
    <t>33324</t>
  </si>
  <si>
    <t>NUTRIDRINK MULTI FIBRE S PŘÍCHUTÍ JAHODOVOU</t>
  </si>
  <si>
    <t>33833</t>
  </si>
  <si>
    <t>Rabeprazol</t>
  </si>
  <si>
    <t>182072</t>
  </si>
  <si>
    <t>RABEPRAZOL MYLAN 20 MG</t>
  </si>
  <si>
    <t>POR TBL ENT 100X20MG</t>
  </si>
  <si>
    <t>Silymarin</t>
  </si>
  <si>
    <t>19571</t>
  </si>
  <si>
    <t>LAGOSA</t>
  </si>
  <si>
    <t>POR TBL OBD 100X150MG</t>
  </si>
  <si>
    <t>Tramadol</t>
  </si>
  <si>
    <t>32083</t>
  </si>
  <si>
    <t>TRALGIT GTT.</t>
  </si>
  <si>
    <t>POR GTT SOL 1X10ML</t>
  </si>
  <si>
    <t>Obvazový materiál, náplasti</t>
  </si>
  <si>
    <t>82747</t>
  </si>
  <si>
    <t>KRYTÍ VLHKÉ - KÓD PRO OZNÁMENÍ ZAČÁTKU LÉČBY</t>
  </si>
  <si>
    <t>SIGNÁLNÍ KÓD ZP - PROSTŘEDKY PRO VLHKÉ HOJENÍ RAN</t>
  </si>
  <si>
    <t>169070</t>
  </si>
  <si>
    <t>KRYTÍ MEPILEX BORDER AG,STERIL 395260</t>
  </si>
  <si>
    <t>SE SILIKONOVOU VRSTVOU SAFETAC,7X7,5CM,AKTIVNÍ ČÁST 4X4,5CM,5KS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</si>
  <si>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</si>
  <si>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</si>
  <si>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</si>
  <si>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</si>
  <si>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B01AC04 - Klopidogrel</t>
  </si>
  <si>
    <t>A06AD11 - Laktulóza</t>
  </si>
  <si>
    <t>N02AX02 - Tramadol</t>
  </si>
  <si>
    <t>V06XX</t>
  </si>
  <si>
    <t>B01AC04</t>
  </si>
  <si>
    <t>A06AD11</t>
  </si>
  <si>
    <t>N02AX02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</si>
  <si>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</si>
  <si>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</si>
  <si>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</si>
  <si>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</si>
  <si>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</si>
  <si>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</si>
  <si>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ZA324</t>
  </si>
  <si>
    <t>Náplast tegaderm 10,0 cm x 12,0 cm bal. á 50 ks 1626W</t>
  </si>
  <si>
    <t>ZA464</t>
  </si>
  <si>
    <t>Kompresa NT 10 x 10 cm / 2 ks sterilní 26520</t>
  </si>
  <si>
    <t>ZA593</t>
  </si>
  <si>
    <t>Tampon stáčený sterilní 20 x 20 cm / 5 ks 28003</t>
  </si>
  <si>
    <t>ZC854</t>
  </si>
  <si>
    <t>Kompresa NT 7,5 x 7,5 cm / 2 ks sterilní 26510</t>
  </si>
  <si>
    <t>ZD740</t>
  </si>
  <si>
    <t>Kompresa gáza sterilkompres 7,5 x 7,5 cm / 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</si>
  <si>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</si>
  <si>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</si>
  <si>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</si>
  <si>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</si>
  <si>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ZK646</t>
  </si>
  <si>
    <t>Náplast tegaderm CHG 8,5 cm x 11,5 cm na CŽK-antibakt. bal. á 25 ks 1657R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</si>
  <si>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</si>
  <si>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</si>
  <si>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</si>
  <si>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</si>
  <si>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</si>
  <si>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</si>
  <si>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</si>
  <si>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</si>
  <si>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ZB501</t>
  </si>
  <si>
    <t>Přerušovač sání fingertip sterilní bal. á 100 ks 07.031.00.000</t>
  </si>
  <si>
    <t>ZC769</t>
  </si>
  <si>
    <t>Hadička spojovací HS 1,8 x 450LL 606301-ND</t>
  </si>
  <si>
    <t>ZC863</t>
  </si>
  <si>
    <t>Hadička spojovací HS 1,8 x 1800LL 606304-ND</t>
  </si>
  <si>
    <t>ZH168</t>
  </si>
  <si>
    <t>Stříkačka injekční 3-dílná 1 ml L tuberculin s jehlou KD-JECT III 831786</t>
  </si>
  <si>
    <t>ZH546</t>
  </si>
  <si>
    <t>Flocare infinity pack set mobile 569572 ,2778307</t>
  </si>
  <si>
    <t>ZK798</t>
  </si>
  <si>
    <t>Zátka combi modrá 4495152</t>
  </si>
  <si>
    <t>ZK884</t>
  </si>
  <si>
    <t>Kohout trojcestný discofix modrý 4095111</t>
  </si>
  <si>
    <t>ZK735</t>
  </si>
  <si>
    <t>Konektor bezjehlový caresite bal. á 200 ks dohodnutá cena 7,93 Kč bez DPH 415122</t>
  </si>
  <si>
    <t>ZF973</t>
  </si>
  <si>
    <t>Hadička tlaková spojovací unicath 1,5 x 25 cm LL na obou koncích male-male bal. á 40 ks PN1202</t>
  </si>
  <si>
    <t>ZA240</t>
  </si>
  <si>
    <t>Katetr broviak 1 lumen 6,6Fr x 90 cm 0600540CE</t>
  </si>
  <si>
    <t>ZA715</t>
  </si>
  <si>
    <t>Set infuzní intrafix primeline classic 150 cm 4062957</t>
  </si>
  <si>
    <t>ZB715</t>
  </si>
  <si>
    <t>Set kangaro univ. pro enterální výživu bal. á 30 ks  S777403</t>
  </si>
  <si>
    <t>ZB556</t>
  </si>
  <si>
    <t>Jehla injekční 1,2 x 40 mm růžová 4665120</t>
  </si>
  <si>
    <t>ZC634</t>
  </si>
  <si>
    <t>Jehla portacath dětská á 12 ks 22G 21-2737-24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</si>
  <si>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</si>
  <si>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</si>
  <si>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</si>
  <si>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</si>
  <si>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</si>
  <si>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</si>
  <si>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</si>
  <si>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</si>
  <si>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</si>
  <si>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</si>
  <si>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</si>
  <si>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</si>
  <si>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</si>
  <si>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</si>
  <si>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</si>
  <si>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</si>
  <si>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</si>
  <si>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</si>
  <si>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</si>
  <si>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</si>
  <si>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</si>
  <si>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</si>
  <si>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Molitorová Ivana</t>
  </si>
  <si>
    <t>Carbolová Jaroslava</t>
  </si>
  <si>
    <t>Zdravotní výkony vykázané na pracovišti v rámci ambulantní péče dle lékařů *</t>
  </si>
  <si>
    <t>V</t>
  </si>
  <si>
    <t>11513</t>
  </si>
  <si>
    <t>PUMPOU APLIKOVANÁ ENTERÁLNÍ VÝŽIVA PROVÁDĚNÁ VE VL</t>
  </si>
  <si>
    <t>11511</t>
  </si>
  <si>
    <t>PARENTERÁLNÍ VÝŽIVA PROVÁDĚNÁ VE VLASTNÍM SOCIÁLNÍ</t>
  </si>
  <si>
    <t>708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</si>
  <si>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</si>
  <si>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</si>
  <si>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</si>
  <si>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</si>
  <si>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</si>
  <si>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</si>
  <si>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</si>
  <si>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SIGNÁLNÍ VÝKON KLINICKÉHO VYŠETŘENÍ / DO 31.12.201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</si>
  <si>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</si>
  <si>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</si>
  <si>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</si>
  <si>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</si>
  <si>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</si>
  <si>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</si>
  <si>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</si>
  <si>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</si>
  <si>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</si>
  <si>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</si>
  <si>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13 - Otolaryngologická klinika</t>
  </si>
  <si>
    <t>16 - Klinika plicních nemocí a tuberkulózy</t>
  </si>
  <si>
    <t>18 - Klinika psychiatrie</t>
  </si>
  <si>
    <t>25 - Klinika ústní,čelistní a obličejové chirurgie</t>
  </si>
  <si>
    <t>30 - Oddělení geriatrie</t>
  </si>
  <si>
    <t>31 - Traumatologické oddělení</t>
  </si>
  <si>
    <t>32 - Hemato-onkologická klinika</t>
  </si>
  <si>
    <t>02</t>
  </si>
  <si>
    <t>03</t>
  </si>
  <si>
    <t>04</t>
  </si>
  <si>
    <t>10</t>
  </si>
  <si>
    <t>11</t>
  </si>
  <si>
    <t>13</t>
  </si>
  <si>
    <t>16</t>
  </si>
  <si>
    <t>18</t>
  </si>
  <si>
    <t>25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</si>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</sst>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72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3" fillId="0" borderId="0" xfId="1" applyFont="1" applyFill="1"/>
    <xf numFmtId="3" fontId="52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4" fillId="2" borderId="77" xfId="0" applyNumberFormat="1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4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3" fontId="40" fillId="4" borderId="101" xfId="0" applyNumberFormat="1" applyFont="1" applyFill="1" applyBorder="1" applyAlignment="1">
      <alignment horizontal="center"/>
    </xf>
    <xf numFmtId="173" fontId="40" fillId="4" borderId="81" xfId="0" applyNumberFormat="1" applyFont="1" applyFill="1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0" fontId="0" fillId="0" borderId="83" xfId="0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173" fontId="40" fillId="4" borderId="97" xfId="0" applyNumberFormat="1" applyFont="1" applyFill="1" applyBorder="1" applyAlignment="1">
      <alignment horizontal="center"/>
    </xf>
    <xf numFmtId="173" fontId="33" fillId="0" borderId="83" xfId="0" applyNumberFormat="1" applyFont="1" applyBorder="1" applyAlignment="1">
      <alignment horizontal="right"/>
    </xf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33" fillId="0" borderId="87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173" fontId="33" fillId="0" borderId="103" xfId="0" applyNumberFormat="1" applyFont="1" applyBorder="1" applyAlignment="1">
      <alignment horizontal="right" wrapText="1"/>
    </xf>
    <xf numFmtId="173" fontId="33" fillId="0" borderId="87" xfId="0" applyNumberFormat="1" applyFont="1" applyBorder="1" applyAlignment="1">
      <alignment horizontal="right" wrapText="1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173" fontId="33" fillId="0" borderId="95" xfId="0" applyNumberFormat="1" applyFont="1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5" fontId="33" fillId="0" borderId="83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33" fillId="0" borderId="94" xfId="0" applyNumberFormat="1" applyFont="1" applyBorder="1" applyAlignment="1">
      <alignment horizontal="right"/>
    </xf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175" fontId="33" fillId="0" borderId="87" xfId="0" applyNumberFormat="1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4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8" fillId="0" borderId="0" xfId="0" applyFont="1" applyFill="1"/>
    <xf numFmtId="0" fontId="59" fillId="0" borderId="0" xfId="0" applyFont="1" applyFill="1"/>
    <xf numFmtId="0" fontId="3" fillId="2" borderId="123" xfId="79" applyFont="1" applyFill="1" applyBorder="1" applyAlignment="1">
      <alignment horizontal="left"/>
    </xf>
    <xf numFmtId="0" fontId="40" fillId="8" borderId="107" xfId="0" applyFont="1" applyFill="1" applyBorder="1"/>
    <xf numFmtId="0" fontId="40" fillId="8" borderId="105" xfId="0" applyFont="1" applyFill="1" applyBorder="1"/>
    <xf numFmtId="0" fontId="40" fillId="8" borderId="106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74" xfId="0" applyNumberFormat="1" applyFont="1" applyFill="1" applyBorder="1"/>
    <xf numFmtId="0" fontId="33" fillId="0" borderId="75" xfId="0" applyFont="1" applyFill="1" applyBorder="1"/>
    <xf numFmtId="3" fontId="33" fillId="0" borderId="75" xfId="0" applyNumberFormat="1" applyFont="1" applyFill="1" applyBorder="1"/>
    <xf numFmtId="3" fontId="33" fillId="0" borderId="84" xfId="0" applyNumberFormat="1" applyFont="1" applyFill="1" applyBorder="1"/>
    <xf numFmtId="0" fontId="33" fillId="0" borderId="85" xfId="0" applyFont="1" applyFill="1" applyBorder="1"/>
    <xf numFmtId="3" fontId="33" fillId="0" borderId="85" xfId="0" applyNumberFormat="1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101" xfId="0" applyNumberFormat="1" applyFont="1" applyFill="1" applyBorder="1"/>
    <xf numFmtId="3" fontId="33" fillId="0" borderId="99" xfId="0" applyNumberFormat="1" applyFont="1" applyFill="1" applyBorder="1"/>
    <xf numFmtId="3" fontId="33" fillId="0" borderId="10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0" fontId="33" fillId="0" borderId="84" xfId="0" applyFont="1" applyFill="1" applyBorder="1"/>
    <xf numFmtId="0" fontId="33" fillId="0" borderId="77" xfId="0" applyFont="1" applyFill="1" applyBorder="1"/>
    <xf numFmtId="9" fontId="33" fillId="0" borderId="75" xfId="0" applyNumberFormat="1" applyFont="1" applyFill="1" applyBorder="1"/>
    <xf numFmtId="9" fontId="33" fillId="0" borderId="76" xfId="0" applyNumberFormat="1" applyFont="1" applyFill="1" applyBorder="1"/>
    <xf numFmtId="9" fontId="33" fillId="0" borderId="85" xfId="0" applyNumberFormat="1" applyFont="1" applyFill="1" applyBorder="1"/>
    <xf numFmtId="9" fontId="33" fillId="0" borderId="86" xfId="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0" fontId="33" fillId="0" borderId="107" xfId="0" applyFont="1" applyFill="1" applyBorder="1"/>
    <xf numFmtId="0" fontId="33" fillId="0" borderId="105" xfId="0" applyFont="1" applyFill="1" applyBorder="1"/>
    <xf numFmtId="0" fontId="33" fillId="0" borderId="106" xfId="0" applyFont="1" applyFill="1" applyBorder="1"/>
    <xf numFmtId="3" fontId="33" fillId="0" borderId="97" xfId="0" applyNumberFormat="1" applyFont="1" applyFill="1" applyBorder="1"/>
    <xf numFmtId="3" fontId="33" fillId="0" borderId="87" xfId="0" applyNumberFormat="1" applyFont="1" applyFill="1" applyBorder="1"/>
    <xf numFmtId="3" fontId="33" fillId="0" borderId="95" xfId="0" applyNumberFormat="1" applyFont="1" applyFill="1" applyBorder="1"/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80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4" fontId="33" fillId="0" borderId="28" xfId="0" applyNumberFormat="1" applyFont="1" applyFill="1" applyBorder="1"/>
    <xf numFmtId="165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4" fontId="33" fillId="0" borderId="85" xfId="0" applyNumberFormat="1" applyFont="1" applyFill="1" applyBorder="1"/>
    <xf numFmtId="165" fontId="33" fillId="0" borderId="85" xfId="0" applyNumberFormat="1" applyFont="1" applyFill="1" applyBorder="1"/>
    <xf numFmtId="0" fontId="33" fillId="0" borderId="78" xfId="0" applyFont="1" applyFill="1" applyBorder="1" applyAlignment="1">
      <alignment horizontal="right"/>
    </xf>
    <xf numFmtId="0" fontId="33" fillId="0" borderId="78" xfId="0" applyFont="1" applyFill="1" applyBorder="1" applyAlignment="1">
      <alignment horizontal="left"/>
    </xf>
    <xf numFmtId="164" fontId="33" fillId="0" borderId="78" xfId="0" applyNumberFormat="1" applyFont="1" applyFill="1" applyBorder="1"/>
    <xf numFmtId="165" fontId="33" fillId="0" borderId="78" xfId="0" applyNumberFormat="1" applyFont="1" applyFill="1" applyBorder="1"/>
    <xf numFmtId="0" fontId="40" fillId="2" borderId="51" xfId="0" applyFont="1" applyFill="1" applyBorder="1"/>
    <xf numFmtId="3" fontId="40" fillId="2" borderId="124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24" xfId="0" applyNumberFormat="1" applyFont="1" applyFill="1" applyBorder="1"/>
    <xf numFmtId="3" fontId="33" fillId="0" borderId="86" xfId="0" applyNumberFormat="1" applyFont="1" applyFill="1" applyBorder="1"/>
    <xf numFmtId="3" fontId="33" fillId="0" borderId="79" xfId="0" applyNumberFormat="1" applyFont="1" applyFill="1" applyBorder="1"/>
    <xf numFmtId="3" fontId="33" fillId="0" borderId="91" xfId="0" applyNumberFormat="1" applyFont="1" applyFill="1" applyBorder="1"/>
    <xf numFmtId="9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23" xfId="0" applyFont="1" applyFill="1" applyBorder="1"/>
    <xf numFmtId="0" fontId="40" fillId="0" borderId="84" xfId="0" applyFont="1" applyFill="1" applyBorder="1"/>
    <xf numFmtId="0" fontId="40" fillId="0" borderId="129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164" fontId="33" fillId="0" borderId="28" xfId="0" applyNumberFormat="1" applyFont="1" applyFill="1" applyBorder="1" applyAlignment="1">
      <alignment horizontal="right"/>
    </xf>
    <xf numFmtId="164" fontId="33" fillId="0" borderId="85" xfId="0" applyNumberFormat="1" applyFont="1" applyFill="1" applyBorder="1" applyAlignment="1">
      <alignment horizontal="right"/>
    </xf>
    <xf numFmtId="164" fontId="33" fillId="0" borderId="78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78" xfId="0" applyNumberFormat="1" applyFont="1" applyFill="1" applyBorder="1"/>
    <xf numFmtId="0" fontId="40" fillId="0" borderId="77" xfId="0" applyFont="1" applyFill="1" applyBorder="1"/>
    <xf numFmtId="0" fontId="32" fillId="2" borderId="15" xfId="26" applyNumberFormat="1" applyFont="1" applyFill="1" applyBorder="1"/>
    <xf numFmtId="169" fontId="33" fillId="0" borderId="24" xfId="0" applyNumberFormat="1" applyFont="1" applyFill="1" applyBorder="1"/>
    <xf numFmtId="169" fontId="33" fillId="0" borderId="85" xfId="0" applyNumberFormat="1" applyFont="1" applyFill="1" applyBorder="1"/>
    <xf numFmtId="169" fontId="33" fillId="0" borderId="86" xfId="0" applyNumberFormat="1" applyFont="1" applyFill="1" applyBorder="1"/>
    <xf numFmtId="169" fontId="33" fillId="0" borderId="79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3.7194542322729127</c:v>
                </c:pt>
                <c:pt idx="1">
                  <c:v>2.981794525143072</c:v>
                </c:pt>
                <c:pt idx="2">
                  <c:v>4.2352559638321114</c:v>
                </c:pt>
                <c:pt idx="3">
                  <c:v>3.070169136669965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538976"/>
        <c:axId val="7705825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1.8668636633391968</c:v>
                </c:pt>
                <c:pt idx="1">
                  <c:v>1.8668636633391968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583728"/>
        <c:axId val="770582944"/>
      </c:scatterChart>
      <c:catAx>
        <c:axId val="3505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0582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582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50538976"/>
        <c:crosses val="autoZero"/>
        <c:crossBetween val="between"/>
      </c:valAx>
      <c:valAx>
        <c:axId val="7705837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70582944"/>
        <c:crosses val="max"/>
        <c:crossBetween val="midCat"/>
      </c:valAx>
      <c:valAx>
        <c:axId val="770582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705837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9" t="s">
        <v>106</v>
      </c>
      <c r="B1" s="319"/>
    </row>
    <row r="2" spans="1:3" ht="14.4" customHeight="1" thickBot="1" x14ac:dyDescent="0.35">
      <c r="A2" s="231" t="s">
        <v>246</v>
      </c>
      <c r="B2" s="46"/>
    </row>
    <row r="3" spans="1:3" ht="14.4" customHeight="1" thickBot="1" x14ac:dyDescent="0.35">
      <c r="A3" s="315" t="s">
        <v>135</v>
      </c>
      <c r="B3" s="316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7" t="s">
        <v>107</v>
      </c>
      <c r="B10" s="316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448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32" t="s">
        <v>449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458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532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18" t="s">
        <v>108</v>
      </c>
      <c r="B20" s="316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535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540</v>
      </c>
      <c r="C22" s="47" t="s">
        <v>222</v>
      </c>
    </row>
    <row r="23" spans="1:3" ht="14.4" customHeight="1" x14ac:dyDescent="0.3">
      <c r="A23" s="147" t="str">
        <f t="shared" si="3"/>
        <v>ZV Vykáz.-A Detail</v>
      </c>
      <c r="B23" s="90" t="s">
        <v>559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584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4" t="s">
        <v>449</v>
      </c>
      <c r="B1" s="355"/>
      <c r="C1" s="355"/>
      <c r="D1" s="355"/>
      <c r="E1" s="355"/>
      <c r="F1" s="355"/>
    </row>
    <row r="2" spans="1:6" ht="14.4" customHeight="1" thickBot="1" x14ac:dyDescent="0.35">
      <c r="A2" s="231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6" t="s">
        <v>126</v>
      </c>
      <c r="C3" s="357"/>
      <c r="D3" s="358" t="s">
        <v>125</v>
      </c>
      <c r="E3" s="357"/>
      <c r="F3" s="80" t="s">
        <v>3</v>
      </c>
    </row>
    <row r="4" spans="1:6" ht="14.4" customHeight="1" thickBot="1" x14ac:dyDescent="0.35">
      <c r="A4" s="515" t="s">
        <v>156</v>
      </c>
      <c r="B4" s="516" t="s">
        <v>13</v>
      </c>
      <c r="C4" s="517" t="s">
        <v>2</v>
      </c>
      <c r="D4" s="516" t="s">
        <v>13</v>
      </c>
      <c r="E4" s="517" t="s">
        <v>2</v>
      </c>
      <c r="F4" s="518" t="s">
        <v>13</v>
      </c>
    </row>
    <row r="5" spans="1:6" ht="14.4" customHeight="1" x14ac:dyDescent="0.3">
      <c r="A5" s="529" t="s">
        <v>319</v>
      </c>
      <c r="B5" s="116">
        <v>5799.3099999999995</v>
      </c>
      <c r="C5" s="506">
        <v>2.5058386505922479E-2</v>
      </c>
      <c r="D5" s="116">
        <v>225632.58999999997</v>
      </c>
      <c r="E5" s="506">
        <v>0.97494161349407749</v>
      </c>
      <c r="F5" s="519">
        <v>231431.89999999997</v>
      </c>
    </row>
    <row r="6" spans="1:6" ht="14.4" customHeight="1" x14ac:dyDescent="0.3">
      <c r="A6" s="530" t="s">
        <v>318</v>
      </c>
      <c r="B6" s="472"/>
      <c r="C6" s="485">
        <v>0</v>
      </c>
      <c r="D6" s="472">
        <v>8846.0400000000009</v>
      </c>
      <c r="E6" s="485">
        <v>1</v>
      </c>
      <c r="F6" s="520">
        <v>8846.0400000000009</v>
      </c>
    </row>
    <row r="7" spans="1:6" ht="14.4" customHeight="1" x14ac:dyDescent="0.3">
      <c r="A7" s="530" t="s">
        <v>321</v>
      </c>
      <c r="B7" s="472"/>
      <c r="C7" s="485">
        <v>0</v>
      </c>
      <c r="D7" s="472">
        <v>668197.82999999996</v>
      </c>
      <c r="E7" s="485">
        <v>1</v>
      </c>
      <c r="F7" s="520">
        <v>668197.82999999996</v>
      </c>
    </row>
    <row r="8" spans="1:6" ht="14.4" customHeight="1" thickBot="1" x14ac:dyDescent="0.35">
      <c r="A8" s="531" t="s">
        <v>320</v>
      </c>
      <c r="B8" s="522"/>
      <c r="C8" s="523">
        <v>0</v>
      </c>
      <c r="D8" s="522">
        <v>1895.4</v>
      </c>
      <c r="E8" s="523">
        <v>1</v>
      </c>
      <c r="F8" s="524">
        <v>1895.4</v>
      </c>
    </row>
    <row r="9" spans="1:6" ht="14.4" customHeight="1" thickBot="1" x14ac:dyDescent="0.35">
      <c r="A9" s="525" t="s">
        <v>3</v>
      </c>
      <c r="B9" s="526">
        <v>5799.3099999999995</v>
      </c>
      <c r="C9" s="527">
        <v>6.370269831809371E-3</v>
      </c>
      <c r="D9" s="526">
        <v>904571.85999999987</v>
      </c>
      <c r="E9" s="527">
        <v>0.99362973016819056</v>
      </c>
      <c r="F9" s="528">
        <v>910371.16999999993</v>
      </c>
    </row>
    <row r="10" spans="1:6" ht="14.4" customHeight="1" thickBot="1" x14ac:dyDescent="0.35"/>
    <row r="11" spans="1:6" ht="14.4" customHeight="1" x14ac:dyDescent="0.3">
      <c r="A11" s="529" t="s">
        <v>450</v>
      </c>
      <c r="B11" s="116">
        <v>5699.1999999999989</v>
      </c>
      <c r="C11" s="506">
        <v>6.2612076242683015E-3</v>
      </c>
      <c r="D11" s="116">
        <v>904540.54000000039</v>
      </c>
      <c r="E11" s="506">
        <v>0.99373879237573171</v>
      </c>
      <c r="F11" s="519">
        <v>910239.74000000034</v>
      </c>
    </row>
    <row r="12" spans="1:6" ht="14.4" customHeight="1" x14ac:dyDescent="0.3">
      <c r="A12" s="530" t="s">
        <v>451</v>
      </c>
      <c r="B12" s="472">
        <v>100.11</v>
      </c>
      <c r="C12" s="485">
        <v>1</v>
      </c>
      <c r="D12" s="472"/>
      <c r="E12" s="485">
        <v>0</v>
      </c>
      <c r="F12" s="520">
        <v>100.11</v>
      </c>
    </row>
    <row r="13" spans="1:6" ht="14.4" customHeight="1" x14ac:dyDescent="0.3">
      <c r="A13" s="530" t="s">
        <v>452</v>
      </c>
      <c r="B13" s="472"/>
      <c r="C13" s="485"/>
      <c r="D13" s="472">
        <v>0</v>
      </c>
      <c r="E13" s="485"/>
      <c r="F13" s="520">
        <v>0</v>
      </c>
    </row>
    <row r="14" spans="1:6" ht="14.4" customHeight="1" thickBot="1" x14ac:dyDescent="0.35">
      <c r="A14" s="531" t="s">
        <v>453</v>
      </c>
      <c r="B14" s="522"/>
      <c r="C14" s="523">
        <v>0</v>
      </c>
      <c r="D14" s="522">
        <v>31.32</v>
      </c>
      <c r="E14" s="523">
        <v>1</v>
      </c>
      <c r="F14" s="524">
        <v>31.32</v>
      </c>
    </row>
    <row r="15" spans="1:6" ht="14.4" customHeight="1" thickBot="1" x14ac:dyDescent="0.35">
      <c r="A15" s="525" t="s">
        <v>3</v>
      </c>
      <c r="B15" s="526">
        <v>5799.3099999999986</v>
      </c>
      <c r="C15" s="527">
        <v>6.3702698318093666E-3</v>
      </c>
      <c r="D15" s="526">
        <v>904571.86000000034</v>
      </c>
      <c r="E15" s="527">
        <v>0.99362973016819056</v>
      </c>
      <c r="F15" s="528">
        <v>910371.17000000039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{84A9C449-D848-4330-9AE9-983D7489976E}</x14:id>
        </ext>
      </extLst>
    </cfRule>
  </conditionalFormatting>
  <conditionalFormatting sqref="F11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{56F35C2A-7945-42B7-B815-C41061C5B157}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A9C449-D848-4330-9AE9-983D748997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56F35C2A-7945-42B7-B815-C41061C5B1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5" t="s">
        <v>458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9"/>
      <c r="M1" s="319"/>
    </row>
    <row r="2" spans="1:13" ht="14.4" customHeight="1" thickBot="1" x14ac:dyDescent="0.35">
      <c r="A2" s="231" t="s">
        <v>246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124</v>
      </c>
      <c r="F3" s="43">
        <f>SUBTOTAL(9,F6:F1048576)</f>
        <v>161</v>
      </c>
      <c r="G3" s="43">
        <f>SUBTOTAL(9,G6:G1048576)</f>
        <v>5799.3099999999995</v>
      </c>
      <c r="H3" s="44">
        <f>IF(M3=0,0,G3/M3)</f>
        <v>6.3702698318093684E-3</v>
      </c>
      <c r="I3" s="43">
        <f>SUBTOTAL(9,I6:I1048576)</f>
        <v>6362</v>
      </c>
      <c r="J3" s="43">
        <f>SUBTOTAL(9,J6:J1048576)</f>
        <v>904571.86000000022</v>
      </c>
      <c r="K3" s="44">
        <f>IF(M3=0,0,J3/M3)</f>
        <v>0.99362973016819056</v>
      </c>
      <c r="L3" s="43">
        <f>SUBTOTAL(9,L6:L1048576)</f>
        <v>6523</v>
      </c>
      <c r="M3" s="45">
        <f>SUBTOTAL(9,M6:M1048576)</f>
        <v>910371.17000000027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126</v>
      </c>
      <c r="G4" s="360"/>
      <c r="H4" s="361"/>
      <c r="I4" s="362" t="s">
        <v>125</v>
      </c>
      <c r="J4" s="360"/>
      <c r="K4" s="361"/>
      <c r="L4" s="363" t="s">
        <v>3</v>
      </c>
      <c r="M4" s="364"/>
    </row>
    <row r="5" spans="1:13" ht="14.4" customHeight="1" thickBot="1" x14ac:dyDescent="0.35">
      <c r="A5" s="515" t="s">
        <v>131</v>
      </c>
      <c r="B5" s="533" t="s">
        <v>127</v>
      </c>
      <c r="C5" s="533" t="s">
        <v>69</v>
      </c>
      <c r="D5" s="533" t="s">
        <v>128</v>
      </c>
      <c r="E5" s="533" t="s">
        <v>129</v>
      </c>
      <c r="F5" s="534" t="s">
        <v>27</v>
      </c>
      <c r="G5" s="534" t="s">
        <v>13</v>
      </c>
      <c r="H5" s="517" t="s">
        <v>130</v>
      </c>
      <c r="I5" s="516" t="s">
        <v>27</v>
      </c>
      <c r="J5" s="534" t="s">
        <v>13</v>
      </c>
      <c r="K5" s="517" t="s">
        <v>130</v>
      </c>
      <c r="L5" s="516" t="s">
        <v>27</v>
      </c>
      <c r="M5" s="535" t="s">
        <v>13</v>
      </c>
    </row>
    <row r="6" spans="1:13" ht="14.4" customHeight="1" x14ac:dyDescent="0.3">
      <c r="A6" s="500" t="s">
        <v>318</v>
      </c>
      <c r="B6" s="501" t="s">
        <v>454</v>
      </c>
      <c r="C6" s="501" t="s">
        <v>323</v>
      </c>
      <c r="D6" s="501" t="s">
        <v>324</v>
      </c>
      <c r="E6" s="501" t="s">
        <v>325</v>
      </c>
      <c r="F6" s="116"/>
      <c r="G6" s="116"/>
      <c r="H6" s="506">
        <v>0</v>
      </c>
      <c r="I6" s="116">
        <v>84</v>
      </c>
      <c r="J6" s="116">
        <v>8846.0400000000009</v>
      </c>
      <c r="K6" s="506">
        <v>1</v>
      </c>
      <c r="L6" s="116">
        <v>84</v>
      </c>
      <c r="M6" s="519">
        <v>8846.0400000000009</v>
      </c>
    </row>
    <row r="7" spans="1:13" ht="14.4" customHeight="1" x14ac:dyDescent="0.3">
      <c r="A7" s="481" t="s">
        <v>319</v>
      </c>
      <c r="B7" s="471" t="s">
        <v>455</v>
      </c>
      <c r="C7" s="471" t="s">
        <v>327</v>
      </c>
      <c r="D7" s="471" t="s">
        <v>328</v>
      </c>
      <c r="E7" s="471" t="s">
        <v>329</v>
      </c>
      <c r="F7" s="472">
        <v>1</v>
      </c>
      <c r="G7" s="472">
        <v>100.11</v>
      </c>
      <c r="H7" s="485">
        <v>1</v>
      </c>
      <c r="I7" s="472"/>
      <c r="J7" s="472"/>
      <c r="K7" s="485">
        <v>0</v>
      </c>
      <c r="L7" s="472">
        <v>1</v>
      </c>
      <c r="M7" s="520">
        <v>100.11</v>
      </c>
    </row>
    <row r="8" spans="1:13" ht="14.4" customHeight="1" x14ac:dyDescent="0.3">
      <c r="A8" s="481" t="s">
        <v>319</v>
      </c>
      <c r="B8" s="471" t="s">
        <v>454</v>
      </c>
      <c r="C8" s="471" t="s">
        <v>330</v>
      </c>
      <c r="D8" s="471" t="s">
        <v>331</v>
      </c>
      <c r="E8" s="471" t="s">
        <v>332</v>
      </c>
      <c r="F8" s="472"/>
      <c r="G8" s="472"/>
      <c r="H8" s="485">
        <v>0</v>
      </c>
      <c r="I8" s="472">
        <v>152</v>
      </c>
      <c r="J8" s="472">
        <v>29527.519999999997</v>
      </c>
      <c r="K8" s="485">
        <v>1</v>
      </c>
      <c r="L8" s="472">
        <v>152</v>
      </c>
      <c r="M8" s="520">
        <v>29527.519999999997</v>
      </c>
    </row>
    <row r="9" spans="1:13" ht="14.4" customHeight="1" x14ac:dyDescent="0.3">
      <c r="A9" s="481" t="s">
        <v>319</v>
      </c>
      <c r="B9" s="471" t="s">
        <v>454</v>
      </c>
      <c r="C9" s="471" t="s">
        <v>333</v>
      </c>
      <c r="D9" s="471" t="s">
        <v>334</v>
      </c>
      <c r="E9" s="471" t="s">
        <v>335</v>
      </c>
      <c r="F9" s="472"/>
      <c r="G9" s="472"/>
      <c r="H9" s="485">
        <v>0</v>
      </c>
      <c r="I9" s="472">
        <v>48</v>
      </c>
      <c r="J9" s="472">
        <v>1010.8799999999999</v>
      </c>
      <c r="K9" s="485">
        <v>1</v>
      </c>
      <c r="L9" s="472">
        <v>48</v>
      </c>
      <c r="M9" s="520">
        <v>1010.8799999999999</v>
      </c>
    </row>
    <row r="10" spans="1:13" ht="14.4" customHeight="1" x14ac:dyDescent="0.3">
      <c r="A10" s="481" t="s">
        <v>319</v>
      </c>
      <c r="B10" s="471" t="s">
        <v>454</v>
      </c>
      <c r="C10" s="471" t="s">
        <v>336</v>
      </c>
      <c r="D10" s="471" t="s">
        <v>337</v>
      </c>
      <c r="E10" s="471" t="s">
        <v>335</v>
      </c>
      <c r="F10" s="472"/>
      <c r="G10" s="472"/>
      <c r="H10" s="485">
        <v>0</v>
      </c>
      <c r="I10" s="472">
        <v>58</v>
      </c>
      <c r="J10" s="472">
        <v>1221.48</v>
      </c>
      <c r="K10" s="485">
        <v>1</v>
      </c>
      <c r="L10" s="472">
        <v>58</v>
      </c>
      <c r="M10" s="520">
        <v>1221.48</v>
      </c>
    </row>
    <row r="11" spans="1:13" ht="14.4" customHeight="1" x14ac:dyDescent="0.3">
      <c r="A11" s="481" t="s">
        <v>319</v>
      </c>
      <c r="B11" s="471" t="s">
        <v>454</v>
      </c>
      <c r="C11" s="471" t="s">
        <v>338</v>
      </c>
      <c r="D11" s="471" t="s">
        <v>339</v>
      </c>
      <c r="E11" s="471" t="s">
        <v>335</v>
      </c>
      <c r="F11" s="472"/>
      <c r="G11" s="472"/>
      <c r="H11" s="485">
        <v>0</v>
      </c>
      <c r="I11" s="472">
        <v>30</v>
      </c>
      <c r="J11" s="472">
        <v>789.9</v>
      </c>
      <c r="K11" s="485">
        <v>1</v>
      </c>
      <c r="L11" s="472">
        <v>30</v>
      </c>
      <c r="M11" s="520">
        <v>789.9</v>
      </c>
    </row>
    <row r="12" spans="1:13" ht="14.4" customHeight="1" x14ac:dyDescent="0.3">
      <c r="A12" s="481" t="s">
        <v>319</v>
      </c>
      <c r="B12" s="471" t="s">
        <v>454</v>
      </c>
      <c r="C12" s="471" t="s">
        <v>363</v>
      </c>
      <c r="D12" s="471" t="s">
        <v>364</v>
      </c>
      <c r="E12" s="471" t="s">
        <v>325</v>
      </c>
      <c r="F12" s="472"/>
      <c r="G12" s="472"/>
      <c r="H12" s="485">
        <v>0</v>
      </c>
      <c r="I12" s="472">
        <v>16</v>
      </c>
      <c r="J12" s="472">
        <v>1263.8399999999997</v>
      </c>
      <c r="K12" s="485">
        <v>1</v>
      </c>
      <c r="L12" s="472">
        <v>16</v>
      </c>
      <c r="M12" s="520">
        <v>1263.8399999999997</v>
      </c>
    </row>
    <row r="13" spans="1:13" ht="14.4" customHeight="1" x14ac:dyDescent="0.3">
      <c r="A13" s="481" t="s">
        <v>319</v>
      </c>
      <c r="B13" s="471" t="s">
        <v>454</v>
      </c>
      <c r="C13" s="471" t="s">
        <v>340</v>
      </c>
      <c r="D13" s="471" t="s">
        <v>341</v>
      </c>
      <c r="E13" s="471" t="s">
        <v>335</v>
      </c>
      <c r="F13" s="472"/>
      <c r="G13" s="472"/>
      <c r="H13" s="485">
        <v>0</v>
      </c>
      <c r="I13" s="472">
        <v>15</v>
      </c>
      <c r="J13" s="472">
        <v>473.85</v>
      </c>
      <c r="K13" s="485">
        <v>1</v>
      </c>
      <c r="L13" s="472">
        <v>15</v>
      </c>
      <c r="M13" s="520">
        <v>473.85</v>
      </c>
    </row>
    <row r="14" spans="1:13" ht="14.4" customHeight="1" x14ac:dyDescent="0.3">
      <c r="A14" s="481" t="s">
        <v>319</v>
      </c>
      <c r="B14" s="471" t="s">
        <v>454</v>
      </c>
      <c r="C14" s="471" t="s">
        <v>342</v>
      </c>
      <c r="D14" s="471" t="s">
        <v>343</v>
      </c>
      <c r="E14" s="471" t="s">
        <v>335</v>
      </c>
      <c r="F14" s="472"/>
      <c r="G14" s="472"/>
      <c r="H14" s="485">
        <v>0</v>
      </c>
      <c r="I14" s="472">
        <v>15</v>
      </c>
      <c r="J14" s="472">
        <v>473.85</v>
      </c>
      <c r="K14" s="485">
        <v>1</v>
      </c>
      <c r="L14" s="472">
        <v>15</v>
      </c>
      <c r="M14" s="520">
        <v>473.85</v>
      </c>
    </row>
    <row r="15" spans="1:13" ht="14.4" customHeight="1" x14ac:dyDescent="0.3">
      <c r="A15" s="481" t="s">
        <v>319</v>
      </c>
      <c r="B15" s="471" t="s">
        <v>454</v>
      </c>
      <c r="C15" s="471" t="s">
        <v>323</v>
      </c>
      <c r="D15" s="471" t="s">
        <v>324</v>
      </c>
      <c r="E15" s="471" t="s">
        <v>325</v>
      </c>
      <c r="F15" s="472"/>
      <c r="G15" s="472"/>
      <c r="H15" s="485">
        <v>0</v>
      </c>
      <c r="I15" s="472">
        <v>180</v>
      </c>
      <c r="J15" s="472">
        <v>18955.800000000003</v>
      </c>
      <c r="K15" s="485">
        <v>1</v>
      </c>
      <c r="L15" s="472">
        <v>180</v>
      </c>
      <c r="M15" s="520">
        <v>18955.800000000003</v>
      </c>
    </row>
    <row r="16" spans="1:13" ht="14.4" customHeight="1" x14ac:dyDescent="0.3">
      <c r="A16" s="481" t="s">
        <v>319</v>
      </c>
      <c r="B16" s="471" t="s">
        <v>454</v>
      </c>
      <c r="C16" s="471" t="s">
        <v>344</v>
      </c>
      <c r="D16" s="471" t="s">
        <v>345</v>
      </c>
      <c r="E16" s="471" t="s">
        <v>325</v>
      </c>
      <c r="F16" s="472"/>
      <c r="G16" s="472"/>
      <c r="H16" s="485">
        <v>0</v>
      </c>
      <c r="I16" s="472">
        <v>74</v>
      </c>
      <c r="J16" s="472">
        <v>8026.78</v>
      </c>
      <c r="K16" s="485">
        <v>1</v>
      </c>
      <c r="L16" s="472">
        <v>74</v>
      </c>
      <c r="M16" s="520">
        <v>8026.78</v>
      </c>
    </row>
    <row r="17" spans="1:13" ht="14.4" customHeight="1" x14ac:dyDescent="0.3">
      <c r="A17" s="481" t="s">
        <v>319</v>
      </c>
      <c r="B17" s="471" t="s">
        <v>454</v>
      </c>
      <c r="C17" s="471" t="s">
        <v>346</v>
      </c>
      <c r="D17" s="471" t="s">
        <v>347</v>
      </c>
      <c r="E17" s="471" t="s">
        <v>348</v>
      </c>
      <c r="F17" s="472"/>
      <c r="G17" s="472"/>
      <c r="H17" s="485">
        <v>0</v>
      </c>
      <c r="I17" s="472">
        <v>14</v>
      </c>
      <c r="J17" s="472">
        <v>1782.76</v>
      </c>
      <c r="K17" s="485">
        <v>1</v>
      </c>
      <c r="L17" s="472">
        <v>14</v>
      </c>
      <c r="M17" s="520">
        <v>1782.76</v>
      </c>
    </row>
    <row r="18" spans="1:13" ht="14.4" customHeight="1" x14ac:dyDescent="0.3">
      <c r="A18" s="481" t="s">
        <v>319</v>
      </c>
      <c r="B18" s="471" t="s">
        <v>454</v>
      </c>
      <c r="C18" s="471" t="s">
        <v>349</v>
      </c>
      <c r="D18" s="471" t="s">
        <v>350</v>
      </c>
      <c r="E18" s="471" t="s">
        <v>348</v>
      </c>
      <c r="F18" s="472"/>
      <c r="G18" s="472"/>
      <c r="H18" s="485">
        <v>0</v>
      </c>
      <c r="I18" s="472">
        <v>15</v>
      </c>
      <c r="J18" s="472">
        <v>1910.1</v>
      </c>
      <c r="K18" s="485">
        <v>1</v>
      </c>
      <c r="L18" s="472">
        <v>15</v>
      </c>
      <c r="M18" s="520">
        <v>1910.1</v>
      </c>
    </row>
    <row r="19" spans="1:13" ht="14.4" customHeight="1" x14ac:dyDescent="0.3">
      <c r="A19" s="481" t="s">
        <v>319</v>
      </c>
      <c r="B19" s="471" t="s">
        <v>454</v>
      </c>
      <c r="C19" s="471" t="s">
        <v>358</v>
      </c>
      <c r="D19" s="471" t="s">
        <v>359</v>
      </c>
      <c r="E19" s="471" t="s">
        <v>348</v>
      </c>
      <c r="F19" s="472"/>
      <c r="G19" s="472"/>
      <c r="H19" s="485">
        <v>0</v>
      </c>
      <c r="I19" s="472">
        <v>14</v>
      </c>
      <c r="J19" s="472">
        <v>1782.76</v>
      </c>
      <c r="K19" s="485">
        <v>1</v>
      </c>
      <c r="L19" s="472">
        <v>14</v>
      </c>
      <c r="M19" s="520">
        <v>1782.76</v>
      </c>
    </row>
    <row r="20" spans="1:13" ht="14.4" customHeight="1" x14ac:dyDescent="0.3">
      <c r="A20" s="481" t="s">
        <v>319</v>
      </c>
      <c r="B20" s="471" t="s">
        <v>454</v>
      </c>
      <c r="C20" s="471" t="s">
        <v>351</v>
      </c>
      <c r="D20" s="471" t="s">
        <v>352</v>
      </c>
      <c r="E20" s="471" t="s">
        <v>353</v>
      </c>
      <c r="F20" s="472"/>
      <c r="G20" s="472"/>
      <c r="H20" s="485">
        <v>0</v>
      </c>
      <c r="I20" s="472">
        <v>10</v>
      </c>
      <c r="J20" s="472">
        <v>848.9</v>
      </c>
      <c r="K20" s="485">
        <v>1</v>
      </c>
      <c r="L20" s="472">
        <v>10</v>
      </c>
      <c r="M20" s="520">
        <v>848.9</v>
      </c>
    </row>
    <row r="21" spans="1:13" ht="14.4" customHeight="1" x14ac:dyDescent="0.3">
      <c r="A21" s="481" t="s">
        <v>319</v>
      </c>
      <c r="B21" s="471" t="s">
        <v>454</v>
      </c>
      <c r="C21" s="471" t="s">
        <v>354</v>
      </c>
      <c r="D21" s="471" t="s">
        <v>355</v>
      </c>
      <c r="E21" s="471" t="s">
        <v>353</v>
      </c>
      <c r="F21" s="472"/>
      <c r="G21" s="472"/>
      <c r="H21" s="485">
        <v>0</v>
      </c>
      <c r="I21" s="472">
        <v>56</v>
      </c>
      <c r="J21" s="472">
        <v>4753.84</v>
      </c>
      <c r="K21" s="485">
        <v>1</v>
      </c>
      <c r="L21" s="472">
        <v>56</v>
      </c>
      <c r="M21" s="520">
        <v>4753.84</v>
      </c>
    </row>
    <row r="22" spans="1:13" ht="14.4" customHeight="1" x14ac:dyDescent="0.3">
      <c r="A22" s="481" t="s">
        <v>319</v>
      </c>
      <c r="B22" s="471" t="s">
        <v>454</v>
      </c>
      <c r="C22" s="471" t="s">
        <v>356</v>
      </c>
      <c r="D22" s="471" t="s">
        <v>357</v>
      </c>
      <c r="E22" s="471" t="s">
        <v>348</v>
      </c>
      <c r="F22" s="472"/>
      <c r="G22" s="472"/>
      <c r="H22" s="485">
        <v>0</v>
      </c>
      <c r="I22" s="472">
        <v>7</v>
      </c>
      <c r="J22" s="472">
        <v>574.28000000000009</v>
      </c>
      <c r="K22" s="485">
        <v>1</v>
      </c>
      <c r="L22" s="472">
        <v>7</v>
      </c>
      <c r="M22" s="520">
        <v>574.28000000000009</v>
      </c>
    </row>
    <row r="23" spans="1:13" ht="14.4" customHeight="1" x14ac:dyDescent="0.3">
      <c r="A23" s="481" t="s">
        <v>319</v>
      </c>
      <c r="B23" s="471" t="s">
        <v>454</v>
      </c>
      <c r="C23" s="471" t="s">
        <v>360</v>
      </c>
      <c r="D23" s="471" t="s">
        <v>361</v>
      </c>
      <c r="E23" s="471" t="s">
        <v>362</v>
      </c>
      <c r="F23" s="472"/>
      <c r="G23" s="472"/>
      <c r="H23" s="485">
        <v>0</v>
      </c>
      <c r="I23" s="472">
        <v>610</v>
      </c>
      <c r="J23" s="472">
        <v>148004.29999999999</v>
      </c>
      <c r="K23" s="485">
        <v>1</v>
      </c>
      <c r="L23" s="472">
        <v>610</v>
      </c>
      <c r="M23" s="520">
        <v>148004.29999999999</v>
      </c>
    </row>
    <row r="24" spans="1:13" ht="14.4" customHeight="1" x14ac:dyDescent="0.3">
      <c r="A24" s="481" t="s">
        <v>319</v>
      </c>
      <c r="B24" s="471" t="s">
        <v>454</v>
      </c>
      <c r="C24" s="471" t="s">
        <v>365</v>
      </c>
      <c r="D24" s="471" t="s">
        <v>366</v>
      </c>
      <c r="E24" s="471" t="s">
        <v>348</v>
      </c>
      <c r="F24" s="472"/>
      <c r="G24" s="472"/>
      <c r="H24" s="485">
        <v>0</v>
      </c>
      <c r="I24" s="472">
        <v>7</v>
      </c>
      <c r="J24" s="472">
        <v>574.28000000000009</v>
      </c>
      <c r="K24" s="485">
        <v>1</v>
      </c>
      <c r="L24" s="472">
        <v>7</v>
      </c>
      <c r="M24" s="520">
        <v>574.28000000000009</v>
      </c>
    </row>
    <row r="25" spans="1:13" ht="14.4" customHeight="1" x14ac:dyDescent="0.3">
      <c r="A25" s="481" t="s">
        <v>319</v>
      </c>
      <c r="B25" s="471" t="s">
        <v>454</v>
      </c>
      <c r="C25" s="471" t="s">
        <v>367</v>
      </c>
      <c r="D25" s="471" t="s">
        <v>368</v>
      </c>
      <c r="E25" s="471" t="s">
        <v>332</v>
      </c>
      <c r="F25" s="472"/>
      <c r="G25" s="472"/>
      <c r="H25" s="485">
        <v>0</v>
      </c>
      <c r="I25" s="472">
        <v>12</v>
      </c>
      <c r="J25" s="472">
        <v>2331.12</v>
      </c>
      <c r="K25" s="485">
        <v>1</v>
      </c>
      <c r="L25" s="472">
        <v>12</v>
      </c>
      <c r="M25" s="520">
        <v>2331.12</v>
      </c>
    </row>
    <row r="26" spans="1:13" ht="14.4" customHeight="1" x14ac:dyDescent="0.3">
      <c r="A26" s="481" t="s">
        <v>319</v>
      </c>
      <c r="B26" s="471" t="s">
        <v>454</v>
      </c>
      <c r="C26" s="471" t="s">
        <v>372</v>
      </c>
      <c r="D26" s="471" t="s">
        <v>373</v>
      </c>
      <c r="E26" s="471" t="s">
        <v>371</v>
      </c>
      <c r="F26" s="472">
        <v>80</v>
      </c>
      <c r="G26" s="472">
        <v>2849.6</v>
      </c>
      <c r="H26" s="485">
        <v>1</v>
      </c>
      <c r="I26" s="472"/>
      <c r="J26" s="472"/>
      <c r="K26" s="485">
        <v>0</v>
      </c>
      <c r="L26" s="472">
        <v>80</v>
      </c>
      <c r="M26" s="520">
        <v>2849.6</v>
      </c>
    </row>
    <row r="27" spans="1:13" ht="14.4" customHeight="1" x14ac:dyDescent="0.3">
      <c r="A27" s="481" t="s">
        <v>319</v>
      </c>
      <c r="B27" s="471" t="s">
        <v>454</v>
      </c>
      <c r="C27" s="471" t="s">
        <v>369</v>
      </c>
      <c r="D27" s="471" t="s">
        <v>370</v>
      </c>
      <c r="E27" s="471" t="s">
        <v>371</v>
      </c>
      <c r="F27" s="472">
        <v>80</v>
      </c>
      <c r="G27" s="472">
        <v>2849.6</v>
      </c>
      <c r="H27" s="485">
        <v>1</v>
      </c>
      <c r="I27" s="472"/>
      <c r="J27" s="472"/>
      <c r="K27" s="485">
        <v>0</v>
      </c>
      <c r="L27" s="472">
        <v>80</v>
      </c>
      <c r="M27" s="520">
        <v>2849.6</v>
      </c>
    </row>
    <row r="28" spans="1:13" ht="14.4" customHeight="1" x14ac:dyDescent="0.3">
      <c r="A28" s="481" t="s">
        <v>319</v>
      </c>
      <c r="B28" s="471" t="s">
        <v>454</v>
      </c>
      <c r="C28" s="471" t="s">
        <v>374</v>
      </c>
      <c r="D28" s="471" t="s">
        <v>375</v>
      </c>
      <c r="E28" s="471" t="s">
        <v>325</v>
      </c>
      <c r="F28" s="472"/>
      <c r="G28" s="472"/>
      <c r="H28" s="485">
        <v>0</v>
      </c>
      <c r="I28" s="472">
        <v>12</v>
      </c>
      <c r="J28" s="472">
        <v>1200</v>
      </c>
      <c r="K28" s="485">
        <v>1</v>
      </c>
      <c r="L28" s="472">
        <v>12</v>
      </c>
      <c r="M28" s="520">
        <v>1200</v>
      </c>
    </row>
    <row r="29" spans="1:13" ht="14.4" customHeight="1" x14ac:dyDescent="0.3">
      <c r="A29" s="481" t="s">
        <v>319</v>
      </c>
      <c r="B29" s="471" t="s">
        <v>454</v>
      </c>
      <c r="C29" s="471" t="s">
        <v>376</v>
      </c>
      <c r="D29" s="471" t="s">
        <v>343</v>
      </c>
      <c r="E29" s="471" t="s">
        <v>377</v>
      </c>
      <c r="F29" s="472"/>
      <c r="G29" s="472"/>
      <c r="H29" s="485">
        <v>0</v>
      </c>
      <c r="I29" s="472">
        <v>1</v>
      </c>
      <c r="J29" s="472">
        <v>126.35</v>
      </c>
      <c r="K29" s="485">
        <v>1</v>
      </c>
      <c r="L29" s="472">
        <v>1</v>
      </c>
      <c r="M29" s="520">
        <v>126.35</v>
      </c>
    </row>
    <row r="30" spans="1:13" ht="14.4" customHeight="1" x14ac:dyDescent="0.3">
      <c r="A30" s="481" t="s">
        <v>320</v>
      </c>
      <c r="B30" s="471" t="s">
        <v>454</v>
      </c>
      <c r="C30" s="471" t="s">
        <v>378</v>
      </c>
      <c r="D30" s="471" t="s">
        <v>379</v>
      </c>
      <c r="E30" s="471" t="s">
        <v>335</v>
      </c>
      <c r="F30" s="472"/>
      <c r="G30" s="472"/>
      <c r="H30" s="485">
        <v>0</v>
      </c>
      <c r="I30" s="472">
        <v>30</v>
      </c>
      <c r="J30" s="472">
        <v>947.7</v>
      </c>
      <c r="K30" s="485">
        <v>1</v>
      </c>
      <c r="L30" s="472">
        <v>30</v>
      </c>
      <c r="M30" s="520">
        <v>947.7</v>
      </c>
    </row>
    <row r="31" spans="1:13" ht="14.4" customHeight="1" x14ac:dyDescent="0.3">
      <c r="A31" s="481" t="s">
        <v>320</v>
      </c>
      <c r="B31" s="471" t="s">
        <v>454</v>
      </c>
      <c r="C31" s="471" t="s">
        <v>342</v>
      </c>
      <c r="D31" s="471" t="s">
        <v>343</v>
      </c>
      <c r="E31" s="471" t="s">
        <v>335</v>
      </c>
      <c r="F31" s="472"/>
      <c r="G31" s="472"/>
      <c r="H31" s="485">
        <v>0</v>
      </c>
      <c r="I31" s="472">
        <v>30</v>
      </c>
      <c r="J31" s="472">
        <v>947.7</v>
      </c>
      <c r="K31" s="485">
        <v>1</v>
      </c>
      <c r="L31" s="472">
        <v>30</v>
      </c>
      <c r="M31" s="520">
        <v>947.7</v>
      </c>
    </row>
    <row r="32" spans="1:13" ht="14.4" customHeight="1" x14ac:dyDescent="0.3">
      <c r="A32" s="481" t="s">
        <v>321</v>
      </c>
      <c r="B32" s="471" t="s">
        <v>456</v>
      </c>
      <c r="C32" s="471" t="s">
        <v>395</v>
      </c>
      <c r="D32" s="471" t="s">
        <v>396</v>
      </c>
      <c r="E32" s="471" t="s">
        <v>397</v>
      </c>
      <c r="F32" s="472"/>
      <c r="G32" s="472"/>
      <c r="H32" s="485"/>
      <c r="I32" s="472">
        <v>1</v>
      </c>
      <c r="J32" s="472">
        <v>0</v>
      </c>
      <c r="K32" s="485"/>
      <c r="L32" s="472">
        <v>1</v>
      </c>
      <c r="M32" s="520">
        <v>0</v>
      </c>
    </row>
    <row r="33" spans="1:13" ht="14.4" customHeight="1" x14ac:dyDescent="0.3">
      <c r="A33" s="481" t="s">
        <v>321</v>
      </c>
      <c r="B33" s="471" t="s">
        <v>457</v>
      </c>
      <c r="C33" s="471" t="s">
        <v>437</v>
      </c>
      <c r="D33" s="471" t="s">
        <v>438</v>
      </c>
      <c r="E33" s="471" t="s">
        <v>439</v>
      </c>
      <c r="F33" s="472"/>
      <c r="G33" s="472"/>
      <c r="H33" s="485">
        <v>0</v>
      </c>
      <c r="I33" s="472">
        <v>1</v>
      </c>
      <c r="J33" s="472">
        <v>31.32</v>
      </c>
      <c r="K33" s="485">
        <v>1</v>
      </c>
      <c r="L33" s="472">
        <v>1</v>
      </c>
      <c r="M33" s="520">
        <v>31.32</v>
      </c>
    </row>
    <row r="34" spans="1:13" ht="14.4" customHeight="1" x14ac:dyDescent="0.3">
      <c r="A34" s="481" t="s">
        <v>321</v>
      </c>
      <c r="B34" s="471" t="s">
        <v>454</v>
      </c>
      <c r="C34" s="471" t="s">
        <v>402</v>
      </c>
      <c r="D34" s="471" t="s">
        <v>403</v>
      </c>
      <c r="E34" s="471" t="s">
        <v>335</v>
      </c>
      <c r="F34" s="472"/>
      <c r="G34" s="472"/>
      <c r="H34" s="485">
        <v>0</v>
      </c>
      <c r="I34" s="472">
        <v>96</v>
      </c>
      <c r="J34" s="472">
        <v>3129.6000000000004</v>
      </c>
      <c r="K34" s="485">
        <v>1</v>
      </c>
      <c r="L34" s="472">
        <v>96</v>
      </c>
      <c r="M34" s="520">
        <v>3129.6000000000004</v>
      </c>
    </row>
    <row r="35" spans="1:13" ht="14.4" customHeight="1" x14ac:dyDescent="0.3">
      <c r="A35" s="481" t="s">
        <v>321</v>
      </c>
      <c r="B35" s="471" t="s">
        <v>454</v>
      </c>
      <c r="C35" s="471" t="s">
        <v>425</v>
      </c>
      <c r="D35" s="471" t="s">
        <v>426</v>
      </c>
      <c r="E35" s="471" t="s">
        <v>335</v>
      </c>
      <c r="F35" s="472"/>
      <c r="G35" s="472"/>
      <c r="H35" s="485">
        <v>0</v>
      </c>
      <c r="I35" s="472">
        <v>30</v>
      </c>
      <c r="J35" s="472">
        <v>992.7</v>
      </c>
      <c r="K35" s="485">
        <v>1</v>
      </c>
      <c r="L35" s="472">
        <v>30</v>
      </c>
      <c r="M35" s="520">
        <v>992.7</v>
      </c>
    </row>
    <row r="36" spans="1:13" ht="14.4" customHeight="1" x14ac:dyDescent="0.3">
      <c r="A36" s="481" t="s">
        <v>321</v>
      </c>
      <c r="B36" s="471" t="s">
        <v>454</v>
      </c>
      <c r="C36" s="471" t="s">
        <v>404</v>
      </c>
      <c r="D36" s="471" t="s">
        <v>405</v>
      </c>
      <c r="E36" s="471" t="s">
        <v>335</v>
      </c>
      <c r="F36" s="472"/>
      <c r="G36" s="472"/>
      <c r="H36" s="485">
        <v>0</v>
      </c>
      <c r="I36" s="472">
        <v>70</v>
      </c>
      <c r="J36" s="472">
        <v>2266.6000000000004</v>
      </c>
      <c r="K36" s="485">
        <v>1</v>
      </c>
      <c r="L36" s="472">
        <v>70</v>
      </c>
      <c r="M36" s="520">
        <v>2266.6000000000004</v>
      </c>
    </row>
    <row r="37" spans="1:13" ht="14.4" customHeight="1" x14ac:dyDescent="0.3">
      <c r="A37" s="481" t="s">
        <v>321</v>
      </c>
      <c r="B37" s="471" t="s">
        <v>454</v>
      </c>
      <c r="C37" s="471" t="s">
        <v>406</v>
      </c>
      <c r="D37" s="471" t="s">
        <v>407</v>
      </c>
      <c r="E37" s="471" t="s">
        <v>335</v>
      </c>
      <c r="F37" s="472"/>
      <c r="G37" s="472"/>
      <c r="H37" s="485">
        <v>0</v>
      </c>
      <c r="I37" s="472">
        <v>48</v>
      </c>
      <c r="J37" s="472">
        <v>1554.2400000000002</v>
      </c>
      <c r="K37" s="485">
        <v>1</v>
      </c>
      <c r="L37" s="472">
        <v>48</v>
      </c>
      <c r="M37" s="520">
        <v>1554.2400000000002</v>
      </c>
    </row>
    <row r="38" spans="1:13" ht="14.4" customHeight="1" x14ac:dyDescent="0.3">
      <c r="A38" s="481" t="s">
        <v>321</v>
      </c>
      <c r="B38" s="471" t="s">
        <v>454</v>
      </c>
      <c r="C38" s="471" t="s">
        <v>378</v>
      </c>
      <c r="D38" s="471" t="s">
        <v>379</v>
      </c>
      <c r="E38" s="471" t="s">
        <v>335</v>
      </c>
      <c r="F38" s="472"/>
      <c r="G38" s="472"/>
      <c r="H38" s="485">
        <v>0</v>
      </c>
      <c r="I38" s="472">
        <v>120</v>
      </c>
      <c r="J38" s="472">
        <v>3790.8</v>
      </c>
      <c r="K38" s="485">
        <v>1</v>
      </c>
      <c r="L38" s="472">
        <v>120</v>
      </c>
      <c r="M38" s="520">
        <v>3790.8</v>
      </c>
    </row>
    <row r="39" spans="1:13" ht="14.4" customHeight="1" x14ac:dyDescent="0.3">
      <c r="A39" s="481" t="s">
        <v>321</v>
      </c>
      <c r="B39" s="471" t="s">
        <v>454</v>
      </c>
      <c r="C39" s="471" t="s">
        <v>330</v>
      </c>
      <c r="D39" s="471" t="s">
        <v>331</v>
      </c>
      <c r="E39" s="471" t="s">
        <v>332</v>
      </c>
      <c r="F39" s="472"/>
      <c r="G39" s="472"/>
      <c r="H39" s="485">
        <v>0</v>
      </c>
      <c r="I39" s="472">
        <v>912</v>
      </c>
      <c r="J39" s="472">
        <v>177165.11999999997</v>
      </c>
      <c r="K39" s="485">
        <v>1</v>
      </c>
      <c r="L39" s="472">
        <v>912</v>
      </c>
      <c r="M39" s="520">
        <v>177165.11999999997</v>
      </c>
    </row>
    <row r="40" spans="1:13" ht="14.4" customHeight="1" x14ac:dyDescent="0.3">
      <c r="A40" s="481" t="s">
        <v>321</v>
      </c>
      <c r="B40" s="471" t="s">
        <v>454</v>
      </c>
      <c r="C40" s="471" t="s">
        <v>336</v>
      </c>
      <c r="D40" s="471" t="s">
        <v>337</v>
      </c>
      <c r="E40" s="471" t="s">
        <v>335</v>
      </c>
      <c r="F40" s="472"/>
      <c r="G40" s="472"/>
      <c r="H40" s="485">
        <v>0</v>
      </c>
      <c r="I40" s="472">
        <v>30</v>
      </c>
      <c r="J40" s="472">
        <v>631.79999999999995</v>
      </c>
      <c r="K40" s="485">
        <v>1</v>
      </c>
      <c r="L40" s="472">
        <v>30</v>
      </c>
      <c r="M40" s="520">
        <v>631.79999999999995</v>
      </c>
    </row>
    <row r="41" spans="1:13" ht="14.4" customHeight="1" x14ac:dyDescent="0.3">
      <c r="A41" s="481" t="s">
        <v>321</v>
      </c>
      <c r="B41" s="471" t="s">
        <v>454</v>
      </c>
      <c r="C41" s="471" t="s">
        <v>408</v>
      </c>
      <c r="D41" s="471" t="s">
        <v>409</v>
      </c>
      <c r="E41" s="471" t="s">
        <v>335</v>
      </c>
      <c r="F41" s="472"/>
      <c r="G41" s="472"/>
      <c r="H41" s="485">
        <v>0</v>
      </c>
      <c r="I41" s="472">
        <v>550</v>
      </c>
      <c r="J41" s="472">
        <v>14481.499999999998</v>
      </c>
      <c r="K41" s="485">
        <v>1</v>
      </c>
      <c r="L41" s="472">
        <v>550</v>
      </c>
      <c r="M41" s="520">
        <v>14481.499999999998</v>
      </c>
    </row>
    <row r="42" spans="1:13" ht="14.4" customHeight="1" x14ac:dyDescent="0.3">
      <c r="A42" s="481" t="s">
        <v>321</v>
      </c>
      <c r="B42" s="471" t="s">
        <v>454</v>
      </c>
      <c r="C42" s="471" t="s">
        <v>338</v>
      </c>
      <c r="D42" s="471" t="s">
        <v>339</v>
      </c>
      <c r="E42" s="471" t="s">
        <v>335</v>
      </c>
      <c r="F42" s="472"/>
      <c r="G42" s="472"/>
      <c r="H42" s="485">
        <v>0</v>
      </c>
      <c r="I42" s="472">
        <v>140</v>
      </c>
      <c r="J42" s="472">
        <v>3686.2</v>
      </c>
      <c r="K42" s="485">
        <v>1</v>
      </c>
      <c r="L42" s="472">
        <v>140</v>
      </c>
      <c r="M42" s="520">
        <v>3686.2</v>
      </c>
    </row>
    <row r="43" spans="1:13" ht="14.4" customHeight="1" x14ac:dyDescent="0.3">
      <c r="A43" s="481" t="s">
        <v>321</v>
      </c>
      <c r="B43" s="471" t="s">
        <v>454</v>
      </c>
      <c r="C43" s="471" t="s">
        <v>410</v>
      </c>
      <c r="D43" s="471" t="s">
        <v>411</v>
      </c>
      <c r="E43" s="471" t="s">
        <v>335</v>
      </c>
      <c r="F43" s="472"/>
      <c r="G43" s="472"/>
      <c r="H43" s="485">
        <v>0</v>
      </c>
      <c r="I43" s="472">
        <v>100</v>
      </c>
      <c r="J43" s="472">
        <v>2632.9999999999995</v>
      </c>
      <c r="K43" s="485">
        <v>1</v>
      </c>
      <c r="L43" s="472">
        <v>100</v>
      </c>
      <c r="M43" s="520">
        <v>2632.9999999999995</v>
      </c>
    </row>
    <row r="44" spans="1:13" ht="14.4" customHeight="1" x14ac:dyDescent="0.3">
      <c r="A44" s="481" t="s">
        <v>321</v>
      </c>
      <c r="B44" s="471" t="s">
        <v>454</v>
      </c>
      <c r="C44" s="471" t="s">
        <v>363</v>
      </c>
      <c r="D44" s="471" t="s">
        <v>364</v>
      </c>
      <c r="E44" s="471" t="s">
        <v>325</v>
      </c>
      <c r="F44" s="472"/>
      <c r="G44" s="472"/>
      <c r="H44" s="485">
        <v>0</v>
      </c>
      <c r="I44" s="472">
        <v>60</v>
      </c>
      <c r="J44" s="472">
        <v>4739.3999999999996</v>
      </c>
      <c r="K44" s="485">
        <v>1</v>
      </c>
      <c r="L44" s="472">
        <v>60</v>
      </c>
      <c r="M44" s="520">
        <v>4739.3999999999996</v>
      </c>
    </row>
    <row r="45" spans="1:13" ht="14.4" customHeight="1" x14ac:dyDescent="0.3">
      <c r="A45" s="481" t="s">
        <v>321</v>
      </c>
      <c r="B45" s="471" t="s">
        <v>454</v>
      </c>
      <c r="C45" s="471" t="s">
        <v>342</v>
      </c>
      <c r="D45" s="471" t="s">
        <v>343</v>
      </c>
      <c r="E45" s="471" t="s">
        <v>335</v>
      </c>
      <c r="F45" s="472"/>
      <c r="G45" s="472"/>
      <c r="H45" s="485">
        <v>0</v>
      </c>
      <c r="I45" s="472">
        <v>10</v>
      </c>
      <c r="J45" s="472">
        <v>315.89999999999998</v>
      </c>
      <c r="K45" s="485">
        <v>1</v>
      </c>
      <c r="L45" s="472">
        <v>10</v>
      </c>
      <c r="M45" s="520">
        <v>315.89999999999998</v>
      </c>
    </row>
    <row r="46" spans="1:13" ht="14.4" customHeight="1" x14ac:dyDescent="0.3">
      <c r="A46" s="481" t="s">
        <v>321</v>
      </c>
      <c r="B46" s="471" t="s">
        <v>454</v>
      </c>
      <c r="C46" s="471" t="s">
        <v>412</v>
      </c>
      <c r="D46" s="471" t="s">
        <v>413</v>
      </c>
      <c r="E46" s="471" t="s">
        <v>335</v>
      </c>
      <c r="F46" s="472"/>
      <c r="G46" s="472"/>
      <c r="H46" s="485">
        <v>0</v>
      </c>
      <c r="I46" s="472">
        <v>60</v>
      </c>
      <c r="J46" s="472">
        <v>1979.4</v>
      </c>
      <c r="K46" s="485">
        <v>1</v>
      </c>
      <c r="L46" s="472">
        <v>60</v>
      </c>
      <c r="M46" s="520">
        <v>1979.4</v>
      </c>
    </row>
    <row r="47" spans="1:13" ht="14.4" customHeight="1" x14ac:dyDescent="0.3">
      <c r="A47" s="481" t="s">
        <v>321</v>
      </c>
      <c r="B47" s="471" t="s">
        <v>454</v>
      </c>
      <c r="C47" s="471" t="s">
        <v>414</v>
      </c>
      <c r="D47" s="471" t="s">
        <v>415</v>
      </c>
      <c r="E47" s="471" t="s">
        <v>335</v>
      </c>
      <c r="F47" s="472"/>
      <c r="G47" s="472"/>
      <c r="H47" s="485">
        <v>0</v>
      </c>
      <c r="I47" s="472">
        <v>30</v>
      </c>
      <c r="J47" s="472">
        <v>989.7</v>
      </c>
      <c r="K47" s="485">
        <v>1</v>
      </c>
      <c r="L47" s="472">
        <v>30</v>
      </c>
      <c r="M47" s="520">
        <v>989.7</v>
      </c>
    </row>
    <row r="48" spans="1:13" ht="14.4" customHeight="1" x14ac:dyDescent="0.3">
      <c r="A48" s="481" t="s">
        <v>321</v>
      </c>
      <c r="B48" s="471" t="s">
        <v>454</v>
      </c>
      <c r="C48" s="471" t="s">
        <v>323</v>
      </c>
      <c r="D48" s="471" t="s">
        <v>324</v>
      </c>
      <c r="E48" s="471" t="s">
        <v>325</v>
      </c>
      <c r="F48" s="472"/>
      <c r="G48" s="472"/>
      <c r="H48" s="485">
        <v>0</v>
      </c>
      <c r="I48" s="472">
        <v>240</v>
      </c>
      <c r="J48" s="472">
        <v>25274.400000000001</v>
      </c>
      <c r="K48" s="485">
        <v>1</v>
      </c>
      <c r="L48" s="472">
        <v>240</v>
      </c>
      <c r="M48" s="520">
        <v>25274.400000000001</v>
      </c>
    </row>
    <row r="49" spans="1:13" ht="14.4" customHeight="1" x14ac:dyDescent="0.3">
      <c r="A49" s="481" t="s">
        <v>321</v>
      </c>
      <c r="B49" s="471" t="s">
        <v>454</v>
      </c>
      <c r="C49" s="471" t="s">
        <v>416</v>
      </c>
      <c r="D49" s="471" t="s">
        <v>324</v>
      </c>
      <c r="E49" s="471" t="s">
        <v>417</v>
      </c>
      <c r="F49" s="472"/>
      <c r="G49" s="472"/>
      <c r="H49" s="485">
        <v>0</v>
      </c>
      <c r="I49" s="472">
        <v>156</v>
      </c>
      <c r="J49" s="472">
        <v>8214.9599999999991</v>
      </c>
      <c r="K49" s="485">
        <v>1</v>
      </c>
      <c r="L49" s="472">
        <v>156</v>
      </c>
      <c r="M49" s="520">
        <v>8214.9599999999991</v>
      </c>
    </row>
    <row r="50" spans="1:13" ht="14.4" customHeight="1" x14ac:dyDescent="0.3">
      <c r="A50" s="481" t="s">
        <v>321</v>
      </c>
      <c r="B50" s="471" t="s">
        <v>454</v>
      </c>
      <c r="C50" s="471" t="s">
        <v>344</v>
      </c>
      <c r="D50" s="471" t="s">
        <v>345</v>
      </c>
      <c r="E50" s="471" t="s">
        <v>325</v>
      </c>
      <c r="F50" s="472"/>
      <c r="G50" s="472"/>
      <c r="H50" s="485">
        <v>0</v>
      </c>
      <c r="I50" s="472">
        <v>540</v>
      </c>
      <c r="J50" s="472">
        <v>58573.8</v>
      </c>
      <c r="K50" s="485">
        <v>1</v>
      </c>
      <c r="L50" s="472">
        <v>540</v>
      </c>
      <c r="M50" s="520">
        <v>58573.8</v>
      </c>
    </row>
    <row r="51" spans="1:13" ht="14.4" customHeight="1" x14ac:dyDescent="0.3">
      <c r="A51" s="481" t="s">
        <v>321</v>
      </c>
      <c r="B51" s="471" t="s">
        <v>454</v>
      </c>
      <c r="C51" s="471" t="s">
        <v>419</v>
      </c>
      <c r="D51" s="471" t="s">
        <v>420</v>
      </c>
      <c r="E51" s="471" t="s">
        <v>335</v>
      </c>
      <c r="F51" s="472"/>
      <c r="G51" s="472"/>
      <c r="H51" s="485">
        <v>0</v>
      </c>
      <c r="I51" s="472">
        <v>30</v>
      </c>
      <c r="J51" s="472">
        <v>657.3</v>
      </c>
      <c r="K51" s="485">
        <v>1</v>
      </c>
      <c r="L51" s="472">
        <v>30</v>
      </c>
      <c r="M51" s="520">
        <v>657.3</v>
      </c>
    </row>
    <row r="52" spans="1:13" ht="14.4" customHeight="1" x14ac:dyDescent="0.3">
      <c r="A52" s="481" t="s">
        <v>321</v>
      </c>
      <c r="B52" s="471" t="s">
        <v>454</v>
      </c>
      <c r="C52" s="471" t="s">
        <v>346</v>
      </c>
      <c r="D52" s="471" t="s">
        <v>347</v>
      </c>
      <c r="E52" s="471" t="s">
        <v>348</v>
      </c>
      <c r="F52" s="472"/>
      <c r="G52" s="472"/>
      <c r="H52" s="485">
        <v>0</v>
      </c>
      <c r="I52" s="472">
        <v>40</v>
      </c>
      <c r="J52" s="472">
        <v>5093.6000000000004</v>
      </c>
      <c r="K52" s="485">
        <v>1</v>
      </c>
      <c r="L52" s="472">
        <v>40</v>
      </c>
      <c r="M52" s="520">
        <v>5093.6000000000004</v>
      </c>
    </row>
    <row r="53" spans="1:13" ht="14.4" customHeight="1" x14ac:dyDescent="0.3">
      <c r="A53" s="481" t="s">
        <v>321</v>
      </c>
      <c r="B53" s="471" t="s">
        <v>454</v>
      </c>
      <c r="C53" s="471" t="s">
        <v>349</v>
      </c>
      <c r="D53" s="471" t="s">
        <v>350</v>
      </c>
      <c r="E53" s="471" t="s">
        <v>348</v>
      </c>
      <c r="F53" s="472"/>
      <c r="G53" s="472"/>
      <c r="H53" s="485">
        <v>0</v>
      </c>
      <c r="I53" s="472">
        <v>10</v>
      </c>
      <c r="J53" s="472">
        <v>1273.4000000000001</v>
      </c>
      <c r="K53" s="485">
        <v>1</v>
      </c>
      <c r="L53" s="472">
        <v>10</v>
      </c>
      <c r="M53" s="520">
        <v>1273.4000000000001</v>
      </c>
    </row>
    <row r="54" spans="1:13" ht="14.4" customHeight="1" x14ac:dyDescent="0.3">
      <c r="A54" s="481" t="s">
        <v>321</v>
      </c>
      <c r="B54" s="471" t="s">
        <v>454</v>
      </c>
      <c r="C54" s="471" t="s">
        <v>358</v>
      </c>
      <c r="D54" s="471" t="s">
        <v>359</v>
      </c>
      <c r="E54" s="471" t="s">
        <v>348</v>
      </c>
      <c r="F54" s="472"/>
      <c r="G54" s="472"/>
      <c r="H54" s="485">
        <v>0</v>
      </c>
      <c r="I54" s="472">
        <v>10</v>
      </c>
      <c r="J54" s="472">
        <v>1273.4000000000001</v>
      </c>
      <c r="K54" s="485">
        <v>1</v>
      </c>
      <c r="L54" s="472">
        <v>10</v>
      </c>
      <c r="M54" s="520">
        <v>1273.4000000000001</v>
      </c>
    </row>
    <row r="55" spans="1:13" ht="14.4" customHeight="1" x14ac:dyDescent="0.3">
      <c r="A55" s="481" t="s">
        <v>321</v>
      </c>
      <c r="B55" s="471" t="s">
        <v>454</v>
      </c>
      <c r="C55" s="471" t="s">
        <v>418</v>
      </c>
      <c r="D55" s="471" t="s">
        <v>361</v>
      </c>
      <c r="E55" s="471" t="s">
        <v>325</v>
      </c>
      <c r="F55" s="472"/>
      <c r="G55" s="472"/>
      <c r="H55" s="485">
        <v>0</v>
      </c>
      <c r="I55" s="472">
        <v>180</v>
      </c>
      <c r="J55" s="472">
        <v>29210.400000000001</v>
      </c>
      <c r="K55" s="485">
        <v>1</v>
      </c>
      <c r="L55" s="472">
        <v>180</v>
      </c>
      <c r="M55" s="520">
        <v>29210.400000000001</v>
      </c>
    </row>
    <row r="56" spans="1:13" ht="14.4" customHeight="1" x14ac:dyDescent="0.3">
      <c r="A56" s="481" t="s">
        <v>321</v>
      </c>
      <c r="B56" s="471" t="s">
        <v>454</v>
      </c>
      <c r="C56" s="471" t="s">
        <v>360</v>
      </c>
      <c r="D56" s="471" t="s">
        <v>361</v>
      </c>
      <c r="E56" s="471" t="s">
        <v>362</v>
      </c>
      <c r="F56" s="472"/>
      <c r="G56" s="472"/>
      <c r="H56" s="485">
        <v>0</v>
      </c>
      <c r="I56" s="472">
        <v>1248</v>
      </c>
      <c r="J56" s="472">
        <v>302802.24</v>
      </c>
      <c r="K56" s="485">
        <v>1</v>
      </c>
      <c r="L56" s="472">
        <v>1248</v>
      </c>
      <c r="M56" s="520">
        <v>302802.24</v>
      </c>
    </row>
    <row r="57" spans="1:13" ht="14.4" customHeight="1" x14ac:dyDescent="0.3">
      <c r="A57" s="481" t="s">
        <v>321</v>
      </c>
      <c r="B57" s="471" t="s">
        <v>454</v>
      </c>
      <c r="C57" s="471" t="s">
        <v>423</v>
      </c>
      <c r="D57" s="471" t="s">
        <v>424</v>
      </c>
      <c r="E57" s="471" t="s">
        <v>377</v>
      </c>
      <c r="F57" s="472"/>
      <c r="G57" s="472"/>
      <c r="H57" s="485">
        <v>0</v>
      </c>
      <c r="I57" s="472">
        <v>30</v>
      </c>
      <c r="J57" s="472">
        <v>3885.2999999999997</v>
      </c>
      <c r="K57" s="485">
        <v>1</v>
      </c>
      <c r="L57" s="472">
        <v>30</v>
      </c>
      <c r="M57" s="520">
        <v>3885.2999999999997</v>
      </c>
    </row>
    <row r="58" spans="1:13" ht="14.4" customHeight="1" x14ac:dyDescent="0.3">
      <c r="A58" s="481" t="s">
        <v>321</v>
      </c>
      <c r="B58" s="471" t="s">
        <v>454</v>
      </c>
      <c r="C58" s="471" t="s">
        <v>421</v>
      </c>
      <c r="D58" s="471" t="s">
        <v>422</v>
      </c>
      <c r="E58" s="471" t="s">
        <v>377</v>
      </c>
      <c r="F58" s="472"/>
      <c r="G58" s="472"/>
      <c r="H58" s="485">
        <v>0</v>
      </c>
      <c r="I58" s="472">
        <v>25</v>
      </c>
      <c r="J58" s="472">
        <v>3237.75</v>
      </c>
      <c r="K58" s="485">
        <v>1</v>
      </c>
      <c r="L58" s="472">
        <v>25</v>
      </c>
      <c r="M58" s="520">
        <v>3237.75</v>
      </c>
    </row>
    <row r="59" spans="1:13" ht="14.4" customHeight="1" x14ac:dyDescent="0.3">
      <c r="A59" s="481" t="s">
        <v>321</v>
      </c>
      <c r="B59" s="471" t="s">
        <v>454</v>
      </c>
      <c r="C59" s="471" t="s">
        <v>374</v>
      </c>
      <c r="D59" s="471" t="s">
        <v>375</v>
      </c>
      <c r="E59" s="471" t="s">
        <v>325</v>
      </c>
      <c r="F59" s="472"/>
      <c r="G59" s="472"/>
      <c r="H59" s="485">
        <v>0</v>
      </c>
      <c r="I59" s="472">
        <v>90</v>
      </c>
      <c r="J59" s="472">
        <v>9000</v>
      </c>
      <c r="K59" s="485">
        <v>1</v>
      </c>
      <c r="L59" s="472">
        <v>90</v>
      </c>
      <c r="M59" s="520">
        <v>9000</v>
      </c>
    </row>
    <row r="60" spans="1:13" ht="14.4" customHeight="1" thickBot="1" x14ac:dyDescent="0.35">
      <c r="A60" s="482" t="s">
        <v>321</v>
      </c>
      <c r="B60" s="474" t="s">
        <v>454</v>
      </c>
      <c r="C60" s="474" t="s">
        <v>427</v>
      </c>
      <c r="D60" s="474" t="s">
        <v>420</v>
      </c>
      <c r="E60" s="474" t="s">
        <v>377</v>
      </c>
      <c r="F60" s="475"/>
      <c r="G60" s="475"/>
      <c r="H60" s="487">
        <v>0</v>
      </c>
      <c r="I60" s="475">
        <v>15</v>
      </c>
      <c r="J60" s="475">
        <v>1314</v>
      </c>
      <c r="K60" s="487">
        <v>1</v>
      </c>
      <c r="L60" s="475">
        <v>15</v>
      </c>
      <c r="M60" s="521">
        <v>1314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8" t="s">
        <v>134</v>
      </c>
      <c r="B1" s="349"/>
      <c r="C1" s="349"/>
      <c r="D1" s="349"/>
      <c r="E1" s="349"/>
      <c r="F1" s="349"/>
      <c r="G1" s="320"/>
      <c r="H1" s="350"/>
      <c r="I1" s="350"/>
    </row>
    <row r="2" spans="1:10" ht="14.4" customHeight="1" thickBot="1" x14ac:dyDescent="0.35">
      <c r="A2" s="231" t="s">
        <v>246</v>
      </c>
      <c r="B2" s="207"/>
      <c r="C2" s="207"/>
      <c r="D2" s="207"/>
      <c r="E2" s="207"/>
      <c r="F2" s="207"/>
    </row>
    <row r="3" spans="1:10" ht="14.4" customHeight="1" thickBot="1" x14ac:dyDescent="0.35">
      <c r="A3" s="231"/>
      <c r="B3" s="207"/>
      <c r="C3" s="299">
        <v>2013</v>
      </c>
      <c r="D3" s="300">
        <v>2014</v>
      </c>
      <c r="E3" s="7"/>
      <c r="F3" s="343">
        <v>2015</v>
      </c>
      <c r="G3" s="344"/>
      <c r="H3" s="344"/>
      <c r="I3" s="345"/>
    </row>
    <row r="4" spans="1:10" ht="14.4" customHeight="1" thickBot="1" x14ac:dyDescent="0.35">
      <c r="A4" s="304" t="s">
        <v>0</v>
      </c>
      <c r="B4" s="305" t="s">
        <v>219</v>
      </c>
      <c r="C4" s="346" t="s">
        <v>71</v>
      </c>
      <c r="D4" s="347"/>
      <c r="E4" s="306"/>
      <c r="F4" s="301" t="s">
        <v>71</v>
      </c>
      <c r="G4" s="302" t="s">
        <v>72</v>
      </c>
      <c r="H4" s="302" t="s">
        <v>66</v>
      </c>
      <c r="I4" s="303" t="s">
        <v>73</v>
      </c>
    </row>
    <row r="5" spans="1:10" ht="14.4" customHeight="1" x14ac:dyDescent="0.3">
      <c r="A5" s="455" t="s">
        <v>309</v>
      </c>
      <c r="B5" s="456" t="s">
        <v>304</v>
      </c>
      <c r="C5" s="536" t="s">
        <v>307</v>
      </c>
      <c r="D5" s="536" t="s">
        <v>307</v>
      </c>
      <c r="E5" s="536"/>
      <c r="F5" s="536" t="s">
        <v>307</v>
      </c>
      <c r="G5" s="536" t="s">
        <v>307</v>
      </c>
      <c r="H5" s="536" t="s">
        <v>307</v>
      </c>
      <c r="I5" s="537" t="s">
        <v>307</v>
      </c>
      <c r="J5" s="457" t="s">
        <v>67</v>
      </c>
    </row>
    <row r="6" spans="1:10" ht="14.4" customHeight="1" x14ac:dyDescent="0.3">
      <c r="A6" s="455" t="s">
        <v>309</v>
      </c>
      <c r="B6" s="456" t="s">
        <v>256</v>
      </c>
      <c r="C6" s="536">
        <v>4.7450799999999997</v>
      </c>
      <c r="D6" s="536">
        <v>7.8525599999999987</v>
      </c>
      <c r="E6" s="536"/>
      <c r="F6" s="536">
        <v>14.266959999998999</v>
      </c>
      <c r="G6" s="536">
        <v>7.6666664251849994</v>
      </c>
      <c r="H6" s="536">
        <v>6.6002935748139997</v>
      </c>
      <c r="I6" s="537">
        <v>1.8609078847009746</v>
      </c>
      <c r="J6" s="457" t="s">
        <v>1</v>
      </c>
    </row>
    <row r="7" spans="1:10" ht="14.4" customHeight="1" x14ac:dyDescent="0.3">
      <c r="A7" s="455" t="s">
        <v>309</v>
      </c>
      <c r="B7" s="456" t="s">
        <v>257</v>
      </c>
      <c r="C7" s="536">
        <v>29.060000000000002</v>
      </c>
      <c r="D7" s="536">
        <v>102.08455000000001</v>
      </c>
      <c r="E7" s="536"/>
      <c r="F7" s="536">
        <v>108.39089999999999</v>
      </c>
      <c r="G7" s="536">
        <v>105.66666333842267</v>
      </c>
      <c r="H7" s="536">
        <v>2.7242366615773221</v>
      </c>
      <c r="I7" s="537">
        <v>1.0257814203222477</v>
      </c>
      <c r="J7" s="457" t="s">
        <v>1</v>
      </c>
    </row>
    <row r="8" spans="1:10" ht="14.4" customHeight="1" x14ac:dyDescent="0.3">
      <c r="A8" s="455" t="s">
        <v>309</v>
      </c>
      <c r="B8" s="456" t="s">
        <v>258</v>
      </c>
      <c r="C8" s="536">
        <v>10.680100000000001</v>
      </c>
      <c r="D8" s="536">
        <v>14.250699999999998</v>
      </c>
      <c r="E8" s="536"/>
      <c r="F8" s="536">
        <v>14.169359999999999</v>
      </c>
      <c r="G8" s="536">
        <v>17.666666110209334</v>
      </c>
      <c r="H8" s="536">
        <v>-3.497306110209335</v>
      </c>
      <c r="I8" s="537">
        <v>0.80203927054531876</v>
      </c>
      <c r="J8" s="457" t="s">
        <v>1</v>
      </c>
    </row>
    <row r="9" spans="1:10" ht="14.4" customHeight="1" x14ac:dyDescent="0.3">
      <c r="A9" s="455" t="s">
        <v>309</v>
      </c>
      <c r="B9" s="456" t="s">
        <v>259</v>
      </c>
      <c r="C9" s="536">
        <v>1.8268</v>
      </c>
      <c r="D9" s="536">
        <v>6.6139099999999997</v>
      </c>
      <c r="E9" s="536"/>
      <c r="F9" s="536">
        <v>3.4307499999999997</v>
      </c>
      <c r="G9" s="536">
        <v>5.6666664881803328</v>
      </c>
      <c r="H9" s="536">
        <v>-2.2359164881803331</v>
      </c>
      <c r="I9" s="537">
        <v>0.60542648965770962</v>
      </c>
      <c r="J9" s="457" t="s">
        <v>1</v>
      </c>
    </row>
    <row r="10" spans="1:10" ht="14.4" customHeight="1" x14ac:dyDescent="0.3">
      <c r="A10" s="455" t="s">
        <v>309</v>
      </c>
      <c r="B10" s="456" t="s">
        <v>260</v>
      </c>
      <c r="C10" s="536">
        <v>4.8778699999999997</v>
      </c>
      <c r="D10" s="536">
        <v>4.5374999999999996</v>
      </c>
      <c r="E10" s="536"/>
      <c r="F10" s="536">
        <v>4.0500000000000007</v>
      </c>
      <c r="G10" s="536">
        <v>4.9999998425119996</v>
      </c>
      <c r="H10" s="536">
        <v>-0.94999984251199887</v>
      </c>
      <c r="I10" s="537">
        <v>0.81000002551305705</v>
      </c>
      <c r="J10" s="457" t="s">
        <v>1</v>
      </c>
    </row>
    <row r="11" spans="1:10" ht="14.4" customHeight="1" x14ac:dyDescent="0.3">
      <c r="A11" s="455" t="s">
        <v>309</v>
      </c>
      <c r="B11" s="456" t="s">
        <v>261</v>
      </c>
      <c r="C11" s="536">
        <v>0</v>
      </c>
      <c r="D11" s="536">
        <v>9.2585200000000007</v>
      </c>
      <c r="E11" s="536"/>
      <c r="F11" s="536">
        <v>4.6292600000000004</v>
      </c>
      <c r="G11" s="536">
        <v>6.333333133848666</v>
      </c>
      <c r="H11" s="536">
        <v>-1.7040731338486657</v>
      </c>
      <c r="I11" s="537">
        <v>0.73093581249639283</v>
      </c>
      <c r="J11" s="457" t="s">
        <v>1</v>
      </c>
    </row>
    <row r="12" spans="1:10" ht="14.4" customHeight="1" x14ac:dyDescent="0.3">
      <c r="A12" s="455" t="s">
        <v>309</v>
      </c>
      <c r="B12" s="456" t="s">
        <v>312</v>
      </c>
      <c r="C12" s="536">
        <v>51.189850000000007</v>
      </c>
      <c r="D12" s="536">
        <v>144.59773999999999</v>
      </c>
      <c r="E12" s="536"/>
      <c r="F12" s="536">
        <v>148.93722999999898</v>
      </c>
      <c r="G12" s="536">
        <v>147.99999533835802</v>
      </c>
      <c r="H12" s="536">
        <v>0.93723466164095726</v>
      </c>
      <c r="I12" s="537">
        <v>1.0063326668321728</v>
      </c>
      <c r="J12" s="457" t="s">
        <v>310</v>
      </c>
    </row>
    <row r="14" spans="1:10" ht="14.4" customHeight="1" x14ac:dyDescent="0.3">
      <c r="A14" s="455" t="s">
        <v>309</v>
      </c>
      <c r="B14" s="456" t="s">
        <v>304</v>
      </c>
      <c r="C14" s="536" t="s">
        <v>307</v>
      </c>
      <c r="D14" s="536" t="s">
        <v>307</v>
      </c>
      <c r="E14" s="536"/>
      <c r="F14" s="536" t="s">
        <v>307</v>
      </c>
      <c r="G14" s="536" t="s">
        <v>307</v>
      </c>
      <c r="H14" s="536" t="s">
        <v>307</v>
      </c>
      <c r="I14" s="537" t="s">
        <v>307</v>
      </c>
      <c r="J14" s="457" t="s">
        <v>67</v>
      </c>
    </row>
    <row r="15" spans="1:10" ht="14.4" customHeight="1" x14ac:dyDescent="0.3">
      <c r="A15" s="455" t="s">
        <v>459</v>
      </c>
      <c r="B15" s="456" t="s">
        <v>460</v>
      </c>
      <c r="C15" s="536" t="s">
        <v>307</v>
      </c>
      <c r="D15" s="536" t="s">
        <v>307</v>
      </c>
      <c r="E15" s="536"/>
      <c r="F15" s="536" t="s">
        <v>307</v>
      </c>
      <c r="G15" s="536" t="s">
        <v>307</v>
      </c>
      <c r="H15" s="536" t="s">
        <v>307</v>
      </c>
      <c r="I15" s="537" t="s">
        <v>307</v>
      </c>
      <c r="J15" s="457" t="s">
        <v>0</v>
      </c>
    </row>
    <row r="16" spans="1:10" ht="14.4" customHeight="1" x14ac:dyDescent="0.3">
      <c r="A16" s="455" t="s">
        <v>459</v>
      </c>
      <c r="B16" s="456" t="s">
        <v>256</v>
      </c>
      <c r="C16" s="536">
        <v>4.7450799999999997</v>
      </c>
      <c r="D16" s="536">
        <v>7.8525599999999987</v>
      </c>
      <c r="E16" s="536"/>
      <c r="F16" s="536">
        <v>14.266959999998999</v>
      </c>
      <c r="G16" s="536">
        <v>7.6666664251849994</v>
      </c>
      <c r="H16" s="536">
        <v>6.6002935748139997</v>
      </c>
      <c r="I16" s="537">
        <v>1.8609078847009746</v>
      </c>
      <c r="J16" s="457" t="s">
        <v>1</v>
      </c>
    </row>
    <row r="17" spans="1:10" ht="14.4" customHeight="1" x14ac:dyDescent="0.3">
      <c r="A17" s="455" t="s">
        <v>459</v>
      </c>
      <c r="B17" s="456" t="s">
        <v>257</v>
      </c>
      <c r="C17" s="536">
        <v>29.060000000000002</v>
      </c>
      <c r="D17" s="536">
        <v>102.08455000000001</v>
      </c>
      <c r="E17" s="536"/>
      <c r="F17" s="536">
        <v>108.39089999999999</v>
      </c>
      <c r="G17" s="536">
        <v>105.66666333842267</v>
      </c>
      <c r="H17" s="536">
        <v>2.7242366615773221</v>
      </c>
      <c r="I17" s="537">
        <v>1.0257814203222477</v>
      </c>
      <c r="J17" s="457" t="s">
        <v>1</v>
      </c>
    </row>
    <row r="18" spans="1:10" ht="14.4" customHeight="1" x14ac:dyDescent="0.3">
      <c r="A18" s="455" t="s">
        <v>459</v>
      </c>
      <c r="B18" s="456" t="s">
        <v>258</v>
      </c>
      <c r="C18" s="536">
        <v>10.680100000000001</v>
      </c>
      <c r="D18" s="536">
        <v>14.250699999999998</v>
      </c>
      <c r="E18" s="536"/>
      <c r="F18" s="536">
        <v>14.169359999999999</v>
      </c>
      <c r="G18" s="536">
        <v>17.666666110209334</v>
      </c>
      <c r="H18" s="536">
        <v>-3.497306110209335</v>
      </c>
      <c r="I18" s="537">
        <v>0.80203927054531876</v>
      </c>
      <c r="J18" s="457" t="s">
        <v>1</v>
      </c>
    </row>
    <row r="19" spans="1:10" ht="14.4" customHeight="1" x14ac:dyDescent="0.3">
      <c r="A19" s="455" t="s">
        <v>459</v>
      </c>
      <c r="B19" s="456" t="s">
        <v>259</v>
      </c>
      <c r="C19" s="536">
        <v>1.8268</v>
      </c>
      <c r="D19" s="536">
        <v>6.6139099999999997</v>
      </c>
      <c r="E19" s="536"/>
      <c r="F19" s="536">
        <v>3.4307499999999997</v>
      </c>
      <c r="G19" s="536">
        <v>5.6666664881803328</v>
      </c>
      <c r="H19" s="536">
        <v>-2.2359164881803331</v>
      </c>
      <c r="I19" s="537">
        <v>0.60542648965770962</v>
      </c>
      <c r="J19" s="457" t="s">
        <v>1</v>
      </c>
    </row>
    <row r="20" spans="1:10" ht="14.4" customHeight="1" x14ac:dyDescent="0.3">
      <c r="A20" s="455" t="s">
        <v>459</v>
      </c>
      <c r="B20" s="456" t="s">
        <v>260</v>
      </c>
      <c r="C20" s="536">
        <v>4.8778699999999997</v>
      </c>
      <c r="D20" s="536">
        <v>4.5374999999999996</v>
      </c>
      <c r="E20" s="536"/>
      <c r="F20" s="536">
        <v>4.0500000000000007</v>
      </c>
      <c r="G20" s="536">
        <v>4.9999998425119996</v>
      </c>
      <c r="H20" s="536">
        <v>-0.94999984251199887</v>
      </c>
      <c r="I20" s="537">
        <v>0.81000002551305705</v>
      </c>
      <c r="J20" s="457" t="s">
        <v>1</v>
      </c>
    </row>
    <row r="21" spans="1:10" ht="14.4" customHeight="1" x14ac:dyDescent="0.3">
      <c r="A21" s="455" t="s">
        <v>459</v>
      </c>
      <c r="B21" s="456" t="s">
        <v>261</v>
      </c>
      <c r="C21" s="536">
        <v>0</v>
      </c>
      <c r="D21" s="536">
        <v>9.2585200000000007</v>
      </c>
      <c r="E21" s="536"/>
      <c r="F21" s="536">
        <v>4.6292600000000004</v>
      </c>
      <c r="G21" s="536">
        <v>6.333333133848666</v>
      </c>
      <c r="H21" s="536">
        <v>-1.7040731338486657</v>
      </c>
      <c r="I21" s="537">
        <v>0.73093581249639283</v>
      </c>
      <c r="J21" s="457" t="s">
        <v>1</v>
      </c>
    </row>
    <row r="22" spans="1:10" ht="14.4" customHeight="1" x14ac:dyDescent="0.3">
      <c r="A22" s="455" t="s">
        <v>459</v>
      </c>
      <c r="B22" s="456" t="s">
        <v>461</v>
      </c>
      <c r="C22" s="536">
        <v>51.189850000000007</v>
      </c>
      <c r="D22" s="536">
        <v>144.59773999999999</v>
      </c>
      <c r="E22" s="536"/>
      <c r="F22" s="536">
        <v>148.93722999999898</v>
      </c>
      <c r="G22" s="536">
        <v>147.99999533835802</v>
      </c>
      <c r="H22" s="536">
        <v>0.93723466164095726</v>
      </c>
      <c r="I22" s="537">
        <v>1.0063326668321728</v>
      </c>
      <c r="J22" s="457" t="s">
        <v>313</v>
      </c>
    </row>
    <row r="23" spans="1:10" ht="14.4" customHeight="1" x14ac:dyDescent="0.3">
      <c r="A23" s="455" t="s">
        <v>307</v>
      </c>
      <c r="B23" s="456" t="s">
        <v>307</v>
      </c>
      <c r="C23" s="536" t="s">
        <v>307</v>
      </c>
      <c r="D23" s="536" t="s">
        <v>307</v>
      </c>
      <c r="E23" s="536"/>
      <c r="F23" s="536" t="s">
        <v>307</v>
      </c>
      <c r="G23" s="536" t="s">
        <v>307</v>
      </c>
      <c r="H23" s="536" t="s">
        <v>307</v>
      </c>
      <c r="I23" s="537" t="s">
        <v>307</v>
      </c>
      <c r="J23" s="457" t="s">
        <v>314</v>
      </c>
    </row>
    <row r="24" spans="1:10" ht="14.4" customHeight="1" x14ac:dyDescent="0.3">
      <c r="A24" s="455" t="s">
        <v>309</v>
      </c>
      <c r="B24" s="456" t="s">
        <v>312</v>
      </c>
      <c r="C24" s="536">
        <v>51.189850000000007</v>
      </c>
      <c r="D24" s="536">
        <v>144.59773999999999</v>
      </c>
      <c r="E24" s="536"/>
      <c r="F24" s="536">
        <v>148.93722999999898</v>
      </c>
      <c r="G24" s="536">
        <v>147.99999533835802</v>
      </c>
      <c r="H24" s="536">
        <v>0.93723466164095726</v>
      </c>
      <c r="I24" s="537">
        <v>1.0063326668321728</v>
      </c>
      <c r="J24" s="457" t="s">
        <v>310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3" t="s">
        <v>532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4" customHeight="1" thickBot="1" x14ac:dyDescent="0.35">
      <c r="A2" s="231" t="s">
        <v>246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1"/>
      <c r="D3" s="352"/>
      <c r="E3" s="352"/>
      <c r="F3" s="352"/>
      <c r="G3" s="352"/>
      <c r="H3" s="142" t="s">
        <v>124</v>
      </c>
      <c r="I3" s="98">
        <f>IF(J3&lt;&gt;0,K3/J3,0)</f>
        <v>15.454729687662134</v>
      </c>
      <c r="J3" s="98">
        <f>SUBTOTAL(9,J5:J1048576)</f>
        <v>9637</v>
      </c>
      <c r="K3" s="99">
        <f>SUBTOTAL(9,K5:K1048576)</f>
        <v>148937.22999999998</v>
      </c>
    </row>
    <row r="4" spans="1:11" s="209" customFormat="1" ht="14.4" customHeight="1" thickBot="1" x14ac:dyDescent="0.35">
      <c r="A4" s="538" t="s">
        <v>4</v>
      </c>
      <c r="B4" s="539" t="s">
        <v>5</v>
      </c>
      <c r="C4" s="539" t="s">
        <v>0</v>
      </c>
      <c r="D4" s="539" t="s">
        <v>6</v>
      </c>
      <c r="E4" s="539" t="s">
        <v>7</v>
      </c>
      <c r="F4" s="539" t="s">
        <v>1</v>
      </c>
      <c r="G4" s="539" t="s">
        <v>69</v>
      </c>
      <c r="H4" s="540" t="s">
        <v>10</v>
      </c>
      <c r="I4" s="541" t="s">
        <v>137</v>
      </c>
      <c r="J4" s="541" t="s">
        <v>12</v>
      </c>
      <c r="K4" s="542" t="s">
        <v>151</v>
      </c>
    </row>
    <row r="5" spans="1:11" ht="14.4" customHeight="1" x14ac:dyDescent="0.3">
      <c r="A5" s="500" t="s">
        <v>309</v>
      </c>
      <c r="B5" s="501" t="s">
        <v>304</v>
      </c>
      <c r="C5" s="504" t="s">
        <v>459</v>
      </c>
      <c r="D5" s="543" t="s">
        <v>304</v>
      </c>
      <c r="E5" s="504" t="s">
        <v>520</v>
      </c>
      <c r="F5" s="543" t="s">
        <v>521</v>
      </c>
      <c r="G5" s="504" t="s">
        <v>462</v>
      </c>
      <c r="H5" s="504" t="s">
        <v>463</v>
      </c>
      <c r="I5" s="116">
        <v>42.447500000000005</v>
      </c>
      <c r="J5" s="116">
        <v>12</v>
      </c>
      <c r="K5" s="519">
        <v>509.36</v>
      </c>
    </row>
    <row r="6" spans="1:11" ht="14.4" customHeight="1" x14ac:dyDescent="0.3">
      <c r="A6" s="481" t="s">
        <v>309</v>
      </c>
      <c r="B6" s="471" t="s">
        <v>304</v>
      </c>
      <c r="C6" s="509" t="s">
        <v>459</v>
      </c>
      <c r="D6" s="544" t="s">
        <v>304</v>
      </c>
      <c r="E6" s="509" t="s">
        <v>520</v>
      </c>
      <c r="F6" s="544" t="s">
        <v>521</v>
      </c>
      <c r="G6" s="509" t="s">
        <v>464</v>
      </c>
      <c r="H6" s="509" t="s">
        <v>465</v>
      </c>
      <c r="I6" s="472">
        <v>4.6100000000000003</v>
      </c>
      <c r="J6" s="472">
        <v>100</v>
      </c>
      <c r="K6" s="520">
        <v>461</v>
      </c>
    </row>
    <row r="7" spans="1:11" ht="14.4" customHeight="1" x14ac:dyDescent="0.3">
      <c r="A7" s="481" t="s">
        <v>309</v>
      </c>
      <c r="B7" s="471" t="s">
        <v>304</v>
      </c>
      <c r="C7" s="509" t="s">
        <v>459</v>
      </c>
      <c r="D7" s="544" t="s">
        <v>304</v>
      </c>
      <c r="E7" s="509" t="s">
        <v>520</v>
      </c>
      <c r="F7" s="544" t="s">
        <v>521</v>
      </c>
      <c r="G7" s="509" t="s">
        <v>466</v>
      </c>
      <c r="H7" s="509" t="s">
        <v>467</v>
      </c>
      <c r="I7" s="472">
        <v>0.88</v>
      </c>
      <c r="J7" s="472">
        <v>60</v>
      </c>
      <c r="K7" s="520">
        <v>52.8</v>
      </c>
    </row>
    <row r="8" spans="1:11" ht="14.4" customHeight="1" x14ac:dyDescent="0.3">
      <c r="A8" s="481" t="s">
        <v>309</v>
      </c>
      <c r="B8" s="471" t="s">
        <v>304</v>
      </c>
      <c r="C8" s="509" t="s">
        <v>459</v>
      </c>
      <c r="D8" s="544" t="s">
        <v>304</v>
      </c>
      <c r="E8" s="509" t="s">
        <v>520</v>
      </c>
      <c r="F8" s="544" t="s">
        <v>521</v>
      </c>
      <c r="G8" s="509" t="s">
        <v>468</v>
      </c>
      <c r="H8" s="509" t="s">
        <v>469</v>
      </c>
      <c r="I8" s="472">
        <v>0.59499999999999997</v>
      </c>
      <c r="J8" s="472">
        <v>1000</v>
      </c>
      <c r="K8" s="520">
        <v>595</v>
      </c>
    </row>
    <row r="9" spans="1:11" ht="14.4" customHeight="1" x14ac:dyDescent="0.3">
      <c r="A9" s="481" t="s">
        <v>309</v>
      </c>
      <c r="B9" s="471" t="s">
        <v>304</v>
      </c>
      <c r="C9" s="509" t="s">
        <v>459</v>
      </c>
      <c r="D9" s="544" t="s">
        <v>304</v>
      </c>
      <c r="E9" s="509" t="s">
        <v>520</v>
      </c>
      <c r="F9" s="544" t="s">
        <v>521</v>
      </c>
      <c r="G9" s="509" t="s">
        <v>470</v>
      </c>
      <c r="H9" s="509" t="s">
        <v>471</v>
      </c>
      <c r="I9" s="472">
        <v>1.1739999999999999</v>
      </c>
      <c r="J9" s="472">
        <v>2400</v>
      </c>
      <c r="K9" s="520">
        <v>2819</v>
      </c>
    </row>
    <row r="10" spans="1:11" ht="14.4" customHeight="1" x14ac:dyDescent="0.3">
      <c r="A10" s="481" t="s">
        <v>309</v>
      </c>
      <c r="B10" s="471" t="s">
        <v>304</v>
      </c>
      <c r="C10" s="509" t="s">
        <v>459</v>
      </c>
      <c r="D10" s="544" t="s">
        <v>304</v>
      </c>
      <c r="E10" s="509" t="s">
        <v>520</v>
      </c>
      <c r="F10" s="544" t="s">
        <v>521</v>
      </c>
      <c r="G10" s="509" t="s">
        <v>472</v>
      </c>
      <c r="H10" s="509" t="s">
        <v>473</v>
      </c>
      <c r="I10" s="472">
        <v>0.56000000000000005</v>
      </c>
      <c r="J10" s="472">
        <v>500</v>
      </c>
      <c r="K10" s="520">
        <v>280</v>
      </c>
    </row>
    <row r="11" spans="1:11" ht="14.4" customHeight="1" x14ac:dyDescent="0.3">
      <c r="A11" s="481" t="s">
        <v>309</v>
      </c>
      <c r="B11" s="471" t="s">
        <v>304</v>
      </c>
      <c r="C11" s="509" t="s">
        <v>459</v>
      </c>
      <c r="D11" s="544" t="s">
        <v>304</v>
      </c>
      <c r="E11" s="509" t="s">
        <v>520</v>
      </c>
      <c r="F11" s="544" t="s">
        <v>521</v>
      </c>
      <c r="G11" s="509" t="s">
        <v>474</v>
      </c>
      <c r="H11" s="509" t="s">
        <v>475</v>
      </c>
      <c r="I11" s="472">
        <v>0.86</v>
      </c>
      <c r="J11" s="472">
        <v>100</v>
      </c>
      <c r="K11" s="520">
        <v>86</v>
      </c>
    </row>
    <row r="12" spans="1:11" ht="14.4" customHeight="1" x14ac:dyDescent="0.3">
      <c r="A12" s="481" t="s">
        <v>309</v>
      </c>
      <c r="B12" s="471" t="s">
        <v>304</v>
      </c>
      <c r="C12" s="509" t="s">
        <v>459</v>
      </c>
      <c r="D12" s="544" t="s">
        <v>304</v>
      </c>
      <c r="E12" s="509" t="s">
        <v>520</v>
      </c>
      <c r="F12" s="544" t="s">
        <v>521</v>
      </c>
      <c r="G12" s="509" t="s">
        <v>476</v>
      </c>
      <c r="H12" s="509" t="s">
        <v>477</v>
      </c>
      <c r="I12" s="472">
        <v>1.52</v>
      </c>
      <c r="J12" s="472">
        <v>100</v>
      </c>
      <c r="K12" s="520">
        <v>152</v>
      </c>
    </row>
    <row r="13" spans="1:11" ht="14.4" customHeight="1" x14ac:dyDescent="0.3">
      <c r="A13" s="481" t="s">
        <v>309</v>
      </c>
      <c r="B13" s="471" t="s">
        <v>304</v>
      </c>
      <c r="C13" s="509" t="s">
        <v>459</v>
      </c>
      <c r="D13" s="544" t="s">
        <v>304</v>
      </c>
      <c r="E13" s="509" t="s">
        <v>520</v>
      </c>
      <c r="F13" s="544" t="s">
        <v>521</v>
      </c>
      <c r="G13" s="509" t="s">
        <v>478</v>
      </c>
      <c r="H13" s="509" t="s">
        <v>479</v>
      </c>
      <c r="I13" s="472">
        <v>186.24</v>
      </c>
      <c r="J13" s="472">
        <v>50</v>
      </c>
      <c r="K13" s="520">
        <v>9311.7999999999993</v>
      </c>
    </row>
    <row r="14" spans="1:11" ht="14.4" customHeight="1" x14ac:dyDescent="0.3">
      <c r="A14" s="481" t="s">
        <v>309</v>
      </c>
      <c r="B14" s="471" t="s">
        <v>304</v>
      </c>
      <c r="C14" s="509" t="s">
        <v>459</v>
      </c>
      <c r="D14" s="544" t="s">
        <v>304</v>
      </c>
      <c r="E14" s="509" t="s">
        <v>522</v>
      </c>
      <c r="F14" s="544" t="s">
        <v>523</v>
      </c>
      <c r="G14" s="509" t="s">
        <v>480</v>
      </c>
      <c r="H14" s="509" t="s">
        <v>481</v>
      </c>
      <c r="I14" s="472">
        <v>2.97</v>
      </c>
      <c r="J14" s="472">
        <v>15</v>
      </c>
      <c r="K14" s="520">
        <v>44.55</v>
      </c>
    </row>
    <row r="15" spans="1:11" ht="14.4" customHeight="1" x14ac:dyDescent="0.3">
      <c r="A15" s="481" t="s">
        <v>309</v>
      </c>
      <c r="B15" s="471" t="s">
        <v>304</v>
      </c>
      <c r="C15" s="509" t="s">
        <v>459</v>
      </c>
      <c r="D15" s="544" t="s">
        <v>304</v>
      </c>
      <c r="E15" s="509" t="s">
        <v>522</v>
      </c>
      <c r="F15" s="544" t="s">
        <v>523</v>
      </c>
      <c r="G15" s="509" t="s">
        <v>482</v>
      </c>
      <c r="H15" s="509" t="s">
        <v>483</v>
      </c>
      <c r="I15" s="472">
        <v>11.14</v>
      </c>
      <c r="J15" s="472">
        <v>100</v>
      </c>
      <c r="K15" s="520">
        <v>1114</v>
      </c>
    </row>
    <row r="16" spans="1:11" ht="14.4" customHeight="1" x14ac:dyDescent="0.3">
      <c r="A16" s="481" t="s">
        <v>309</v>
      </c>
      <c r="B16" s="471" t="s">
        <v>304</v>
      </c>
      <c r="C16" s="509" t="s">
        <v>459</v>
      </c>
      <c r="D16" s="544" t="s">
        <v>304</v>
      </c>
      <c r="E16" s="509" t="s">
        <v>522</v>
      </c>
      <c r="F16" s="544" t="s">
        <v>523</v>
      </c>
      <c r="G16" s="509" t="s">
        <v>484</v>
      </c>
      <c r="H16" s="509" t="s">
        <v>485</v>
      </c>
      <c r="I16" s="472">
        <v>1.0920000000000001</v>
      </c>
      <c r="J16" s="472">
        <v>900</v>
      </c>
      <c r="K16" s="520">
        <v>982</v>
      </c>
    </row>
    <row r="17" spans="1:11" ht="14.4" customHeight="1" x14ac:dyDescent="0.3">
      <c r="A17" s="481" t="s">
        <v>309</v>
      </c>
      <c r="B17" s="471" t="s">
        <v>304</v>
      </c>
      <c r="C17" s="509" t="s">
        <v>459</v>
      </c>
      <c r="D17" s="544" t="s">
        <v>304</v>
      </c>
      <c r="E17" s="509" t="s">
        <v>522</v>
      </c>
      <c r="F17" s="544" t="s">
        <v>523</v>
      </c>
      <c r="G17" s="509" t="s">
        <v>486</v>
      </c>
      <c r="H17" s="509" t="s">
        <v>487</v>
      </c>
      <c r="I17" s="472">
        <v>1.6733333333333331</v>
      </c>
      <c r="J17" s="472">
        <v>855</v>
      </c>
      <c r="K17" s="520">
        <v>1432.15</v>
      </c>
    </row>
    <row r="18" spans="1:11" ht="14.4" customHeight="1" x14ac:dyDescent="0.3">
      <c r="A18" s="481" t="s">
        <v>309</v>
      </c>
      <c r="B18" s="471" t="s">
        <v>304</v>
      </c>
      <c r="C18" s="509" t="s">
        <v>459</v>
      </c>
      <c r="D18" s="544" t="s">
        <v>304</v>
      </c>
      <c r="E18" s="509" t="s">
        <v>522</v>
      </c>
      <c r="F18" s="544" t="s">
        <v>523</v>
      </c>
      <c r="G18" s="509" t="s">
        <v>488</v>
      </c>
      <c r="H18" s="509" t="s">
        <v>489</v>
      </c>
      <c r="I18" s="472">
        <v>2.6349999999999998</v>
      </c>
      <c r="J18" s="472">
        <v>20</v>
      </c>
      <c r="K18" s="520">
        <v>52.7</v>
      </c>
    </row>
    <row r="19" spans="1:11" ht="14.4" customHeight="1" x14ac:dyDescent="0.3">
      <c r="A19" s="481" t="s">
        <v>309</v>
      </c>
      <c r="B19" s="471" t="s">
        <v>304</v>
      </c>
      <c r="C19" s="509" t="s">
        <v>459</v>
      </c>
      <c r="D19" s="544" t="s">
        <v>304</v>
      </c>
      <c r="E19" s="509" t="s">
        <v>522</v>
      </c>
      <c r="F19" s="544" t="s">
        <v>523</v>
      </c>
      <c r="G19" s="509" t="s">
        <v>490</v>
      </c>
      <c r="H19" s="509" t="s">
        <v>491</v>
      </c>
      <c r="I19" s="472">
        <v>5.13</v>
      </c>
      <c r="J19" s="472">
        <v>310</v>
      </c>
      <c r="K19" s="520">
        <v>1590.3000000000002</v>
      </c>
    </row>
    <row r="20" spans="1:11" ht="14.4" customHeight="1" x14ac:dyDescent="0.3">
      <c r="A20" s="481" t="s">
        <v>309</v>
      </c>
      <c r="B20" s="471" t="s">
        <v>304</v>
      </c>
      <c r="C20" s="509" t="s">
        <v>459</v>
      </c>
      <c r="D20" s="544" t="s">
        <v>304</v>
      </c>
      <c r="E20" s="509" t="s">
        <v>522</v>
      </c>
      <c r="F20" s="544" t="s">
        <v>523</v>
      </c>
      <c r="G20" s="509" t="s">
        <v>492</v>
      </c>
      <c r="H20" s="509" t="s">
        <v>493</v>
      </c>
      <c r="I20" s="472">
        <v>7.9485714285714284</v>
      </c>
      <c r="J20" s="472">
        <v>380</v>
      </c>
      <c r="K20" s="520">
        <v>3020.6</v>
      </c>
    </row>
    <row r="21" spans="1:11" ht="14.4" customHeight="1" x14ac:dyDescent="0.3">
      <c r="A21" s="481" t="s">
        <v>309</v>
      </c>
      <c r="B21" s="471" t="s">
        <v>304</v>
      </c>
      <c r="C21" s="509" t="s">
        <v>459</v>
      </c>
      <c r="D21" s="544" t="s">
        <v>304</v>
      </c>
      <c r="E21" s="509" t="s">
        <v>522</v>
      </c>
      <c r="F21" s="544" t="s">
        <v>523</v>
      </c>
      <c r="G21" s="509" t="s">
        <v>494</v>
      </c>
      <c r="H21" s="509" t="s">
        <v>495</v>
      </c>
      <c r="I21" s="472">
        <v>1.94</v>
      </c>
      <c r="J21" s="472">
        <v>80</v>
      </c>
      <c r="K21" s="520">
        <v>155.19999999999999</v>
      </c>
    </row>
    <row r="22" spans="1:11" ht="14.4" customHeight="1" x14ac:dyDescent="0.3">
      <c r="A22" s="481" t="s">
        <v>309</v>
      </c>
      <c r="B22" s="471" t="s">
        <v>304</v>
      </c>
      <c r="C22" s="509" t="s">
        <v>459</v>
      </c>
      <c r="D22" s="544" t="s">
        <v>304</v>
      </c>
      <c r="E22" s="509" t="s">
        <v>522</v>
      </c>
      <c r="F22" s="544" t="s">
        <v>523</v>
      </c>
      <c r="G22" s="509" t="s">
        <v>496</v>
      </c>
      <c r="H22" s="509" t="s">
        <v>497</v>
      </c>
      <c r="I22" s="472">
        <v>217.38249999999996</v>
      </c>
      <c r="J22" s="472">
        <v>450</v>
      </c>
      <c r="K22" s="520">
        <v>97793.7</v>
      </c>
    </row>
    <row r="23" spans="1:11" ht="14.4" customHeight="1" x14ac:dyDescent="0.3">
      <c r="A23" s="481" t="s">
        <v>309</v>
      </c>
      <c r="B23" s="471" t="s">
        <v>304</v>
      </c>
      <c r="C23" s="509" t="s">
        <v>459</v>
      </c>
      <c r="D23" s="544" t="s">
        <v>304</v>
      </c>
      <c r="E23" s="509" t="s">
        <v>522</v>
      </c>
      <c r="F23" s="544" t="s">
        <v>523</v>
      </c>
      <c r="G23" s="509" t="s">
        <v>498</v>
      </c>
      <c r="H23" s="509" t="s">
        <v>499</v>
      </c>
      <c r="I23" s="472">
        <v>0.48</v>
      </c>
      <c r="J23" s="472">
        <v>30</v>
      </c>
      <c r="K23" s="520">
        <v>14.4</v>
      </c>
    </row>
    <row r="24" spans="1:11" ht="14.4" customHeight="1" x14ac:dyDescent="0.3">
      <c r="A24" s="481" t="s">
        <v>309</v>
      </c>
      <c r="B24" s="471" t="s">
        <v>304</v>
      </c>
      <c r="C24" s="509" t="s">
        <v>459</v>
      </c>
      <c r="D24" s="544" t="s">
        <v>304</v>
      </c>
      <c r="E24" s="509" t="s">
        <v>522</v>
      </c>
      <c r="F24" s="544" t="s">
        <v>523</v>
      </c>
      <c r="G24" s="509" t="s">
        <v>500</v>
      </c>
      <c r="H24" s="509" t="s">
        <v>501</v>
      </c>
      <c r="I24" s="472">
        <v>4.03</v>
      </c>
      <c r="J24" s="472">
        <v>50</v>
      </c>
      <c r="K24" s="520">
        <v>201.5</v>
      </c>
    </row>
    <row r="25" spans="1:11" ht="14.4" customHeight="1" x14ac:dyDescent="0.3">
      <c r="A25" s="481" t="s">
        <v>309</v>
      </c>
      <c r="B25" s="471" t="s">
        <v>304</v>
      </c>
      <c r="C25" s="509" t="s">
        <v>459</v>
      </c>
      <c r="D25" s="544" t="s">
        <v>304</v>
      </c>
      <c r="E25" s="509" t="s">
        <v>522</v>
      </c>
      <c r="F25" s="544" t="s">
        <v>523</v>
      </c>
      <c r="G25" s="509" t="s">
        <v>502</v>
      </c>
      <c r="H25" s="509" t="s">
        <v>503</v>
      </c>
      <c r="I25" s="472">
        <v>9.5949999999999989</v>
      </c>
      <c r="J25" s="472">
        <v>50</v>
      </c>
      <c r="K25" s="520">
        <v>479.7</v>
      </c>
    </row>
    <row r="26" spans="1:11" ht="14.4" customHeight="1" x14ac:dyDescent="0.3">
      <c r="A26" s="481" t="s">
        <v>309</v>
      </c>
      <c r="B26" s="471" t="s">
        <v>304</v>
      </c>
      <c r="C26" s="509" t="s">
        <v>459</v>
      </c>
      <c r="D26" s="544" t="s">
        <v>304</v>
      </c>
      <c r="E26" s="509" t="s">
        <v>522</v>
      </c>
      <c r="F26" s="544" t="s">
        <v>523</v>
      </c>
      <c r="G26" s="509" t="s">
        <v>504</v>
      </c>
      <c r="H26" s="509" t="s">
        <v>505</v>
      </c>
      <c r="I26" s="472">
        <v>37.75</v>
      </c>
      <c r="J26" s="472">
        <v>40</v>
      </c>
      <c r="K26" s="520">
        <v>1510.1</v>
      </c>
    </row>
    <row r="27" spans="1:11" ht="14.4" customHeight="1" x14ac:dyDescent="0.3">
      <c r="A27" s="481" t="s">
        <v>309</v>
      </c>
      <c r="B27" s="471" t="s">
        <v>304</v>
      </c>
      <c r="C27" s="509" t="s">
        <v>459</v>
      </c>
      <c r="D27" s="544" t="s">
        <v>304</v>
      </c>
      <c r="E27" s="509" t="s">
        <v>524</v>
      </c>
      <c r="F27" s="544" t="s">
        <v>525</v>
      </c>
      <c r="G27" s="509" t="s">
        <v>506</v>
      </c>
      <c r="H27" s="509" t="s">
        <v>507</v>
      </c>
      <c r="I27" s="472">
        <v>4629.26</v>
      </c>
      <c r="J27" s="472">
        <v>1</v>
      </c>
      <c r="K27" s="520">
        <v>4629.26</v>
      </c>
    </row>
    <row r="28" spans="1:11" ht="14.4" customHeight="1" x14ac:dyDescent="0.3">
      <c r="A28" s="481" t="s">
        <v>309</v>
      </c>
      <c r="B28" s="471" t="s">
        <v>304</v>
      </c>
      <c r="C28" s="509" t="s">
        <v>459</v>
      </c>
      <c r="D28" s="544" t="s">
        <v>304</v>
      </c>
      <c r="E28" s="509" t="s">
        <v>526</v>
      </c>
      <c r="F28" s="544" t="s">
        <v>527</v>
      </c>
      <c r="G28" s="509" t="s">
        <v>508</v>
      </c>
      <c r="H28" s="509" t="s">
        <v>509</v>
      </c>
      <c r="I28" s="472">
        <v>8.17</v>
      </c>
      <c r="J28" s="472">
        <v>540</v>
      </c>
      <c r="K28" s="520">
        <v>4411.8</v>
      </c>
    </row>
    <row r="29" spans="1:11" ht="14.4" customHeight="1" x14ac:dyDescent="0.3">
      <c r="A29" s="481" t="s">
        <v>309</v>
      </c>
      <c r="B29" s="471" t="s">
        <v>304</v>
      </c>
      <c r="C29" s="509" t="s">
        <v>459</v>
      </c>
      <c r="D29" s="544" t="s">
        <v>304</v>
      </c>
      <c r="E29" s="509" t="s">
        <v>526</v>
      </c>
      <c r="F29" s="544" t="s">
        <v>527</v>
      </c>
      <c r="G29" s="509" t="s">
        <v>510</v>
      </c>
      <c r="H29" s="509" t="s">
        <v>511</v>
      </c>
      <c r="I29" s="472">
        <v>162.625</v>
      </c>
      <c r="J29" s="472">
        <v>60</v>
      </c>
      <c r="K29" s="520">
        <v>9757.5600000000013</v>
      </c>
    </row>
    <row r="30" spans="1:11" ht="14.4" customHeight="1" x14ac:dyDescent="0.3">
      <c r="A30" s="481" t="s">
        <v>309</v>
      </c>
      <c r="B30" s="471" t="s">
        <v>304</v>
      </c>
      <c r="C30" s="509" t="s">
        <v>459</v>
      </c>
      <c r="D30" s="544" t="s">
        <v>304</v>
      </c>
      <c r="E30" s="509" t="s">
        <v>528</v>
      </c>
      <c r="F30" s="544" t="s">
        <v>529</v>
      </c>
      <c r="G30" s="509" t="s">
        <v>512</v>
      </c>
      <c r="H30" s="509" t="s">
        <v>513</v>
      </c>
      <c r="I30" s="472">
        <v>0.48399999999999999</v>
      </c>
      <c r="J30" s="472">
        <v>870</v>
      </c>
      <c r="K30" s="520">
        <v>419.3</v>
      </c>
    </row>
    <row r="31" spans="1:11" ht="14.4" customHeight="1" x14ac:dyDescent="0.3">
      <c r="A31" s="481" t="s">
        <v>309</v>
      </c>
      <c r="B31" s="471" t="s">
        <v>304</v>
      </c>
      <c r="C31" s="509" t="s">
        <v>459</v>
      </c>
      <c r="D31" s="544" t="s">
        <v>304</v>
      </c>
      <c r="E31" s="509" t="s">
        <v>528</v>
      </c>
      <c r="F31" s="544" t="s">
        <v>529</v>
      </c>
      <c r="G31" s="509" t="s">
        <v>514</v>
      </c>
      <c r="H31" s="509" t="s">
        <v>515</v>
      </c>
      <c r="I31" s="472">
        <v>125.48</v>
      </c>
      <c r="J31" s="472">
        <v>24</v>
      </c>
      <c r="K31" s="520">
        <v>3011.45</v>
      </c>
    </row>
    <row r="32" spans="1:11" ht="14.4" customHeight="1" x14ac:dyDescent="0.3">
      <c r="A32" s="481" t="s">
        <v>309</v>
      </c>
      <c r="B32" s="471" t="s">
        <v>304</v>
      </c>
      <c r="C32" s="509" t="s">
        <v>459</v>
      </c>
      <c r="D32" s="544" t="s">
        <v>304</v>
      </c>
      <c r="E32" s="509" t="s">
        <v>530</v>
      </c>
      <c r="F32" s="544" t="s">
        <v>531</v>
      </c>
      <c r="G32" s="509" t="s">
        <v>516</v>
      </c>
      <c r="H32" s="509" t="s">
        <v>517</v>
      </c>
      <c r="I32" s="472">
        <v>7.5</v>
      </c>
      <c r="J32" s="472">
        <v>380</v>
      </c>
      <c r="K32" s="520">
        <v>2850</v>
      </c>
    </row>
    <row r="33" spans="1:11" ht="14.4" customHeight="1" thickBot="1" x14ac:dyDescent="0.35">
      <c r="A33" s="482" t="s">
        <v>309</v>
      </c>
      <c r="B33" s="474" t="s">
        <v>304</v>
      </c>
      <c r="C33" s="513" t="s">
        <v>459</v>
      </c>
      <c r="D33" s="545" t="s">
        <v>304</v>
      </c>
      <c r="E33" s="513" t="s">
        <v>530</v>
      </c>
      <c r="F33" s="545" t="s">
        <v>531</v>
      </c>
      <c r="G33" s="513" t="s">
        <v>518</v>
      </c>
      <c r="H33" s="513" t="s">
        <v>519</v>
      </c>
      <c r="I33" s="475">
        <v>7.5</v>
      </c>
      <c r="J33" s="475">
        <v>160</v>
      </c>
      <c r="K33" s="521">
        <v>1200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K1"/>
    </sheetView>
  </sheetViews>
  <sheetFormatPr defaultRowHeight="14.4" outlineLevelRow="1" x14ac:dyDescent="0.3"/>
  <cols>
    <col min="1" max="1" width="37.21875" customWidth="1"/>
    <col min="2" max="37" width="13.109375" customWidth="1"/>
  </cols>
  <sheetData>
    <row r="1" spans="1:37" ht="18.600000000000001" thickBot="1" x14ac:dyDescent="0.4">
      <c r="A1" s="380" t="s">
        <v>104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</row>
    <row r="2" spans="1:37" ht="15" thickBot="1" x14ac:dyDescent="0.35">
      <c r="A2" s="231" t="s">
        <v>246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</row>
    <row r="3" spans="1:37" x14ac:dyDescent="0.3">
      <c r="A3" s="252" t="s">
        <v>179</v>
      </c>
      <c r="B3" s="381" t="s">
        <v>158</v>
      </c>
      <c r="C3" s="233">
        <v>0</v>
      </c>
      <c r="D3" s="234">
        <v>101</v>
      </c>
      <c r="E3" s="234">
        <v>102</v>
      </c>
      <c r="F3" s="254">
        <v>203</v>
      </c>
      <c r="G3" s="254">
        <v>305</v>
      </c>
      <c r="H3" s="254">
        <v>306</v>
      </c>
      <c r="I3" s="254">
        <v>407</v>
      </c>
      <c r="J3" s="254">
        <v>408</v>
      </c>
      <c r="K3" s="254">
        <v>409</v>
      </c>
      <c r="L3" s="254">
        <v>410</v>
      </c>
      <c r="M3" s="254">
        <v>415</v>
      </c>
      <c r="N3" s="254">
        <v>416</v>
      </c>
      <c r="O3" s="254">
        <v>418</v>
      </c>
      <c r="P3" s="254">
        <v>419</v>
      </c>
      <c r="Q3" s="254">
        <v>420</v>
      </c>
      <c r="R3" s="254">
        <v>421</v>
      </c>
      <c r="S3" s="254">
        <v>522</v>
      </c>
      <c r="T3" s="254">
        <v>523</v>
      </c>
      <c r="U3" s="254">
        <v>524</v>
      </c>
      <c r="V3" s="254">
        <v>525</v>
      </c>
      <c r="W3" s="254">
        <v>526</v>
      </c>
      <c r="X3" s="254">
        <v>527</v>
      </c>
      <c r="Y3" s="254">
        <v>528</v>
      </c>
      <c r="Z3" s="254">
        <v>629</v>
      </c>
      <c r="AA3" s="254">
        <v>630</v>
      </c>
      <c r="AB3" s="254">
        <v>636</v>
      </c>
      <c r="AC3" s="254">
        <v>637</v>
      </c>
      <c r="AD3" s="254">
        <v>640</v>
      </c>
      <c r="AE3" s="254">
        <v>642</v>
      </c>
      <c r="AF3" s="254">
        <v>743</v>
      </c>
      <c r="AG3" s="234">
        <v>745</v>
      </c>
      <c r="AH3" s="234">
        <v>746</v>
      </c>
      <c r="AI3" s="234">
        <v>747</v>
      </c>
      <c r="AJ3" s="234">
        <v>930</v>
      </c>
      <c r="AK3" s="235">
        <v>940</v>
      </c>
    </row>
    <row r="4" spans="1:37" ht="36.6" outlineLevel="1" thickBot="1" x14ac:dyDescent="0.35">
      <c r="A4" s="253">
        <v>2015</v>
      </c>
      <c r="B4" s="382"/>
      <c r="C4" s="236" t="s">
        <v>159</v>
      </c>
      <c r="D4" s="237" t="s">
        <v>160</v>
      </c>
      <c r="E4" s="237" t="s">
        <v>161</v>
      </c>
      <c r="F4" s="255" t="s">
        <v>162</v>
      </c>
      <c r="G4" s="255" t="s">
        <v>191</v>
      </c>
      <c r="H4" s="255" t="s">
        <v>192</v>
      </c>
      <c r="I4" s="255" t="s">
        <v>244</v>
      </c>
      <c r="J4" s="255" t="s">
        <v>193</v>
      </c>
      <c r="K4" s="255" t="s">
        <v>194</v>
      </c>
      <c r="L4" s="255" t="s">
        <v>195</v>
      </c>
      <c r="M4" s="255" t="s">
        <v>196</v>
      </c>
      <c r="N4" s="255" t="s">
        <v>197</v>
      </c>
      <c r="O4" s="255" t="s">
        <v>198</v>
      </c>
      <c r="P4" s="255" t="s">
        <v>199</v>
      </c>
      <c r="Q4" s="255" t="s">
        <v>200</v>
      </c>
      <c r="R4" s="255" t="s">
        <v>201</v>
      </c>
      <c r="S4" s="255" t="s">
        <v>202</v>
      </c>
      <c r="T4" s="255" t="s">
        <v>203</v>
      </c>
      <c r="U4" s="255" t="s">
        <v>204</v>
      </c>
      <c r="V4" s="255" t="s">
        <v>205</v>
      </c>
      <c r="W4" s="255" t="s">
        <v>206</v>
      </c>
      <c r="X4" s="255" t="s">
        <v>207</v>
      </c>
      <c r="Y4" s="255" t="s">
        <v>217</v>
      </c>
      <c r="Z4" s="255" t="s">
        <v>208</v>
      </c>
      <c r="AA4" s="255" t="s">
        <v>218</v>
      </c>
      <c r="AB4" s="255" t="s">
        <v>209</v>
      </c>
      <c r="AC4" s="255" t="s">
        <v>210</v>
      </c>
      <c r="AD4" s="255" t="s">
        <v>211</v>
      </c>
      <c r="AE4" s="255" t="s">
        <v>212</v>
      </c>
      <c r="AF4" s="255" t="s">
        <v>213</v>
      </c>
      <c r="AG4" s="237" t="s">
        <v>214</v>
      </c>
      <c r="AH4" s="237" t="s">
        <v>215</v>
      </c>
      <c r="AI4" s="237" t="s">
        <v>216</v>
      </c>
      <c r="AJ4" s="237" t="s">
        <v>181</v>
      </c>
      <c r="AK4" s="238" t="s">
        <v>163</v>
      </c>
    </row>
    <row r="5" spans="1:37" x14ac:dyDescent="0.3">
      <c r="A5" s="239" t="s">
        <v>164</v>
      </c>
      <c r="B5" s="280"/>
      <c r="C5" s="281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3"/>
    </row>
    <row r="6" spans="1:37" ht="15" collapsed="1" thickBot="1" x14ac:dyDescent="0.35">
      <c r="A6" s="240" t="s">
        <v>71</v>
      </c>
      <c r="B6" s="284" t="e">
        <f xml:space="preserve">
TRUNC(IF($A$4&lt;=12,SUMIFS(#REF!,#REF!,$A$4,#REF!,1),SUMIFS(#REF!,#REF!,1)/#REF!),1)</f>
        <v>#REF!</v>
      </c>
      <c r="C6" s="285" t="e">
        <f xml:space="preserve">
TRUNC(IF($A$4&lt;=12,SUMIFS(#REF!,#REF!,$A$4,#REF!,1),SUMIFS(#REF!,#REF!,1)/#REF!),1)</f>
        <v>#REF!</v>
      </c>
      <c r="D6" s="286" t="e">
        <f xml:space="preserve">
TRUNC(IF($A$4&lt;=12,SUMIFS(#REF!,#REF!,$A$4,#REF!,1),SUMIFS(#REF!,#REF!,1)/#REF!),1)</f>
        <v>#REF!</v>
      </c>
      <c r="E6" s="286" t="e">
        <f xml:space="preserve">
TRUNC(IF($A$4&lt;=12,SUMIFS(#REF!,#REF!,$A$4,#REF!,1),SUMIFS(#REF!,#REF!,1)/#REF!),1)</f>
        <v>#REF!</v>
      </c>
      <c r="F6" s="286" t="e">
        <f xml:space="preserve">
TRUNC(IF($A$4&lt;=12,SUMIFS(#REF!,#REF!,$A$4,#REF!,1),SUMIFS(#REF!,#REF!,1)/#REF!),1)</f>
        <v>#REF!</v>
      </c>
      <c r="G6" s="286" t="e">
        <f xml:space="preserve">
TRUNC(IF($A$4&lt;=12,SUMIFS(#REF!,#REF!,$A$4,#REF!,1),SUMIFS(#REF!,#REF!,1)/#REF!),1)</f>
        <v>#REF!</v>
      </c>
      <c r="H6" s="286" t="e">
        <f xml:space="preserve">
TRUNC(IF($A$4&lt;=12,SUMIFS(#REF!,#REF!,$A$4,#REF!,1),SUMIFS(#REF!,#REF!,1)/#REF!),1)</f>
        <v>#REF!</v>
      </c>
      <c r="I6" s="286" t="e">
        <f xml:space="preserve">
TRUNC(IF($A$4&lt;=12,SUMIFS(#REF!,#REF!,$A$4,#REF!,1),SUMIFS(#REF!,#REF!,1)/#REF!),1)</f>
        <v>#REF!</v>
      </c>
      <c r="J6" s="286" t="e">
        <f xml:space="preserve">
TRUNC(IF($A$4&lt;=12,SUMIFS(#REF!,#REF!,$A$4,#REF!,1),SUMIFS(#REF!,#REF!,1)/#REF!),1)</f>
        <v>#REF!</v>
      </c>
      <c r="K6" s="286" t="e">
        <f xml:space="preserve">
TRUNC(IF($A$4&lt;=12,SUMIFS(#REF!,#REF!,$A$4,#REF!,1),SUMIFS(#REF!,#REF!,1)/#REF!),1)</f>
        <v>#REF!</v>
      </c>
      <c r="L6" s="286" t="e">
        <f xml:space="preserve">
TRUNC(IF($A$4&lt;=12,SUMIFS(#REF!,#REF!,$A$4,#REF!,1),SUMIFS(#REF!,#REF!,1)/#REF!),1)</f>
        <v>#REF!</v>
      </c>
      <c r="M6" s="286" t="e">
        <f xml:space="preserve">
TRUNC(IF($A$4&lt;=12,SUMIFS(#REF!,#REF!,$A$4,#REF!,1),SUMIFS(#REF!,#REF!,1)/#REF!),1)</f>
        <v>#REF!</v>
      </c>
      <c r="N6" s="286" t="e">
        <f xml:space="preserve">
TRUNC(IF($A$4&lt;=12,SUMIFS(#REF!,#REF!,$A$4,#REF!,1),SUMIFS(#REF!,#REF!,1)/#REF!),1)</f>
        <v>#REF!</v>
      </c>
      <c r="O6" s="286" t="e">
        <f xml:space="preserve">
TRUNC(IF($A$4&lt;=12,SUMIFS(#REF!,#REF!,$A$4,#REF!,1),SUMIFS(#REF!,#REF!,1)/#REF!),1)</f>
        <v>#REF!</v>
      </c>
      <c r="P6" s="286" t="e">
        <f xml:space="preserve">
TRUNC(IF($A$4&lt;=12,SUMIFS(#REF!,#REF!,$A$4,#REF!,1),SUMIFS(#REF!,#REF!,1)/#REF!),1)</f>
        <v>#REF!</v>
      </c>
      <c r="Q6" s="286" t="e">
        <f xml:space="preserve">
TRUNC(IF($A$4&lt;=12,SUMIFS(#REF!,#REF!,$A$4,#REF!,1),SUMIFS(#REF!,#REF!,1)/#REF!),1)</f>
        <v>#REF!</v>
      </c>
      <c r="R6" s="286" t="e">
        <f xml:space="preserve">
TRUNC(IF($A$4&lt;=12,SUMIFS(#REF!,#REF!,$A$4,#REF!,1),SUMIFS(#REF!,#REF!,1)/#REF!),1)</f>
        <v>#REF!</v>
      </c>
      <c r="S6" s="286" t="e">
        <f xml:space="preserve">
TRUNC(IF($A$4&lt;=12,SUMIFS(#REF!,#REF!,$A$4,#REF!,1),SUMIFS(#REF!,#REF!,1)/#REF!),1)</f>
        <v>#REF!</v>
      </c>
      <c r="T6" s="286" t="e">
        <f xml:space="preserve">
TRUNC(IF($A$4&lt;=12,SUMIFS(#REF!,#REF!,$A$4,#REF!,1),SUMIFS(#REF!,#REF!,1)/#REF!),1)</f>
        <v>#REF!</v>
      </c>
      <c r="U6" s="286" t="e">
        <f xml:space="preserve">
TRUNC(IF($A$4&lt;=12,SUMIFS(#REF!,#REF!,$A$4,#REF!,1),SUMIFS(#REF!,#REF!,1)/#REF!),1)</f>
        <v>#REF!</v>
      </c>
      <c r="V6" s="286" t="e">
        <f xml:space="preserve">
TRUNC(IF($A$4&lt;=12,SUMIFS(#REF!,#REF!,$A$4,#REF!,1),SUMIFS(#REF!,#REF!,1)/#REF!),1)</f>
        <v>#REF!</v>
      </c>
      <c r="W6" s="286" t="e">
        <f xml:space="preserve">
TRUNC(IF($A$4&lt;=12,SUMIFS(#REF!,#REF!,$A$4,#REF!,1),SUMIFS(#REF!,#REF!,1)/#REF!),1)</f>
        <v>#REF!</v>
      </c>
      <c r="X6" s="286" t="e">
        <f xml:space="preserve">
TRUNC(IF($A$4&lt;=12,SUMIFS(#REF!,#REF!,$A$4,#REF!,1),SUMIFS(#REF!,#REF!,1)/#REF!),1)</f>
        <v>#REF!</v>
      </c>
      <c r="Y6" s="286" t="e">
        <f xml:space="preserve">
TRUNC(IF($A$4&lt;=12,SUMIFS(#REF!,#REF!,$A$4,#REF!,1),SUMIFS(#REF!,#REF!,1)/#REF!),1)</f>
        <v>#REF!</v>
      </c>
      <c r="Z6" s="286" t="e">
        <f xml:space="preserve">
TRUNC(IF($A$4&lt;=12,SUMIFS(#REF!,#REF!,$A$4,#REF!,1),SUMIFS(#REF!,#REF!,1)/#REF!),1)</f>
        <v>#REF!</v>
      </c>
      <c r="AA6" s="286" t="e">
        <f xml:space="preserve">
TRUNC(IF($A$4&lt;=12,SUMIFS(#REF!,#REF!,$A$4,#REF!,1),SUMIFS(#REF!,#REF!,1)/#REF!),1)</f>
        <v>#REF!</v>
      </c>
      <c r="AB6" s="286" t="e">
        <f xml:space="preserve">
TRUNC(IF($A$4&lt;=12,SUMIFS(#REF!,#REF!,$A$4,#REF!,1),SUMIFS(#REF!,#REF!,1)/#REF!),1)</f>
        <v>#REF!</v>
      </c>
      <c r="AC6" s="286" t="e">
        <f xml:space="preserve">
TRUNC(IF($A$4&lt;=12,SUMIFS(#REF!,#REF!,$A$4,#REF!,1),SUMIFS(#REF!,#REF!,1)/#REF!),1)</f>
        <v>#REF!</v>
      </c>
      <c r="AD6" s="286" t="e">
        <f xml:space="preserve">
TRUNC(IF($A$4&lt;=12,SUMIFS(#REF!,#REF!,$A$4,#REF!,1),SUMIFS(#REF!,#REF!,1)/#REF!),1)</f>
        <v>#REF!</v>
      </c>
      <c r="AE6" s="286" t="e">
        <f xml:space="preserve">
TRUNC(IF($A$4&lt;=12,SUMIFS(#REF!,#REF!,$A$4,#REF!,1),SUMIFS(#REF!,#REF!,1)/#REF!),1)</f>
        <v>#REF!</v>
      </c>
      <c r="AF6" s="286" t="e">
        <f xml:space="preserve">
TRUNC(IF($A$4&lt;=12,SUMIFS(#REF!,#REF!,$A$4,#REF!,1),SUMIFS(#REF!,#REF!,1)/#REF!),1)</f>
        <v>#REF!</v>
      </c>
      <c r="AG6" s="286" t="e">
        <f xml:space="preserve">
TRUNC(IF($A$4&lt;=12,SUMIFS(#REF!,#REF!,$A$4,#REF!,1),SUMIFS(#REF!,#REF!,1)/#REF!),1)</f>
        <v>#REF!</v>
      </c>
      <c r="AH6" s="286" t="e">
        <f xml:space="preserve">
TRUNC(IF($A$4&lt;=12,SUMIFS(#REF!,#REF!,$A$4,#REF!,1),SUMIFS(#REF!,#REF!,1)/#REF!),1)</f>
        <v>#REF!</v>
      </c>
      <c r="AI6" s="286" t="e">
        <f xml:space="preserve">
TRUNC(IF($A$4&lt;=12,SUMIFS(#REF!,#REF!,$A$4,#REF!,1),SUMIFS(#REF!,#REF!,1)/#REF!),1)</f>
        <v>#REF!</v>
      </c>
      <c r="AJ6" s="286" t="e">
        <f xml:space="preserve">
TRUNC(IF($A$4&lt;=12,SUMIFS(#REF!,#REF!,$A$4,#REF!,1),SUMIFS(#REF!,#REF!,1)/#REF!),1)</f>
        <v>#REF!</v>
      </c>
      <c r="AK6" s="287" t="e">
        <f xml:space="preserve">
TRUNC(IF($A$4&lt;=12,SUMIFS(#REF!,#REF!,$A$4,#REF!,1),SUMIFS(#REF!,#REF!,1)/#REF!),1)</f>
        <v>#REF!</v>
      </c>
    </row>
    <row r="7" spans="1:37" hidden="1" outlineLevel="1" x14ac:dyDescent="0.3">
      <c r="A7" s="240" t="s">
        <v>105</v>
      </c>
      <c r="B7" s="284"/>
      <c r="C7" s="288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7"/>
    </row>
    <row r="8" spans="1:37" hidden="1" outlineLevel="1" x14ac:dyDescent="0.3">
      <c r="A8" s="240" t="s">
        <v>73</v>
      </c>
      <c r="B8" s="284"/>
      <c r="C8" s="288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7"/>
    </row>
    <row r="9" spans="1:37" ht="15" hidden="1" outlineLevel="1" thickBot="1" x14ac:dyDescent="0.35">
      <c r="A9" s="241" t="s">
        <v>66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2"/>
    </row>
    <row r="10" spans="1:37" x14ac:dyDescent="0.3">
      <c r="A10" s="242" t="s">
        <v>165</v>
      </c>
      <c r="B10" s="256"/>
      <c r="C10" s="257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9"/>
    </row>
    <row r="11" spans="1:37" x14ac:dyDescent="0.3">
      <c r="A11" s="243" t="s">
        <v>166</v>
      </c>
      <c r="B11" s="260" t="e">
        <f xml:space="preserve">
IF($A$4&lt;=12,SUMIFS(#REF!,#REF!,$A$4,#REF!,2),SUMIFS(#REF!,#REF!,2))</f>
        <v>#REF!</v>
      </c>
      <c r="C11" s="261" t="e">
        <f xml:space="preserve">
IF($A$4&lt;=12,SUMIFS(#REF!,#REF!,$A$4,#REF!,2),SUMIFS(#REF!,#REF!,2))</f>
        <v>#REF!</v>
      </c>
      <c r="D11" s="262" t="e">
        <f xml:space="preserve">
IF($A$4&lt;=12,SUMIFS(#REF!,#REF!,$A$4,#REF!,2),SUMIFS(#REF!,#REF!,2))</f>
        <v>#REF!</v>
      </c>
      <c r="E11" s="262" t="e">
        <f xml:space="preserve">
IF($A$4&lt;=12,SUMIFS(#REF!,#REF!,$A$4,#REF!,2),SUMIFS(#REF!,#REF!,2))</f>
        <v>#REF!</v>
      </c>
      <c r="F11" s="262" t="e">
        <f xml:space="preserve">
IF($A$4&lt;=12,SUMIFS(#REF!,#REF!,$A$4,#REF!,2),SUMIFS(#REF!,#REF!,2))</f>
        <v>#REF!</v>
      </c>
      <c r="G11" s="262" t="e">
        <f xml:space="preserve">
IF($A$4&lt;=12,SUMIFS(#REF!,#REF!,$A$4,#REF!,2),SUMIFS(#REF!,#REF!,2))</f>
        <v>#REF!</v>
      </c>
      <c r="H11" s="262" t="e">
        <f xml:space="preserve">
IF($A$4&lt;=12,SUMIFS(#REF!,#REF!,$A$4,#REF!,2),SUMIFS(#REF!,#REF!,2))</f>
        <v>#REF!</v>
      </c>
      <c r="I11" s="262" t="e">
        <f xml:space="preserve">
IF($A$4&lt;=12,SUMIFS(#REF!,#REF!,$A$4,#REF!,2),SUMIFS(#REF!,#REF!,2))</f>
        <v>#REF!</v>
      </c>
      <c r="J11" s="262" t="e">
        <f xml:space="preserve">
IF($A$4&lt;=12,SUMIFS(#REF!,#REF!,$A$4,#REF!,2),SUMIFS(#REF!,#REF!,2))</f>
        <v>#REF!</v>
      </c>
      <c r="K11" s="262" t="e">
        <f xml:space="preserve">
IF($A$4&lt;=12,SUMIFS(#REF!,#REF!,$A$4,#REF!,2),SUMIFS(#REF!,#REF!,2))</f>
        <v>#REF!</v>
      </c>
      <c r="L11" s="262" t="e">
        <f xml:space="preserve">
IF($A$4&lt;=12,SUMIFS(#REF!,#REF!,$A$4,#REF!,2),SUMIFS(#REF!,#REF!,2))</f>
        <v>#REF!</v>
      </c>
      <c r="M11" s="262" t="e">
        <f xml:space="preserve">
IF($A$4&lt;=12,SUMIFS(#REF!,#REF!,$A$4,#REF!,2),SUMIFS(#REF!,#REF!,2))</f>
        <v>#REF!</v>
      </c>
      <c r="N11" s="262" t="e">
        <f xml:space="preserve">
IF($A$4&lt;=12,SUMIFS(#REF!,#REF!,$A$4,#REF!,2),SUMIFS(#REF!,#REF!,2))</f>
        <v>#REF!</v>
      </c>
      <c r="O11" s="262" t="e">
        <f xml:space="preserve">
IF($A$4&lt;=12,SUMIFS(#REF!,#REF!,$A$4,#REF!,2),SUMIFS(#REF!,#REF!,2))</f>
        <v>#REF!</v>
      </c>
      <c r="P11" s="262" t="e">
        <f xml:space="preserve">
IF($A$4&lt;=12,SUMIFS(#REF!,#REF!,$A$4,#REF!,2),SUMIFS(#REF!,#REF!,2))</f>
        <v>#REF!</v>
      </c>
      <c r="Q11" s="262" t="e">
        <f xml:space="preserve">
IF($A$4&lt;=12,SUMIFS(#REF!,#REF!,$A$4,#REF!,2),SUMIFS(#REF!,#REF!,2))</f>
        <v>#REF!</v>
      </c>
      <c r="R11" s="262" t="e">
        <f xml:space="preserve">
IF($A$4&lt;=12,SUMIFS(#REF!,#REF!,$A$4,#REF!,2),SUMIFS(#REF!,#REF!,2))</f>
        <v>#REF!</v>
      </c>
      <c r="S11" s="262" t="e">
        <f xml:space="preserve">
IF($A$4&lt;=12,SUMIFS(#REF!,#REF!,$A$4,#REF!,2),SUMIFS(#REF!,#REF!,2))</f>
        <v>#REF!</v>
      </c>
      <c r="T11" s="262" t="e">
        <f xml:space="preserve">
IF($A$4&lt;=12,SUMIFS(#REF!,#REF!,$A$4,#REF!,2),SUMIFS(#REF!,#REF!,2))</f>
        <v>#REF!</v>
      </c>
      <c r="U11" s="262" t="e">
        <f xml:space="preserve">
IF($A$4&lt;=12,SUMIFS(#REF!,#REF!,$A$4,#REF!,2),SUMIFS(#REF!,#REF!,2))</f>
        <v>#REF!</v>
      </c>
      <c r="V11" s="262" t="e">
        <f xml:space="preserve">
IF($A$4&lt;=12,SUMIFS(#REF!,#REF!,$A$4,#REF!,2),SUMIFS(#REF!,#REF!,2))</f>
        <v>#REF!</v>
      </c>
      <c r="W11" s="262" t="e">
        <f xml:space="preserve">
IF($A$4&lt;=12,SUMIFS(#REF!,#REF!,$A$4,#REF!,2),SUMIFS(#REF!,#REF!,2))</f>
        <v>#REF!</v>
      </c>
      <c r="X11" s="262" t="e">
        <f xml:space="preserve">
IF($A$4&lt;=12,SUMIFS(#REF!,#REF!,$A$4,#REF!,2),SUMIFS(#REF!,#REF!,2))</f>
        <v>#REF!</v>
      </c>
      <c r="Y11" s="262" t="e">
        <f xml:space="preserve">
IF($A$4&lt;=12,SUMIFS(#REF!,#REF!,$A$4,#REF!,2),SUMIFS(#REF!,#REF!,2))</f>
        <v>#REF!</v>
      </c>
      <c r="Z11" s="262" t="e">
        <f xml:space="preserve">
IF($A$4&lt;=12,SUMIFS(#REF!,#REF!,$A$4,#REF!,2),SUMIFS(#REF!,#REF!,2))</f>
        <v>#REF!</v>
      </c>
      <c r="AA11" s="262" t="e">
        <f xml:space="preserve">
IF($A$4&lt;=12,SUMIFS(#REF!,#REF!,$A$4,#REF!,2),SUMIFS(#REF!,#REF!,2))</f>
        <v>#REF!</v>
      </c>
      <c r="AB11" s="262" t="e">
        <f xml:space="preserve">
IF($A$4&lt;=12,SUMIFS(#REF!,#REF!,$A$4,#REF!,2),SUMIFS(#REF!,#REF!,2))</f>
        <v>#REF!</v>
      </c>
      <c r="AC11" s="262" t="e">
        <f xml:space="preserve">
IF($A$4&lt;=12,SUMIFS(#REF!,#REF!,$A$4,#REF!,2),SUMIFS(#REF!,#REF!,2))</f>
        <v>#REF!</v>
      </c>
      <c r="AD11" s="262" t="e">
        <f xml:space="preserve">
IF($A$4&lt;=12,SUMIFS(#REF!,#REF!,$A$4,#REF!,2),SUMIFS(#REF!,#REF!,2))</f>
        <v>#REF!</v>
      </c>
      <c r="AE11" s="262" t="e">
        <f xml:space="preserve">
IF($A$4&lt;=12,SUMIFS(#REF!,#REF!,$A$4,#REF!,2),SUMIFS(#REF!,#REF!,2))</f>
        <v>#REF!</v>
      </c>
      <c r="AF11" s="262" t="e">
        <f xml:space="preserve">
IF($A$4&lt;=12,SUMIFS(#REF!,#REF!,$A$4,#REF!,2),SUMIFS(#REF!,#REF!,2))</f>
        <v>#REF!</v>
      </c>
      <c r="AG11" s="262" t="e">
        <f xml:space="preserve">
IF($A$4&lt;=12,SUMIFS(#REF!,#REF!,$A$4,#REF!,2),SUMIFS(#REF!,#REF!,2))</f>
        <v>#REF!</v>
      </c>
      <c r="AH11" s="262" t="e">
        <f xml:space="preserve">
IF($A$4&lt;=12,SUMIFS(#REF!,#REF!,$A$4,#REF!,2),SUMIFS(#REF!,#REF!,2))</f>
        <v>#REF!</v>
      </c>
      <c r="AI11" s="262" t="e">
        <f xml:space="preserve">
IF($A$4&lt;=12,SUMIFS(#REF!,#REF!,$A$4,#REF!,2),SUMIFS(#REF!,#REF!,2))</f>
        <v>#REF!</v>
      </c>
      <c r="AJ11" s="262" t="e">
        <f xml:space="preserve">
IF($A$4&lt;=12,SUMIFS(#REF!,#REF!,$A$4,#REF!,2),SUMIFS(#REF!,#REF!,2))</f>
        <v>#REF!</v>
      </c>
      <c r="AK11" s="263" t="e">
        <f xml:space="preserve">
IF($A$4&lt;=12,SUMIFS(#REF!,#REF!,$A$4,#REF!,2),SUMIFS(#REF!,#REF!,2))</f>
        <v>#REF!</v>
      </c>
    </row>
    <row r="12" spans="1:37" x14ac:dyDescent="0.3">
      <c r="A12" s="243" t="s">
        <v>167</v>
      </c>
      <c r="B12" s="260" t="e">
        <f xml:space="preserve">
IF($A$4&lt;=12,SUMIFS(#REF!,#REF!,$A$4,#REF!,3),SUMIFS(#REF!,#REF!,3))</f>
        <v>#REF!</v>
      </c>
      <c r="C12" s="261" t="e">
        <f xml:space="preserve">
IF($A$4&lt;=12,SUMIFS(#REF!,#REF!,$A$4,#REF!,3),SUMIFS(#REF!,#REF!,3))</f>
        <v>#REF!</v>
      </c>
      <c r="D12" s="262" t="e">
        <f xml:space="preserve">
IF($A$4&lt;=12,SUMIFS(#REF!,#REF!,$A$4,#REF!,3),SUMIFS(#REF!,#REF!,3))</f>
        <v>#REF!</v>
      </c>
      <c r="E12" s="262" t="e">
        <f xml:space="preserve">
IF($A$4&lt;=12,SUMIFS(#REF!,#REF!,$A$4,#REF!,3),SUMIFS(#REF!,#REF!,3))</f>
        <v>#REF!</v>
      </c>
      <c r="F12" s="262" t="e">
        <f xml:space="preserve">
IF($A$4&lt;=12,SUMIFS(#REF!,#REF!,$A$4,#REF!,3),SUMIFS(#REF!,#REF!,3))</f>
        <v>#REF!</v>
      </c>
      <c r="G12" s="262" t="e">
        <f xml:space="preserve">
IF($A$4&lt;=12,SUMIFS(#REF!,#REF!,$A$4,#REF!,3),SUMIFS(#REF!,#REF!,3))</f>
        <v>#REF!</v>
      </c>
      <c r="H12" s="262" t="e">
        <f xml:space="preserve">
IF($A$4&lt;=12,SUMIFS(#REF!,#REF!,$A$4,#REF!,3),SUMIFS(#REF!,#REF!,3))</f>
        <v>#REF!</v>
      </c>
      <c r="I12" s="262" t="e">
        <f xml:space="preserve">
IF($A$4&lt;=12,SUMIFS(#REF!,#REF!,$A$4,#REF!,3),SUMIFS(#REF!,#REF!,3))</f>
        <v>#REF!</v>
      </c>
      <c r="J12" s="262" t="e">
        <f xml:space="preserve">
IF($A$4&lt;=12,SUMIFS(#REF!,#REF!,$A$4,#REF!,3),SUMIFS(#REF!,#REF!,3))</f>
        <v>#REF!</v>
      </c>
      <c r="K12" s="262" t="e">
        <f xml:space="preserve">
IF($A$4&lt;=12,SUMIFS(#REF!,#REF!,$A$4,#REF!,3),SUMIFS(#REF!,#REF!,3))</f>
        <v>#REF!</v>
      </c>
      <c r="L12" s="262" t="e">
        <f xml:space="preserve">
IF($A$4&lt;=12,SUMIFS(#REF!,#REF!,$A$4,#REF!,3),SUMIFS(#REF!,#REF!,3))</f>
        <v>#REF!</v>
      </c>
      <c r="M12" s="262" t="e">
        <f xml:space="preserve">
IF($A$4&lt;=12,SUMIFS(#REF!,#REF!,$A$4,#REF!,3),SUMIFS(#REF!,#REF!,3))</f>
        <v>#REF!</v>
      </c>
      <c r="N12" s="262" t="e">
        <f xml:space="preserve">
IF($A$4&lt;=12,SUMIFS(#REF!,#REF!,$A$4,#REF!,3),SUMIFS(#REF!,#REF!,3))</f>
        <v>#REF!</v>
      </c>
      <c r="O12" s="262" t="e">
        <f xml:space="preserve">
IF($A$4&lt;=12,SUMIFS(#REF!,#REF!,$A$4,#REF!,3),SUMIFS(#REF!,#REF!,3))</f>
        <v>#REF!</v>
      </c>
      <c r="P12" s="262" t="e">
        <f xml:space="preserve">
IF($A$4&lt;=12,SUMIFS(#REF!,#REF!,$A$4,#REF!,3),SUMIFS(#REF!,#REF!,3))</f>
        <v>#REF!</v>
      </c>
      <c r="Q12" s="262" t="e">
        <f xml:space="preserve">
IF($A$4&lt;=12,SUMIFS(#REF!,#REF!,$A$4,#REF!,3),SUMIFS(#REF!,#REF!,3))</f>
        <v>#REF!</v>
      </c>
      <c r="R12" s="262" t="e">
        <f xml:space="preserve">
IF($A$4&lt;=12,SUMIFS(#REF!,#REF!,$A$4,#REF!,3),SUMIFS(#REF!,#REF!,3))</f>
        <v>#REF!</v>
      </c>
      <c r="S12" s="262" t="e">
        <f xml:space="preserve">
IF($A$4&lt;=12,SUMIFS(#REF!,#REF!,$A$4,#REF!,3),SUMIFS(#REF!,#REF!,3))</f>
        <v>#REF!</v>
      </c>
      <c r="T12" s="262" t="e">
        <f xml:space="preserve">
IF($A$4&lt;=12,SUMIFS(#REF!,#REF!,$A$4,#REF!,3),SUMIFS(#REF!,#REF!,3))</f>
        <v>#REF!</v>
      </c>
      <c r="U12" s="262" t="e">
        <f xml:space="preserve">
IF($A$4&lt;=12,SUMIFS(#REF!,#REF!,$A$4,#REF!,3),SUMIFS(#REF!,#REF!,3))</f>
        <v>#REF!</v>
      </c>
      <c r="V12" s="262" t="e">
        <f xml:space="preserve">
IF($A$4&lt;=12,SUMIFS(#REF!,#REF!,$A$4,#REF!,3),SUMIFS(#REF!,#REF!,3))</f>
        <v>#REF!</v>
      </c>
      <c r="W12" s="262" t="e">
        <f xml:space="preserve">
IF($A$4&lt;=12,SUMIFS(#REF!,#REF!,$A$4,#REF!,3),SUMIFS(#REF!,#REF!,3))</f>
        <v>#REF!</v>
      </c>
      <c r="X12" s="262" t="e">
        <f xml:space="preserve">
IF($A$4&lt;=12,SUMIFS(#REF!,#REF!,$A$4,#REF!,3),SUMIFS(#REF!,#REF!,3))</f>
        <v>#REF!</v>
      </c>
      <c r="Y12" s="262" t="e">
        <f xml:space="preserve">
IF($A$4&lt;=12,SUMIFS(#REF!,#REF!,$A$4,#REF!,3),SUMIFS(#REF!,#REF!,3))</f>
        <v>#REF!</v>
      </c>
      <c r="Z12" s="262" t="e">
        <f xml:space="preserve">
IF($A$4&lt;=12,SUMIFS(#REF!,#REF!,$A$4,#REF!,3),SUMIFS(#REF!,#REF!,3))</f>
        <v>#REF!</v>
      </c>
      <c r="AA12" s="262" t="e">
        <f xml:space="preserve">
IF($A$4&lt;=12,SUMIFS(#REF!,#REF!,$A$4,#REF!,3),SUMIFS(#REF!,#REF!,3))</f>
        <v>#REF!</v>
      </c>
      <c r="AB12" s="262" t="e">
        <f xml:space="preserve">
IF($A$4&lt;=12,SUMIFS(#REF!,#REF!,$A$4,#REF!,3),SUMIFS(#REF!,#REF!,3))</f>
        <v>#REF!</v>
      </c>
      <c r="AC12" s="262" t="e">
        <f xml:space="preserve">
IF($A$4&lt;=12,SUMIFS(#REF!,#REF!,$A$4,#REF!,3),SUMIFS(#REF!,#REF!,3))</f>
        <v>#REF!</v>
      </c>
      <c r="AD12" s="262" t="e">
        <f xml:space="preserve">
IF($A$4&lt;=12,SUMIFS(#REF!,#REF!,$A$4,#REF!,3),SUMIFS(#REF!,#REF!,3))</f>
        <v>#REF!</v>
      </c>
      <c r="AE12" s="262" t="e">
        <f xml:space="preserve">
IF($A$4&lt;=12,SUMIFS(#REF!,#REF!,$A$4,#REF!,3),SUMIFS(#REF!,#REF!,3))</f>
        <v>#REF!</v>
      </c>
      <c r="AF12" s="262" t="e">
        <f xml:space="preserve">
IF($A$4&lt;=12,SUMIFS(#REF!,#REF!,$A$4,#REF!,3),SUMIFS(#REF!,#REF!,3))</f>
        <v>#REF!</v>
      </c>
      <c r="AG12" s="262" t="e">
        <f xml:space="preserve">
IF($A$4&lt;=12,SUMIFS(#REF!,#REF!,$A$4,#REF!,3),SUMIFS(#REF!,#REF!,3))</f>
        <v>#REF!</v>
      </c>
      <c r="AH12" s="262" t="e">
        <f xml:space="preserve">
IF($A$4&lt;=12,SUMIFS(#REF!,#REF!,$A$4,#REF!,3),SUMIFS(#REF!,#REF!,3))</f>
        <v>#REF!</v>
      </c>
      <c r="AI12" s="262" t="e">
        <f xml:space="preserve">
IF($A$4&lt;=12,SUMIFS(#REF!,#REF!,$A$4,#REF!,3),SUMIFS(#REF!,#REF!,3))</f>
        <v>#REF!</v>
      </c>
      <c r="AJ12" s="262" t="e">
        <f xml:space="preserve">
IF($A$4&lt;=12,SUMIFS(#REF!,#REF!,$A$4,#REF!,3),SUMIFS(#REF!,#REF!,3))</f>
        <v>#REF!</v>
      </c>
      <c r="AK12" s="263" t="e">
        <f xml:space="preserve">
IF($A$4&lt;=12,SUMIFS(#REF!,#REF!,$A$4,#REF!,3),SUMIFS(#REF!,#REF!,3))</f>
        <v>#REF!</v>
      </c>
    </row>
    <row r="13" spans="1:37" x14ac:dyDescent="0.3">
      <c r="A13" s="243" t="s">
        <v>174</v>
      </c>
      <c r="B13" s="260" t="e">
        <f xml:space="preserve">
IF($A$4&lt;=12,SUMIFS(#REF!,#REF!,$A$4,#REF!,4),SUMIFS(#REF!,#REF!,4))</f>
        <v>#REF!</v>
      </c>
      <c r="C13" s="261" t="e">
        <f xml:space="preserve">
IF($A$4&lt;=12,SUMIFS(#REF!,#REF!,$A$4,#REF!,4),SUMIFS(#REF!,#REF!,4))</f>
        <v>#REF!</v>
      </c>
      <c r="D13" s="262" t="e">
        <f xml:space="preserve">
IF($A$4&lt;=12,SUMIFS(#REF!,#REF!,$A$4,#REF!,4),SUMIFS(#REF!,#REF!,4))</f>
        <v>#REF!</v>
      </c>
      <c r="E13" s="262" t="e">
        <f xml:space="preserve">
IF($A$4&lt;=12,SUMIFS(#REF!,#REF!,$A$4,#REF!,4),SUMIFS(#REF!,#REF!,4))</f>
        <v>#REF!</v>
      </c>
      <c r="F13" s="262" t="e">
        <f xml:space="preserve">
IF($A$4&lt;=12,SUMIFS(#REF!,#REF!,$A$4,#REF!,4),SUMIFS(#REF!,#REF!,4))</f>
        <v>#REF!</v>
      </c>
      <c r="G13" s="262" t="e">
        <f xml:space="preserve">
IF($A$4&lt;=12,SUMIFS(#REF!,#REF!,$A$4,#REF!,4),SUMIFS(#REF!,#REF!,4))</f>
        <v>#REF!</v>
      </c>
      <c r="H13" s="262" t="e">
        <f xml:space="preserve">
IF($A$4&lt;=12,SUMIFS(#REF!,#REF!,$A$4,#REF!,4),SUMIFS(#REF!,#REF!,4))</f>
        <v>#REF!</v>
      </c>
      <c r="I13" s="262" t="e">
        <f xml:space="preserve">
IF($A$4&lt;=12,SUMIFS(#REF!,#REF!,$A$4,#REF!,4),SUMIFS(#REF!,#REF!,4))</f>
        <v>#REF!</v>
      </c>
      <c r="J13" s="262" t="e">
        <f xml:space="preserve">
IF($A$4&lt;=12,SUMIFS(#REF!,#REF!,$A$4,#REF!,4),SUMIFS(#REF!,#REF!,4))</f>
        <v>#REF!</v>
      </c>
      <c r="K13" s="262" t="e">
        <f xml:space="preserve">
IF($A$4&lt;=12,SUMIFS(#REF!,#REF!,$A$4,#REF!,4),SUMIFS(#REF!,#REF!,4))</f>
        <v>#REF!</v>
      </c>
      <c r="L13" s="262" t="e">
        <f xml:space="preserve">
IF($A$4&lt;=12,SUMIFS(#REF!,#REF!,$A$4,#REF!,4),SUMIFS(#REF!,#REF!,4))</f>
        <v>#REF!</v>
      </c>
      <c r="M13" s="262" t="e">
        <f xml:space="preserve">
IF($A$4&lt;=12,SUMIFS(#REF!,#REF!,$A$4,#REF!,4),SUMIFS(#REF!,#REF!,4))</f>
        <v>#REF!</v>
      </c>
      <c r="N13" s="262" t="e">
        <f xml:space="preserve">
IF($A$4&lt;=12,SUMIFS(#REF!,#REF!,$A$4,#REF!,4),SUMIFS(#REF!,#REF!,4))</f>
        <v>#REF!</v>
      </c>
      <c r="O13" s="262" t="e">
        <f xml:space="preserve">
IF($A$4&lt;=12,SUMIFS(#REF!,#REF!,$A$4,#REF!,4),SUMIFS(#REF!,#REF!,4))</f>
        <v>#REF!</v>
      </c>
      <c r="P13" s="262" t="e">
        <f xml:space="preserve">
IF($A$4&lt;=12,SUMIFS(#REF!,#REF!,$A$4,#REF!,4),SUMIFS(#REF!,#REF!,4))</f>
        <v>#REF!</v>
      </c>
      <c r="Q13" s="262" t="e">
        <f xml:space="preserve">
IF($A$4&lt;=12,SUMIFS(#REF!,#REF!,$A$4,#REF!,4),SUMIFS(#REF!,#REF!,4))</f>
        <v>#REF!</v>
      </c>
      <c r="R13" s="262" t="e">
        <f xml:space="preserve">
IF($A$4&lt;=12,SUMIFS(#REF!,#REF!,$A$4,#REF!,4),SUMIFS(#REF!,#REF!,4))</f>
        <v>#REF!</v>
      </c>
      <c r="S13" s="262" t="e">
        <f xml:space="preserve">
IF($A$4&lt;=12,SUMIFS(#REF!,#REF!,$A$4,#REF!,4),SUMIFS(#REF!,#REF!,4))</f>
        <v>#REF!</v>
      </c>
      <c r="T13" s="262" t="e">
        <f xml:space="preserve">
IF($A$4&lt;=12,SUMIFS(#REF!,#REF!,$A$4,#REF!,4),SUMIFS(#REF!,#REF!,4))</f>
        <v>#REF!</v>
      </c>
      <c r="U13" s="262" t="e">
        <f xml:space="preserve">
IF($A$4&lt;=12,SUMIFS(#REF!,#REF!,$A$4,#REF!,4),SUMIFS(#REF!,#REF!,4))</f>
        <v>#REF!</v>
      </c>
      <c r="V13" s="262" t="e">
        <f xml:space="preserve">
IF($A$4&lt;=12,SUMIFS(#REF!,#REF!,$A$4,#REF!,4),SUMIFS(#REF!,#REF!,4))</f>
        <v>#REF!</v>
      </c>
      <c r="W13" s="262" t="e">
        <f xml:space="preserve">
IF($A$4&lt;=12,SUMIFS(#REF!,#REF!,$A$4,#REF!,4),SUMIFS(#REF!,#REF!,4))</f>
        <v>#REF!</v>
      </c>
      <c r="X13" s="262" t="e">
        <f xml:space="preserve">
IF($A$4&lt;=12,SUMIFS(#REF!,#REF!,$A$4,#REF!,4),SUMIFS(#REF!,#REF!,4))</f>
        <v>#REF!</v>
      </c>
      <c r="Y13" s="262" t="e">
        <f xml:space="preserve">
IF($A$4&lt;=12,SUMIFS(#REF!,#REF!,$A$4,#REF!,4),SUMIFS(#REF!,#REF!,4))</f>
        <v>#REF!</v>
      </c>
      <c r="Z13" s="262" t="e">
        <f xml:space="preserve">
IF($A$4&lt;=12,SUMIFS(#REF!,#REF!,$A$4,#REF!,4),SUMIFS(#REF!,#REF!,4))</f>
        <v>#REF!</v>
      </c>
      <c r="AA13" s="262" t="e">
        <f xml:space="preserve">
IF($A$4&lt;=12,SUMIFS(#REF!,#REF!,$A$4,#REF!,4),SUMIFS(#REF!,#REF!,4))</f>
        <v>#REF!</v>
      </c>
      <c r="AB13" s="262" t="e">
        <f xml:space="preserve">
IF($A$4&lt;=12,SUMIFS(#REF!,#REF!,$A$4,#REF!,4),SUMIFS(#REF!,#REF!,4))</f>
        <v>#REF!</v>
      </c>
      <c r="AC13" s="262" t="e">
        <f xml:space="preserve">
IF($A$4&lt;=12,SUMIFS(#REF!,#REF!,$A$4,#REF!,4),SUMIFS(#REF!,#REF!,4))</f>
        <v>#REF!</v>
      </c>
      <c r="AD13" s="262" t="e">
        <f xml:space="preserve">
IF($A$4&lt;=12,SUMIFS(#REF!,#REF!,$A$4,#REF!,4),SUMIFS(#REF!,#REF!,4))</f>
        <v>#REF!</v>
      </c>
      <c r="AE13" s="262" t="e">
        <f xml:space="preserve">
IF($A$4&lt;=12,SUMIFS(#REF!,#REF!,$A$4,#REF!,4),SUMIFS(#REF!,#REF!,4))</f>
        <v>#REF!</v>
      </c>
      <c r="AF13" s="262" t="e">
        <f xml:space="preserve">
IF($A$4&lt;=12,SUMIFS(#REF!,#REF!,$A$4,#REF!,4),SUMIFS(#REF!,#REF!,4))</f>
        <v>#REF!</v>
      </c>
      <c r="AG13" s="262" t="e">
        <f xml:space="preserve">
IF($A$4&lt;=12,SUMIFS(#REF!,#REF!,$A$4,#REF!,4),SUMIFS(#REF!,#REF!,4))</f>
        <v>#REF!</v>
      </c>
      <c r="AH13" s="262" t="e">
        <f xml:space="preserve">
IF($A$4&lt;=12,SUMIFS(#REF!,#REF!,$A$4,#REF!,4),SUMIFS(#REF!,#REF!,4))</f>
        <v>#REF!</v>
      </c>
      <c r="AI13" s="262" t="e">
        <f xml:space="preserve">
IF($A$4&lt;=12,SUMIFS(#REF!,#REF!,$A$4,#REF!,4),SUMIFS(#REF!,#REF!,4))</f>
        <v>#REF!</v>
      </c>
      <c r="AJ13" s="262" t="e">
        <f xml:space="preserve">
IF($A$4&lt;=12,SUMIFS(#REF!,#REF!,$A$4,#REF!,4),SUMIFS(#REF!,#REF!,4))</f>
        <v>#REF!</v>
      </c>
      <c r="AK13" s="263" t="e">
        <f xml:space="preserve">
IF($A$4&lt;=12,SUMIFS(#REF!,#REF!,$A$4,#REF!,4),SUMIFS(#REF!,#REF!,4))</f>
        <v>#REF!</v>
      </c>
    </row>
    <row r="14" spans="1:37" ht="15" thickBot="1" x14ac:dyDescent="0.35">
      <c r="A14" s="244" t="s">
        <v>168</v>
      </c>
      <c r="B14" s="264" t="e">
        <f xml:space="preserve">
IF($A$4&lt;=12,SUMIFS(#REF!,#REF!,$A$4,#REF!,5),SUMIFS(#REF!,#REF!,5))</f>
        <v>#REF!</v>
      </c>
      <c r="C14" s="265" t="e">
        <f xml:space="preserve">
IF($A$4&lt;=12,SUMIFS(#REF!,#REF!,$A$4,#REF!,5),SUMIFS(#REF!,#REF!,5))</f>
        <v>#REF!</v>
      </c>
      <c r="D14" s="266" t="e">
        <f xml:space="preserve">
IF($A$4&lt;=12,SUMIFS(#REF!,#REF!,$A$4,#REF!,5),SUMIFS(#REF!,#REF!,5))</f>
        <v>#REF!</v>
      </c>
      <c r="E14" s="266" t="e">
        <f xml:space="preserve">
IF($A$4&lt;=12,SUMIFS(#REF!,#REF!,$A$4,#REF!,5),SUMIFS(#REF!,#REF!,5))</f>
        <v>#REF!</v>
      </c>
      <c r="F14" s="266" t="e">
        <f xml:space="preserve">
IF($A$4&lt;=12,SUMIFS(#REF!,#REF!,$A$4,#REF!,5),SUMIFS(#REF!,#REF!,5))</f>
        <v>#REF!</v>
      </c>
      <c r="G14" s="266" t="e">
        <f xml:space="preserve">
IF($A$4&lt;=12,SUMIFS(#REF!,#REF!,$A$4,#REF!,5),SUMIFS(#REF!,#REF!,5))</f>
        <v>#REF!</v>
      </c>
      <c r="H14" s="266" t="e">
        <f xml:space="preserve">
IF($A$4&lt;=12,SUMIFS(#REF!,#REF!,$A$4,#REF!,5),SUMIFS(#REF!,#REF!,5))</f>
        <v>#REF!</v>
      </c>
      <c r="I14" s="266" t="e">
        <f xml:space="preserve">
IF($A$4&lt;=12,SUMIFS(#REF!,#REF!,$A$4,#REF!,5),SUMIFS(#REF!,#REF!,5))</f>
        <v>#REF!</v>
      </c>
      <c r="J14" s="266" t="e">
        <f xml:space="preserve">
IF($A$4&lt;=12,SUMIFS(#REF!,#REF!,$A$4,#REF!,5),SUMIFS(#REF!,#REF!,5))</f>
        <v>#REF!</v>
      </c>
      <c r="K14" s="266" t="e">
        <f xml:space="preserve">
IF($A$4&lt;=12,SUMIFS(#REF!,#REF!,$A$4,#REF!,5),SUMIFS(#REF!,#REF!,5))</f>
        <v>#REF!</v>
      </c>
      <c r="L14" s="266" t="e">
        <f xml:space="preserve">
IF($A$4&lt;=12,SUMIFS(#REF!,#REF!,$A$4,#REF!,5),SUMIFS(#REF!,#REF!,5))</f>
        <v>#REF!</v>
      </c>
      <c r="M14" s="266" t="e">
        <f xml:space="preserve">
IF($A$4&lt;=12,SUMIFS(#REF!,#REF!,$A$4,#REF!,5),SUMIFS(#REF!,#REF!,5))</f>
        <v>#REF!</v>
      </c>
      <c r="N14" s="266" t="e">
        <f xml:space="preserve">
IF($A$4&lt;=12,SUMIFS(#REF!,#REF!,$A$4,#REF!,5),SUMIFS(#REF!,#REF!,5))</f>
        <v>#REF!</v>
      </c>
      <c r="O14" s="266" t="e">
        <f xml:space="preserve">
IF($A$4&lt;=12,SUMIFS(#REF!,#REF!,$A$4,#REF!,5),SUMIFS(#REF!,#REF!,5))</f>
        <v>#REF!</v>
      </c>
      <c r="P14" s="266" t="e">
        <f xml:space="preserve">
IF($A$4&lt;=12,SUMIFS(#REF!,#REF!,$A$4,#REF!,5),SUMIFS(#REF!,#REF!,5))</f>
        <v>#REF!</v>
      </c>
      <c r="Q14" s="266" t="e">
        <f xml:space="preserve">
IF($A$4&lt;=12,SUMIFS(#REF!,#REF!,$A$4,#REF!,5),SUMIFS(#REF!,#REF!,5))</f>
        <v>#REF!</v>
      </c>
      <c r="R14" s="266" t="e">
        <f xml:space="preserve">
IF($A$4&lt;=12,SUMIFS(#REF!,#REF!,$A$4,#REF!,5),SUMIFS(#REF!,#REF!,5))</f>
        <v>#REF!</v>
      </c>
      <c r="S14" s="266" t="e">
        <f xml:space="preserve">
IF($A$4&lt;=12,SUMIFS(#REF!,#REF!,$A$4,#REF!,5),SUMIFS(#REF!,#REF!,5))</f>
        <v>#REF!</v>
      </c>
      <c r="T14" s="266" t="e">
        <f xml:space="preserve">
IF($A$4&lt;=12,SUMIFS(#REF!,#REF!,$A$4,#REF!,5),SUMIFS(#REF!,#REF!,5))</f>
        <v>#REF!</v>
      </c>
      <c r="U14" s="266" t="e">
        <f xml:space="preserve">
IF($A$4&lt;=12,SUMIFS(#REF!,#REF!,$A$4,#REF!,5),SUMIFS(#REF!,#REF!,5))</f>
        <v>#REF!</v>
      </c>
      <c r="V14" s="266" t="e">
        <f xml:space="preserve">
IF($A$4&lt;=12,SUMIFS(#REF!,#REF!,$A$4,#REF!,5),SUMIFS(#REF!,#REF!,5))</f>
        <v>#REF!</v>
      </c>
      <c r="W14" s="266" t="e">
        <f xml:space="preserve">
IF($A$4&lt;=12,SUMIFS(#REF!,#REF!,$A$4,#REF!,5),SUMIFS(#REF!,#REF!,5))</f>
        <v>#REF!</v>
      </c>
      <c r="X14" s="266" t="e">
        <f xml:space="preserve">
IF($A$4&lt;=12,SUMIFS(#REF!,#REF!,$A$4,#REF!,5),SUMIFS(#REF!,#REF!,5))</f>
        <v>#REF!</v>
      </c>
      <c r="Y14" s="266" t="e">
        <f xml:space="preserve">
IF($A$4&lt;=12,SUMIFS(#REF!,#REF!,$A$4,#REF!,5),SUMIFS(#REF!,#REF!,5))</f>
        <v>#REF!</v>
      </c>
      <c r="Z14" s="266" t="e">
        <f xml:space="preserve">
IF($A$4&lt;=12,SUMIFS(#REF!,#REF!,$A$4,#REF!,5),SUMIFS(#REF!,#REF!,5))</f>
        <v>#REF!</v>
      </c>
      <c r="AA14" s="266" t="e">
        <f xml:space="preserve">
IF($A$4&lt;=12,SUMIFS(#REF!,#REF!,$A$4,#REF!,5),SUMIFS(#REF!,#REF!,5))</f>
        <v>#REF!</v>
      </c>
      <c r="AB14" s="266" t="e">
        <f xml:space="preserve">
IF($A$4&lt;=12,SUMIFS(#REF!,#REF!,$A$4,#REF!,5),SUMIFS(#REF!,#REF!,5))</f>
        <v>#REF!</v>
      </c>
      <c r="AC14" s="266" t="e">
        <f xml:space="preserve">
IF($A$4&lt;=12,SUMIFS(#REF!,#REF!,$A$4,#REF!,5),SUMIFS(#REF!,#REF!,5))</f>
        <v>#REF!</v>
      </c>
      <c r="AD14" s="266" t="e">
        <f xml:space="preserve">
IF($A$4&lt;=12,SUMIFS(#REF!,#REF!,$A$4,#REF!,5),SUMIFS(#REF!,#REF!,5))</f>
        <v>#REF!</v>
      </c>
      <c r="AE14" s="266" t="e">
        <f xml:space="preserve">
IF($A$4&lt;=12,SUMIFS(#REF!,#REF!,$A$4,#REF!,5),SUMIFS(#REF!,#REF!,5))</f>
        <v>#REF!</v>
      </c>
      <c r="AF14" s="266" t="e">
        <f xml:space="preserve">
IF($A$4&lt;=12,SUMIFS(#REF!,#REF!,$A$4,#REF!,5),SUMIFS(#REF!,#REF!,5))</f>
        <v>#REF!</v>
      </c>
      <c r="AG14" s="266" t="e">
        <f xml:space="preserve">
IF($A$4&lt;=12,SUMIFS(#REF!,#REF!,$A$4,#REF!,5),SUMIFS(#REF!,#REF!,5))</f>
        <v>#REF!</v>
      </c>
      <c r="AH14" s="266" t="e">
        <f xml:space="preserve">
IF($A$4&lt;=12,SUMIFS(#REF!,#REF!,$A$4,#REF!,5),SUMIFS(#REF!,#REF!,5))</f>
        <v>#REF!</v>
      </c>
      <c r="AI14" s="266" t="e">
        <f xml:space="preserve">
IF($A$4&lt;=12,SUMIFS(#REF!,#REF!,$A$4,#REF!,5),SUMIFS(#REF!,#REF!,5))</f>
        <v>#REF!</v>
      </c>
      <c r="AJ14" s="266" t="e">
        <f xml:space="preserve">
IF($A$4&lt;=12,SUMIFS(#REF!,#REF!,$A$4,#REF!,5),SUMIFS(#REF!,#REF!,5))</f>
        <v>#REF!</v>
      </c>
      <c r="AK14" s="267" t="e">
        <f xml:space="preserve">
IF($A$4&lt;=12,SUMIFS(#REF!,#REF!,$A$4,#REF!,5),SUMIFS(#REF!,#REF!,5))</f>
        <v>#REF!</v>
      </c>
    </row>
    <row r="15" spans="1:37" x14ac:dyDescent="0.3">
      <c r="A15" s="163" t="s">
        <v>178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1"/>
    </row>
    <row r="16" spans="1:37" x14ac:dyDescent="0.3">
      <c r="A16" s="245" t="s">
        <v>169</v>
      </c>
      <c r="B16" s="260" t="e">
        <f xml:space="preserve">
IF($A$4&lt;=12,SUMIFS(#REF!,#REF!,$A$4,#REF!,7),SUMIFS(#REF!,#REF!,7))</f>
        <v>#REF!</v>
      </c>
      <c r="C16" s="261" t="e">
        <f xml:space="preserve">
IF($A$4&lt;=12,SUMIFS(#REF!,#REF!,$A$4,#REF!,7),SUMIFS(#REF!,#REF!,7))</f>
        <v>#REF!</v>
      </c>
      <c r="D16" s="262" t="e">
        <f xml:space="preserve">
IF($A$4&lt;=12,SUMIFS(#REF!,#REF!,$A$4,#REF!,7),SUMIFS(#REF!,#REF!,7))</f>
        <v>#REF!</v>
      </c>
      <c r="E16" s="262" t="e">
        <f xml:space="preserve">
IF($A$4&lt;=12,SUMIFS(#REF!,#REF!,$A$4,#REF!,7),SUMIFS(#REF!,#REF!,7))</f>
        <v>#REF!</v>
      </c>
      <c r="F16" s="262" t="e">
        <f xml:space="preserve">
IF($A$4&lt;=12,SUMIFS(#REF!,#REF!,$A$4,#REF!,7),SUMIFS(#REF!,#REF!,7))</f>
        <v>#REF!</v>
      </c>
      <c r="G16" s="262" t="e">
        <f xml:space="preserve">
IF($A$4&lt;=12,SUMIFS(#REF!,#REF!,$A$4,#REF!,7),SUMIFS(#REF!,#REF!,7))</f>
        <v>#REF!</v>
      </c>
      <c r="H16" s="262" t="e">
        <f xml:space="preserve">
IF($A$4&lt;=12,SUMIFS(#REF!,#REF!,$A$4,#REF!,7),SUMIFS(#REF!,#REF!,7))</f>
        <v>#REF!</v>
      </c>
      <c r="I16" s="262" t="e">
        <f xml:space="preserve">
IF($A$4&lt;=12,SUMIFS(#REF!,#REF!,$A$4,#REF!,7),SUMIFS(#REF!,#REF!,7))</f>
        <v>#REF!</v>
      </c>
      <c r="J16" s="262" t="e">
        <f xml:space="preserve">
IF($A$4&lt;=12,SUMIFS(#REF!,#REF!,$A$4,#REF!,7),SUMIFS(#REF!,#REF!,7))</f>
        <v>#REF!</v>
      </c>
      <c r="K16" s="262" t="e">
        <f xml:space="preserve">
IF($A$4&lt;=12,SUMIFS(#REF!,#REF!,$A$4,#REF!,7),SUMIFS(#REF!,#REF!,7))</f>
        <v>#REF!</v>
      </c>
      <c r="L16" s="262" t="e">
        <f xml:space="preserve">
IF($A$4&lt;=12,SUMIFS(#REF!,#REF!,$A$4,#REF!,7),SUMIFS(#REF!,#REF!,7))</f>
        <v>#REF!</v>
      </c>
      <c r="M16" s="262" t="e">
        <f xml:space="preserve">
IF($A$4&lt;=12,SUMIFS(#REF!,#REF!,$A$4,#REF!,7),SUMIFS(#REF!,#REF!,7))</f>
        <v>#REF!</v>
      </c>
      <c r="N16" s="262" t="e">
        <f xml:space="preserve">
IF($A$4&lt;=12,SUMIFS(#REF!,#REF!,$A$4,#REF!,7),SUMIFS(#REF!,#REF!,7))</f>
        <v>#REF!</v>
      </c>
      <c r="O16" s="262" t="e">
        <f xml:space="preserve">
IF($A$4&lt;=12,SUMIFS(#REF!,#REF!,$A$4,#REF!,7),SUMIFS(#REF!,#REF!,7))</f>
        <v>#REF!</v>
      </c>
      <c r="P16" s="262" t="e">
        <f xml:space="preserve">
IF($A$4&lt;=12,SUMIFS(#REF!,#REF!,$A$4,#REF!,7),SUMIFS(#REF!,#REF!,7))</f>
        <v>#REF!</v>
      </c>
      <c r="Q16" s="262" t="e">
        <f xml:space="preserve">
IF($A$4&lt;=12,SUMIFS(#REF!,#REF!,$A$4,#REF!,7),SUMIFS(#REF!,#REF!,7))</f>
        <v>#REF!</v>
      </c>
      <c r="R16" s="262" t="e">
        <f xml:space="preserve">
IF($A$4&lt;=12,SUMIFS(#REF!,#REF!,$A$4,#REF!,7),SUMIFS(#REF!,#REF!,7))</f>
        <v>#REF!</v>
      </c>
      <c r="S16" s="262" t="e">
        <f xml:space="preserve">
IF($A$4&lt;=12,SUMIFS(#REF!,#REF!,$A$4,#REF!,7),SUMIFS(#REF!,#REF!,7))</f>
        <v>#REF!</v>
      </c>
      <c r="T16" s="262" t="e">
        <f xml:space="preserve">
IF($A$4&lt;=12,SUMIFS(#REF!,#REF!,$A$4,#REF!,7),SUMIFS(#REF!,#REF!,7))</f>
        <v>#REF!</v>
      </c>
      <c r="U16" s="262" t="e">
        <f xml:space="preserve">
IF($A$4&lt;=12,SUMIFS(#REF!,#REF!,$A$4,#REF!,7),SUMIFS(#REF!,#REF!,7))</f>
        <v>#REF!</v>
      </c>
      <c r="V16" s="262" t="e">
        <f xml:space="preserve">
IF($A$4&lt;=12,SUMIFS(#REF!,#REF!,$A$4,#REF!,7),SUMIFS(#REF!,#REF!,7))</f>
        <v>#REF!</v>
      </c>
      <c r="W16" s="262" t="e">
        <f xml:space="preserve">
IF($A$4&lt;=12,SUMIFS(#REF!,#REF!,$A$4,#REF!,7),SUMIFS(#REF!,#REF!,7))</f>
        <v>#REF!</v>
      </c>
      <c r="X16" s="262" t="e">
        <f xml:space="preserve">
IF($A$4&lt;=12,SUMIFS(#REF!,#REF!,$A$4,#REF!,7),SUMIFS(#REF!,#REF!,7))</f>
        <v>#REF!</v>
      </c>
      <c r="Y16" s="262" t="e">
        <f xml:space="preserve">
IF($A$4&lt;=12,SUMIFS(#REF!,#REF!,$A$4,#REF!,7),SUMIFS(#REF!,#REF!,7))</f>
        <v>#REF!</v>
      </c>
      <c r="Z16" s="262" t="e">
        <f xml:space="preserve">
IF($A$4&lt;=12,SUMIFS(#REF!,#REF!,$A$4,#REF!,7),SUMIFS(#REF!,#REF!,7))</f>
        <v>#REF!</v>
      </c>
      <c r="AA16" s="262" t="e">
        <f xml:space="preserve">
IF($A$4&lt;=12,SUMIFS(#REF!,#REF!,$A$4,#REF!,7),SUMIFS(#REF!,#REF!,7))</f>
        <v>#REF!</v>
      </c>
      <c r="AB16" s="262" t="e">
        <f xml:space="preserve">
IF($A$4&lt;=12,SUMIFS(#REF!,#REF!,$A$4,#REF!,7),SUMIFS(#REF!,#REF!,7))</f>
        <v>#REF!</v>
      </c>
      <c r="AC16" s="262" t="e">
        <f xml:space="preserve">
IF($A$4&lt;=12,SUMIFS(#REF!,#REF!,$A$4,#REF!,7),SUMIFS(#REF!,#REF!,7))</f>
        <v>#REF!</v>
      </c>
      <c r="AD16" s="262" t="e">
        <f xml:space="preserve">
IF($A$4&lt;=12,SUMIFS(#REF!,#REF!,$A$4,#REF!,7),SUMIFS(#REF!,#REF!,7))</f>
        <v>#REF!</v>
      </c>
      <c r="AE16" s="262" t="e">
        <f xml:space="preserve">
IF($A$4&lt;=12,SUMIFS(#REF!,#REF!,$A$4,#REF!,7),SUMIFS(#REF!,#REF!,7))</f>
        <v>#REF!</v>
      </c>
      <c r="AF16" s="262" t="e">
        <f xml:space="preserve">
IF($A$4&lt;=12,SUMIFS(#REF!,#REF!,$A$4,#REF!,7),SUMIFS(#REF!,#REF!,7))</f>
        <v>#REF!</v>
      </c>
      <c r="AG16" s="262" t="e">
        <f xml:space="preserve">
IF($A$4&lt;=12,SUMIFS(#REF!,#REF!,$A$4,#REF!,7),SUMIFS(#REF!,#REF!,7))</f>
        <v>#REF!</v>
      </c>
      <c r="AH16" s="262" t="e">
        <f xml:space="preserve">
IF($A$4&lt;=12,SUMIFS(#REF!,#REF!,$A$4,#REF!,7),SUMIFS(#REF!,#REF!,7))</f>
        <v>#REF!</v>
      </c>
      <c r="AI16" s="262" t="e">
        <f xml:space="preserve">
IF($A$4&lt;=12,SUMIFS(#REF!,#REF!,$A$4,#REF!,7),SUMIFS(#REF!,#REF!,7))</f>
        <v>#REF!</v>
      </c>
      <c r="AJ16" s="262" t="e">
        <f xml:space="preserve">
IF($A$4&lt;=12,SUMIFS(#REF!,#REF!,$A$4,#REF!,7),SUMIFS(#REF!,#REF!,7))</f>
        <v>#REF!</v>
      </c>
      <c r="AK16" s="263" t="e">
        <f xml:space="preserve">
IF($A$4&lt;=12,SUMIFS(#REF!,#REF!,$A$4,#REF!,7),SUMIFS(#REF!,#REF!,7))</f>
        <v>#REF!</v>
      </c>
    </row>
    <row r="17" spans="1:37" x14ac:dyDescent="0.3">
      <c r="A17" s="245" t="s">
        <v>170</v>
      </c>
      <c r="B17" s="260" t="e">
        <f xml:space="preserve">
IF($A$4&lt;=12,SUMIFS(#REF!,#REF!,$A$4,#REF!,8),SUMIFS(#REF!,#REF!,8))</f>
        <v>#REF!</v>
      </c>
      <c r="C17" s="261" t="e">
        <f xml:space="preserve">
IF($A$4&lt;=12,SUMIFS(#REF!,#REF!,$A$4,#REF!,8),SUMIFS(#REF!,#REF!,8))</f>
        <v>#REF!</v>
      </c>
      <c r="D17" s="262" t="e">
        <f xml:space="preserve">
IF($A$4&lt;=12,SUMIFS(#REF!,#REF!,$A$4,#REF!,8),SUMIFS(#REF!,#REF!,8))</f>
        <v>#REF!</v>
      </c>
      <c r="E17" s="262" t="e">
        <f xml:space="preserve">
IF($A$4&lt;=12,SUMIFS(#REF!,#REF!,$A$4,#REF!,8),SUMIFS(#REF!,#REF!,8))</f>
        <v>#REF!</v>
      </c>
      <c r="F17" s="262" t="e">
        <f xml:space="preserve">
IF($A$4&lt;=12,SUMIFS(#REF!,#REF!,$A$4,#REF!,8),SUMIFS(#REF!,#REF!,8))</f>
        <v>#REF!</v>
      </c>
      <c r="G17" s="262" t="e">
        <f xml:space="preserve">
IF($A$4&lt;=12,SUMIFS(#REF!,#REF!,$A$4,#REF!,8),SUMIFS(#REF!,#REF!,8))</f>
        <v>#REF!</v>
      </c>
      <c r="H17" s="262" t="e">
        <f xml:space="preserve">
IF($A$4&lt;=12,SUMIFS(#REF!,#REF!,$A$4,#REF!,8),SUMIFS(#REF!,#REF!,8))</f>
        <v>#REF!</v>
      </c>
      <c r="I17" s="262" t="e">
        <f xml:space="preserve">
IF($A$4&lt;=12,SUMIFS(#REF!,#REF!,$A$4,#REF!,8),SUMIFS(#REF!,#REF!,8))</f>
        <v>#REF!</v>
      </c>
      <c r="J17" s="262" t="e">
        <f xml:space="preserve">
IF($A$4&lt;=12,SUMIFS(#REF!,#REF!,$A$4,#REF!,8),SUMIFS(#REF!,#REF!,8))</f>
        <v>#REF!</v>
      </c>
      <c r="K17" s="262" t="e">
        <f xml:space="preserve">
IF($A$4&lt;=12,SUMIFS(#REF!,#REF!,$A$4,#REF!,8),SUMIFS(#REF!,#REF!,8))</f>
        <v>#REF!</v>
      </c>
      <c r="L17" s="262" t="e">
        <f xml:space="preserve">
IF($A$4&lt;=12,SUMIFS(#REF!,#REF!,$A$4,#REF!,8),SUMIFS(#REF!,#REF!,8))</f>
        <v>#REF!</v>
      </c>
      <c r="M17" s="262" t="e">
        <f xml:space="preserve">
IF($A$4&lt;=12,SUMIFS(#REF!,#REF!,$A$4,#REF!,8),SUMIFS(#REF!,#REF!,8))</f>
        <v>#REF!</v>
      </c>
      <c r="N17" s="262" t="e">
        <f xml:space="preserve">
IF($A$4&lt;=12,SUMIFS(#REF!,#REF!,$A$4,#REF!,8),SUMIFS(#REF!,#REF!,8))</f>
        <v>#REF!</v>
      </c>
      <c r="O17" s="262" t="e">
        <f xml:space="preserve">
IF($A$4&lt;=12,SUMIFS(#REF!,#REF!,$A$4,#REF!,8),SUMIFS(#REF!,#REF!,8))</f>
        <v>#REF!</v>
      </c>
      <c r="P17" s="262" t="e">
        <f xml:space="preserve">
IF($A$4&lt;=12,SUMIFS(#REF!,#REF!,$A$4,#REF!,8),SUMIFS(#REF!,#REF!,8))</f>
        <v>#REF!</v>
      </c>
      <c r="Q17" s="262" t="e">
        <f xml:space="preserve">
IF($A$4&lt;=12,SUMIFS(#REF!,#REF!,$A$4,#REF!,8),SUMIFS(#REF!,#REF!,8))</f>
        <v>#REF!</v>
      </c>
      <c r="R17" s="262" t="e">
        <f xml:space="preserve">
IF($A$4&lt;=12,SUMIFS(#REF!,#REF!,$A$4,#REF!,8),SUMIFS(#REF!,#REF!,8))</f>
        <v>#REF!</v>
      </c>
      <c r="S17" s="262" t="e">
        <f xml:space="preserve">
IF($A$4&lt;=12,SUMIFS(#REF!,#REF!,$A$4,#REF!,8),SUMIFS(#REF!,#REF!,8))</f>
        <v>#REF!</v>
      </c>
      <c r="T17" s="262" t="e">
        <f xml:space="preserve">
IF($A$4&lt;=12,SUMIFS(#REF!,#REF!,$A$4,#REF!,8),SUMIFS(#REF!,#REF!,8))</f>
        <v>#REF!</v>
      </c>
      <c r="U17" s="262" t="e">
        <f xml:space="preserve">
IF($A$4&lt;=12,SUMIFS(#REF!,#REF!,$A$4,#REF!,8),SUMIFS(#REF!,#REF!,8))</f>
        <v>#REF!</v>
      </c>
      <c r="V17" s="262" t="e">
        <f xml:space="preserve">
IF($A$4&lt;=12,SUMIFS(#REF!,#REF!,$A$4,#REF!,8),SUMIFS(#REF!,#REF!,8))</f>
        <v>#REF!</v>
      </c>
      <c r="W17" s="262" t="e">
        <f xml:space="preserve">
IF($A$4&lt;=12,SUMIFS(#REF!,#REF!,$A$4,#REF!,8),SUMIFS(#REF!,#REF!,8))</f>
        <v>#REF!</v>
      </c>
      <c r="X17" s="262" t="e">
        <f xml:space="preserve">
IF($A$4&lt;=12,SUMIFS(#REF!,#REF!,$A$4,#REF!,8),SUMIFS(#REF!,#REF!,8))</f>
        <v>#REF!</v>
      </c>
      <c r="Y17" s="262" t="e">
        <f xml:space="preserve">
IF($A$4&lt;=12,SUMIFS(#REF!,#REF!,$A$4,#REF!,8),SUMIFS(#REF!,#REF!,8))</f>
        <v>#REF!</v>
      </c>
      <c r="Z17" s="262" t="e">
        <f xml:space="preserve">
IF($A$4&lt;=12,SUMIFS(#REF!,#REF!,$A$4,#REF!,8),SUMIFS(#REF!,#REF!,8))</f>
        <v>#REF!</v>
      </c>
      <c r="AA17" s="262" t="e">
        <f xml:space="preserve">
IF($A$4&lt;=12,SUMIFS(#REF!,#REF!,$A$4,#REF!,8),SUMIFS(#REF!,#REF!,8))</f>
        <v>#REF!</v>
      </c>
      <c r="AB17" s="262" t="e">
        <f xml:space="preserve">
IF($A$4&lt;=12,SUMIFS(#REF!,#REF!,$A$4,#REF!,8),SUMIFS(#REF!,#REF!,8))</f>
        <v>#REF!</v>
      </c>
      <c r="AC17" s="262" t="e">
        <f xml:space="preserve">
IF($A$4&lt;=12,SUMIFS(#REF!,#REF!,$A$4,#REF!,8),SUMIFS(#REF!,#REF!,8))</f>
        <v>#REF!</v>
      </c>
      <c r="AD17" s="262" t="e">
        <f xml:space="preserve">
IF($A$4&lt;=12,SUMIFS(#REF!,#REF!,$A$4,#REF!,8),SUMIFS(#REF!,#REF!,8))</f>
        <v>#REF!</v>
      </c>
      <c r="AE17" s="262" t="e">
        <f xml:space="preserve">
IF($A$4&lt;=12,SUMIFS(#REF!,#REF!,$A$4,#REF!,8),SUMIFS(#REF!,#REF!,8))</f>
        <v>#REF!</v>
      </c>
      <c r="AF17" s="262" t="e">
        <f xml:space="preserve">
IF($A$4&lt;=12,SUMIFS(#REF!,#REF!,$A$4,#REF!,8),SUMIFS(#REF!,#REF!,8))</f>
        <v>#REF!</v>
      </c>
      <c r="AG17" s="262" t="e">
        <f xml:space="preserve">
IF($A$4&lt;=12,SUMIFS(#REF!,#REF!,$A$4,#REF!,8),SUMIFS(#REF!,#REF!,8))</f>
        <v>#REF!</v>
      </c>
      <c r="AH17" s="262" t="e">
        <f xml:space="preserve">
IF($A$4&lt;=12,SUMIFS(#REF!,#REF!,$A$4,#REF!,8),SUMIFS(#REF!,#REF!,8))</f>
        <v>#REF!</v>
      </c>
      <c r="AI17" s="262" t="e">
        <f xml:space="preserve">
IF($A$4&lt;=12,SUMIFS(#REF!,#REF!,$A$4,#REF!,8),SUMIFS(#REF!,#REF!,8))</f>
        <v>#REF!</v>
      </c>
      <c r="AJ17" s="262" t="e">
        <f xml:space="preserve">
IF($A$4&lt;=12,SUMIFS(#REF!,#REF!,$A$4,#REF!,8),SUMIFS(#REF!,#REF!,8))</f>
        <v>#REF!</v>
      </c>
      <c r="AK17" s="263" t="e">
        <f xml:space="preserve">
IF($A$4&lt;=12,SUMIFS(#REF!,#REF!,$A$4,#REF!,8),SUMIFS(#REF!,#REF!,8))</f>
        <v>#REF!</v>
      </c>
    </row>
    <row r="18" spans="1:37" x14ac:dyDescent="0.3">
      <c r="A18" s="245" t="s">
        <v>171</v>
      </c>
      <c r="B18" s="260" t="e">
        <f xml:space="preserve">
B19-B16-B17</f>
        <v>#REF!</v>
      </c>
      <c r="C18" s="261" t="e">
        <f t="shared" ref="C18:H18" si="0" xml:space="preserve">
C19-C16-C17</f>
        <v>#REF!</v>
      </c>
      <c r="D18" s="262" t="e">
        <f t="shared" si="0"/>
        <v>#REF!</v>
      </c>
      <c r="E18" s="262" t="e">
        <f t="shared" si="0"/>
        <v>#REF!</v>
      </c>
      <c r="F18" s="262" t="e">
        <f t="shared" si="0"/>
        <v>#REF!</v>
      </c>
      <c r="G18" s="262" t="e">
        <f t="shared" si="0"/>
        <v>#REF!</v>
      </c>
      <c r="H18" s="262" t="e">
        <f t="shared" si="0"/>
        <v>#REF!</v>
      </c>
      <c r="I18" s="262" t="e">
        <f t="shared" ref="I18:AK18" si="1" xml:space="preserve">
I19-I16-I17</f>
        <v>#REF!</v>
      </c>
      <c r="J18" s="262" t="e">
        <f t="shared" si="1"/>
        <v>#REF!</v>
      </c>
      <c r="K18" s="262" t="e">
        <f t="shared" si="1"/>
        <v>#REF!</v>
      </c>
      <c r="L18" s="262" t="e">
        <f t="shared" si="1"/>
        <v>#REF!</v>
      </c>
      <c r="M18" s="262" t="e">
        <f t="shared" si="1"/>
        <v>#REF!</v>
      </c>
      <c r="N18" s="262" t="e">
        <f t="shared" si="1"/>
        <v>#REF!</v>
      </c>
      <c r="O18" s="262" t="e">
        <f t="shared" si="1"/>
        <v>#REF!</v>
      </c>
      <c r="P18" s="262" t="e">
        <f t="shared" si="1"/>
        <v>#REF!</v>
      </c>
      <c r="Q18" s="262" t="e">
        <f t="shared" si="1"/>
        <v>#REF!</v>
      </c>
      <c r="R18" s="262" t="e">
        <f t="shared" si="1"/>
        <v>#REF!</v>
      </c>
      <c r="S18" s="262" t="e">
        <f t="shared" si="1"/>
        <v>#REF!</v>
      </c>
      <c r="T18" s="262" t="e">
        <f t="shared" si="1"/>
        <v>#REF!</v>
      </c>
      <c r="U18" s="262" t="e">
        <f t="shared" si="1"/>
        <v>#REF!</v>
      </c>
      <c r="V18" s="262" t="e">
        <f t="shared" si="1"/>
        <v>#REF!</v>
      </c>
      <c r="W18" s="262" t="e">
        <f t="shared" si="1"/>
        <v>#REF!</v>
      </c>
      <c r="X18" s="262" t="e">
        <f t="shared" si="1"/>
        <v>#REF!</v>
      </c>
      <c r="Y18" s="262" t="e">
        <f t="shared" si="1"/>
        <v>#REF!</v>
      </c>
      <c r="Z18" s="262" t="e">
        <f t="shared" si="1"/>
        <v>#REF!</v>
      </c>
      <c r="AA18" s="262" t="e">
        <f t="shared" si="1"/>
        <v>#REF!</v>
      </c>
      <c r="AB18" s="262" t="e">
        <f t="shared" si="1"/>
        <v>#REF!</v>
      </c>
      <c r="AC18" s="262" t="e">
        <f t="shared" si="1"/>
        <v>#REF!</v>
      </c>
      <c r="AD18" s="262" t="e">
        <f t="shared" si="1"/>
        <v>#REF!</v>
      </c>
      <c r="AE18" s="262" t="e">
        <f t="shared" si="1"/>
        <v>#REF!</v>
      </c>
      <c r="AF18" s="262" t="e">
        <f t="shared" si="1"/>
        <v>#REF!</v>
      </c>
      <c r="AG18" s="262" t="e">
        <f t="shared" si="1"/>
        <v>#REF!</v>
      </c>
      <c r="AH18" s="262" t="e">
        <f t="shared" si="1"/>
        <v>#REF!</v>
      </c>
      <c r="AI18" s="262" t="e">
        <f t="shared" si="1"/>
        <v>#REF!</v>
      </c>
      <c r="AJ18" s="262" t="e">
        <f t="shared" si="1"/>
        <v>#REF!</v>
      </c>
      <c r="AK18" s="263" t="e">
        <f t="shared" si="1"/>
        <v>#REF!</v>
      </c>
    </row>
    <row r="19" spans="1:37" ht="15" thickBot="1" x14ac:dyDescent="0.35">
      <c r="A19" s="246" t="s">
        <v>172</v>
      </c>
      <c r="B19" s="272" t="e">
        <f xml:space="preserve">
IF($A$4&lt;=12,SUMIFS(#REF!,#REF!,$A$4,#REF!,9),SUMIFS(#REF!,#REF!,9))</f>
        <v>#REF!</v>
      </c>
      <c r="C19" s="273" t="e">
        <f xml:space="preserve">
IF($A$4&lt;=12,SUMIFS(#REF!,#REF!,$A$4,#REF!,9),SUMIFS(#REF!,#REF!,9))</f>
        <v>#REF!</v>
      </c>
      <c r="D19" s="274" t="e">
        <f xml:space="preserve">
IF($A$4&lt;=12,SUMIFS(#REF!,#REF!,$A$4,#REF!,9),SUMIFS(#REF!,#REF!,9))</f>
        <v>#REF!</v>
      </c>
      <c r="E19" s="274" t="e">
        <f xml:space="preserve">
IF($A$4&lt;=12,SUMIFS(#REF!,#REF!,$A$4,#REF!,9),SUMIFS(#REF!,#REF!,9))</f>
        <v>#REF!</v>
      </c>
      <c r="F19" s="274" t="e">
        <f xml:space="preserve">
IF($A$4&lt;=12,SUMIFS(#REF!,#REF!,$A$4,#REF!,9),SUMIFS(#REF!,#REF!,9))</f>
        <v>#REF!</v>
      </c>
      <c r="G19" s="274" t="e">
        <f xml:space="preserve">
IF($A$4&lt;=12,SUMIFS(#REF!,#REF!,$A$4,#REF!,9),SUMIFS(#REF!,#REF!,9))</f>
        <v>#REF!</v>
      </c>
      <c r="H19" s="274" t="e">
        <f xml:space="preserve">
IF($A$4&lt;=12,SUMIFS(#REF!,#REF!,$A$4,#REF!,9),SUMIFS(#REF!,#REF!,9))</f>
        <v>#REF!</v>
      </c>
      <c r="I19" s="274" t="e">
        <f xml:space="preserve">
IF($A$4&lt;=12,SUMIFS(#REF!,#REF!,$A$4,#REF!,9),SUMIFS(#REF!,#REF!,9))</f>
        <v>#REF!</v>
      </c>
      <c r="J19" s="274" t="e">
        <f xml:space="preserve">
IF($A$4&lt;=12,SUMIFS(#REF!,#REF!,$A$4,#REF!,9),SUMIFS(#REF!,#REF!,9))</f>
        <v>#REF!</v>
      </c>
      <c r="K19" s="274" t="e">
        <f xml:space="preserve">
IF($A$4&lt;=12,SUMIFS(#REF!,#REF!,$A$4,#REF!,9),SUMIFS(#REF!,#REF!,9))</f>
        <v>#REF!</v>
      </c>
      <c r="L19" s="274" t="e">
        <f xml:space="preserve">
IF($A$4&lt;=12,SUMIFS(#REF!,#REF!,$A$4,#REF!,9),SUMIFS(#REF!,#REF!,9))</f>
        <v>#REF!</v>
      </c>
      <c r="M19" s="274" t="e">
        <f xml:space="preserve">
IF($A$4&lt;=12,SUMIFS(#REF!,#REF!,$A$4,#REF!,9),SUMIFS(#REF!,#REF!,9))</f>
        <v>#REF!</v>
      </c>
      <c r="N19" s="274" t="e">
        <f xml:space="preserve">
IF($A$4&lt;=12,SUMIFS(#REF!,#REF!,$A$4,#REF!,9),SUMIFS(#REF!,#REF!,9))</f>
        <v>#REF!</v>
      </c>
      <c r="O19" s="274" t="e">
        <f xml:space="preserve">
IF($A$4&lt;=12,SUMIFS(#REF!,#REF!,$A$4,#REF!,9),SUMIFS(#REF!,#REF!,9))</f>
        <v>#REF!</v>
      </c>
      <c r="P19" s="274" t="e">
        <f xml:space="preserve">
IF($A$4&lt;=12,SUMIFS(#REF!,#REF!,$A$4,#REF!,9),SUMIFS(#REF!,#REF!,9))</f>
        <v>#REF!</v>
      </c>
      <c r="Q19" s="274" t="e">
        <f xml:space="preserve">
IF($A$4&lt;=12,SUMIFS(#REF!,#REF!,$A$4,#REF!,9),SUMIFS(#REF!,#REF!,9))</f>
        <v>#REF!</v>
      </c>
      <c r="R19" s="274" t="e">
        <f xml:space="preserve">
IF($A$4&lt;=12,SUMIFS(#REF!,#REF!,$A$4,#REF!,9),SUMIFS(#REF!,#REF!,9))</f>
        <v>#REF!</v>
      </c>
      <c r="S19" s="274" t="e">
        <f xml:space="preserve">
IF($A$4&lt;=12,SUMIFS(#REF!,#REF!,$A$4,#REF!,9),SUMIFS(#REF!,#REF!,9))</f>
        <v>#REF!</v>
      </c>
      <c r="T19" s="274" t="e">
        <f xml:space="preserve">
IF($A$4&lt;=12,SUMIFS(#REF!,#REF!,$A$4,#REF!,9),SUMIFS(#REF!,#REF!,9))</f>
        <v>#REF!</v>
      </c>
      <c r="U19" s="274" t="e">
        <f xml:space="preserve">
IF($A$4&lt;=12,SUMIFS(#REF!,#REF!,$A$4,#REF!,9),SUMIFS(#REF!,#REF!,9))</f>
        <v>#REF!</v>
      </c>
      <c r="V19" s="274" t="e">
        <f xml:space="preserve">
IF($A$4&lt;=12,SUMIFS(#REF!,#REF!,$A$4,#REF!,9),SUMIFS(#REF!,#REF!,9))</f>
        <v>#REF!</v>
      </c>
      <c r="W19" s="274" t="e">
        <f xml:space="preserve">
IF($A$4&lt;=12,SUMIFS(#REF!,#REF!,$A$4,#REF!,9),SUMIFS(#REF!,#REF!,9))</f>
        <v>#REF!</v>
      </c>
      <c r="X19" s="274" t="e">
        <f xml:space="preserve">
IF($A$4&lt;=12,SUMIFS(#REF!,#REF!,$A$4,#REF!,9),SUMIFS(#REF!,#REF!,9))</f>
        <v>#REF!</v>
      </c>
      <c r="Y19" s="274" t="e">
        <f xml:space="preserve">
IF($A$4&lt;=12,SUMIFS(#REF!,#REF!,$A$4,#REF!,9),SUMIFS(#REF!,#REF!,9))</f>
        <v>#REF!</v>
      </c>
      <c r="Z19" s="274" t="e">
        <f xml:space="preserve">
IF($A$4&lt;=12,SUMIFS(#REF!,#REF!,$A$4,#REF!,9),SUMIFS(#REF!,#REF!,9))</f>
        <v>#REF!</v>
      </c>
      <c r="AA19" s="274" t="e">
        <f xml:space="preserve">
IF($A$4&lt;=12,SUMIFS(#REF!,#REF!,$A$4,#REF!,9),SUMIFS(#REF!,#REF!,9))</f>
        <v>#REF!</v>
      </c>
      <c r="AB19" s="274" t="e">
        <f xml:space="preserve">
IF($A$4&lt;=12,SUMIFS(#REF!,#REF!,$A$4,#REF!,9),SUMIFS(#REF!,#REF!,9))</f>
        <v>#REF!</v>
      </c>
      <c r="AC19" s="274" t="e">
        <f xml:space="preserve">
IF($A$4&lt;=12,SUMIFS(#REF!,#REF!,$A$4,#REF!,9),SUMIFS(#REF!,#REF!,9))</f>
        <v>#REF!</v>
      </c>
      <c r="AD19" s="274" t="e">
        <f xml:space="preserve">
IF($A$4&lt;=12,SUMIFS(#REF!,#REF!,$A$4,#REF!,9),SUMIFS(#REF!,#REF!,9))</f>
        <v>#REF!</v>
      </c>
      <c r="AE19" s="274" t="e">
        <f xml:space="preserve">
IF($A$4&lt;=12,SUMIFS(#REF!,#REF!,$A$4,#REF!,9),SUMIFS(#REF!,#REF!,9))</f>
        <v>#REF!</v>
      </c>
      <c r="AF19" s="274" t="e">
        <f xml:space="preserve">
IF($A$4&lt;=12,SUMIFS(#REF!,#REF!,$A$4,#REF!,9),SUMIFS(#REF!,#REF!,9))</f>
        <v>#REF!</v>
      </c>
      <c r="AG19" s="274" t="e">
        <f xml:space="preserve">
IF($A$4&lt;=12,SUMIFS(#REF!,#REF!,$A$4,#REF!,9),SUMIFS(#REF!,#REF!,9))</f>
        <v>#REF!</v>
      </c>
      <c r="AH19" s="274" t="e">
        <f xml:space="preserve">
IF($A$4&lt;=12,SUMIFS(#REF!,#REF!,$A$4,#REF!,9),SUMIFS(#REF!,#REF!,9))</f>
        <v>#REF!</v>
      </c>
      <c r="AI19" s="274" t="e">
        <f xml:space="preserve">
IF($A$4&lt;=12,SUMIFS(#REF!,#REF!,$A$4,#REF!,9),SUMIFS(#REF!,#REF!,9))</f>
        <v>#REF!</v>
      </c>
      <c r="AJ19" s="274" t="e">
        <f xml:space="preserve">
IF($A$4&lt;=12,SUMIFS(#REF!,#REF!,$A$4,#REF!,9),SUMIFS(#REF!,#REF!,9))</f>
        <v>#REF!</v>
      </c>
      <c r="AK19" s="275" t="e">
        <f xml:space="preserve">
IF($A$4&lt;=12,SUMIFS(#REF!,#REF!,$A$4,#REF!,9),SUMIFS(#REF!,#REF!,9))</f>
        <v>#REF!</v>
      </c>
    </row>
    <row r="20" spans="1:37" ht="15" collapsed="1" thickBot="1" x14ac:dyDescent="0.35">
      <c r="A20" s="247" t="s">
        <v>71</v>
      </c>
      <c r="B20" s="276" t="e">
        <f xml:space="preserve">
IF($A$4&lt;=12,SUMIFS(#REF!,#REF!,$A$4,#REF!,6),SUMIFS(#REF!,#REF!,6))</f>
        <v>#REF!</v>
      </c>
      <c r="C20" s="277" t="e">
        <f xml:space="preserve">
IF($A$4&lt;=12,SUMIFS(#REF!,#REF!,$A$4,#REF!,6),SUMIFS(#REF!,#REF!,6))</f>
        <v>#REF!</v>
      </c>
      <c r="D20" s="278" t="e">
        <f xml:space="preserve">
IF($A$4&lt;=12,SUMIFS(#REF!,#REF!,$A$4,#REF!,6),SUMIFS(#REF!,#REF!,6))</f>
        <v>#REF!</v>
      </c>
      <c r="E20" s="278" t="e">
        <f xml:space="preserve">
IF($A$4&lt;=12,SUMIFS(#REF!,#REF!,$A$4,#REF!,6),SUMIFS(#REF!,#REF!,6))</f>
        <v>#REF!</v>
      </c>
      <c r="F20" s="278" t="e">
        <f xml:space="preserve">
IF($A$4&lt;=12,SUMIFS(#REF!,#REF!,$A$4,#REF!,6),SUMIFS(#REF!,#REF!,6))</f>
        <v>#REF!</v>
      </c>
      <c r="G20" s="278" t="e">
        <f xml:space="preserve">
IF($A$4&lt;=12,SUMIFS(#REF!,#REF!,$A$4,#REF!,6),SUMIFS(#REF!,#REF!,6))</f>
        <v>#REF!</v>
      </c>
      <c r="H20" s="278" t="e">
        <f xml:space="preserve">
IF($A$4&lt;=12,SUMIFS(#REF!,#REF!,$A$4,#REF!,6),SUMIFS(#REF!,#REF!,6))</f>
        <v>#REF!</v>
      </c>
      <c r="I20" s="278" t="e">
        <f xml:space="preserve">
IF($A$4&lt;=12,SUMIFS(#REF!,#REF!,$A$4,#REF!,6),SUMIFS(#REF!,#REF!,6))</f>
        <v>#REF!</v>
      </c>
      <c r="J20" s="278" t="e">
        <f xml:space="preserve">
IF($A$4&lt;=12,SUMIFS(#REF!,#REF!,$A$4,#REF!,6),SUMIFS(#REF!,#REF!,6))</f>
        <v>#REF!</v>
      </c>
      <c r="K20" s="278" t="e">
        <f xml:space="preserve">
IF($A$4&lt;=12,SUMIFS(#REF!,#REF!,$A$4,#REF!,6),SUMIFS(#REF!,#REF!,6))</f>
        <v>#REF!</v>
      </c>
      <c r="L20" s="278" t="e">
        <f xml:space="preserve">
IF($A$4&lt;=12,SUMIFS(#REF!,#REF!,$A$4,#REF!,6),SUMIFS(#REF!,#REF!,6))</f>
        <v>#REF!</v>
      </c>
      <c r="M20" s="278" t="e">
        <f xml:space="preserve">
IF($A$4&lt;=12,SUMIFS(#REF!,#REF!,$A$4,#REF!,6),SUMIFS(#REF!,#REF!,6))</f>
        <v>#REF!</v>
      </c>
      <c r="N20" s="278" t="e">
        <f xml:space="preserve">
IF($A$4&lt;=12,SUMIFS(#REF!,#REF!,$A$4,#REF!,6),SUMIFS(#REF!,#REF!,6))</f>
        <v>#REF!</v>
      </c>
      <c r="O20" s="278" t="e">
        <f xml:space="preserve">
IF($A$4&lt;=12,SUMIFS(#REF!,#REF!,$A$4,#REF!,6),SUMIFS(#REF!,#REF!,6))</f>
        <v>#REF!</v>
      </c>
      <c r="P20" s="278" t="e">
        <f xml:space="preserve">
IF($A$4&lt;=12,SUMIFS(#REF!,#REF!,$A$4,#REF!,6),SUMIFS(#REF!,#REF!,6))</f>
        <v>#REF!</v>
      </c>
      <c r="Q20" s="278" t="e">
        <f xml:space="preserve">
IF($A$4&lt;=12,SUMIFS(#REF!,#REF!,$A$4,#REF!,6),SUMIFS(#REF!,#REF!,6))</f>
        <v>#REF!</v>
      </c>
      <c r="R20" s="278" t="e">
        <f xml:space="preserve">
IF($A$4&lt;=12,SUMIFS(#REF!,#REF!,$A$4,#REF!,6),SUMIFS(#REF!,#REF!,6))</f>
        <v>#REF!</v>
      </c>
      <c r="S20" s="278" t="e">
        <f xml:space="preserve">
IF($A$4&lt;=12,SUMIFS(#REF!,#REF!,$A$4,#REF!,6),SUMIFS(#REF!,#REF!,6))</f>
        <v>#REF!</v>
      </c>
      <c r="T20" s="278" t="e">
        <f xml:space="preserve">
IF($A$4&lt;=12,SUMIFS(#REF!,#REF!,$A$4,#REF!,6),SUMIFS(#REF!,#REF!,6))</f>
        <v>#REF!</v>
      </c>
      <c r="U20" s="278" t="e">
        <f xml:space="preserve">
IF($A$4&lt;=12,SUMIFS(#REF!,#REF!,$A$4,#REF!,6),SUMIFS(#REF!,#REF!,6))</f>
        <v>#REF!</v>
      </c>
      <c r="V20" s="278" t="e">
        <f xml:space="preserve">
IF($A$4&lt;=12,SUMIFS(#REF!,#REF!,$A$4,#REF!,6),SUMIFS(#REF!,#REF!,6))</f>
        <v>#REF!</v>
      </c>
      <c r="W20" s="278" t="e">
        <f xml:space="preserve">
IF($A$4&lt;=12,SUMIFS(#REF!,#REF!,$A$4,#REF!,6),SUMIFS(#REF!,#REF!,6))</f>
        <v>#REF!</v>
      </c>
      <c r="X20" s="278" t="e">
        <f xml:space="preserve">
IF($A$4&lt;=12,SUMIFS(#REF!,#REF!,$A$4,#REF!,6),SUMIFS(#REF!,#REF!,6))</f>
        <v>#REF!</v>
      </c>
      <c r="Y20" s="278" t="e">
        <f xml:space="preserve">
IF($A$4&lt;=12,SUMIFS(#REF!,#REF!,$A$4,#REF!,6),SUMIFS(#REF!,#REF!,6))</f>
        <v>#REF!</v>
      </c>
      <c r="Z20" s="278" t="e">
        <f xml:space="preserve">
IF($A$4&lt;=12,SUMIFS(#REF!,#REF!,$A$4,#REF!,6),SUMIFS(#REF!,#REF!,6))</f>
        <v>#REF!</v>
      </c>
      <c r="AA20" s="278" t="e">
        <f xml:space="preserve">
IF($A$4&lt;=12,SUMIFS(#REF!,#REF!,$A$4,#REF!,6),SUMIFS(#REF!,#REF!,6))</f>
        <v>#REF!</v>
      </c>
      <c r="AB20" s="278" t="e">
        <f xml:space="preserve">
IF($A$4&lt;=12,SUMIFS(#REF!,#REF!,$A$4,#REF!,6),SUMIFS(#REF!,#REF!,6))</f>
        <v>#REF!</v>
      </c>
      <c r="AC20" s="278" t="e">
        <f xml:space="preserve">
IF($A$4&lt;=12,SUMIFS(#REF!,#REF!,$A$4,#REF!,6),SUMIFS(#REF!,#REF!,6))</f>
        <v>#REF!</v>
      </c>
      <c r="AD20" s="278" t="e">
        <f xml:space="preserve">
IF($A$4&lt;=12,SUMIFS(#REF!,#REF!,$A$4,#REF!,6),SUMIFS(#REF!,#REF!,6))</f>
        <v>#REF!</v>
      </c>
      <c r="AE20" s="278" t="e">
        <f xml:space="preserve">
IF($A$4&lt;=12,SUMIFS(#REF!,#REF!,$A$4,#REF!,6),SUMIFS(#REF!,#REF!,6))</f>
        <v>#REF!</v>
      </c>
      <c r="AF20" s="278" t="e">
        <f xml:space="preserve">
IF($A$4&lt;=12,SUMIFS(#REF!,#REF!,$A$4,#REF!,6),SUMIFS(#REF!,#REF!,6))</f>
        <v>#REF!</v>
      </c>
      <c r="AG20" s="278" t="e">
        <f xml:space="preserve">
IF($A$4&lt;=12,SUMIFS(#REF!,#REF!,$A$4,#REF!,6),SUMIFS(#REF!,#REF!,6))</f>
        <v>#REF!</v>
      </c>
      <c r="AH20" s="278" t="e">
        <f xml:space="preserve">
IF($A$4&lt;=12,SUMIFS(#REF!,#REF!,$A$4,#REF!,6),SUMIFS(#REF!,#REF!,6))</f>
        <v>#REF!</v>
      </c>
      <c r="AI20" s="278" t="e">
        <f xml:space="preserve">
IF($A$4&lt;=12,SUMIFS(#REF!,#REF!,$A$4,#REF!,6),SUMIFS(#REF!,#REF!,6))</f>
        <v>#REF!</v>
      </c>
      <c r="AJ20" s="278" t="e">
        <f xml:space="preserve">
IF($A$4&lt;=12,SUMIFS(#REF!,#REF!,$A$4,#REF!,6),SUMIFS(#REF!,#REF!,6))</f>
        <v>#REF!</v>
      </c>
      <c r="AK20" s="279" t="e">
        <f xml:space="preserve">
IF($A$4&lt;=12,SUMIFS(#REF!,#REF!,$A$4,#REF!,6),SUMIFS(#REF!,#REF!,6))</f>
        <v>#REF!</v>
      </c>
    </row>
    <row r="21" spans="1:37" hidden="1" outlineLevel="1" x14ac:dyDescent="0.3">
      <c r="A21" s="240" t="s">
        <v>105</v>
      </c>
      <c r="B21" s="260" t="e">
        <f xml:space="preserve">
IF($A$4&lt;=12,SUMIFS(#REF!,#REF!,$A$4,#REF!,12),SUMIFS(#REF!,#REF!,12))</f>
        <v>#REF!</v>
      </c>
      <c r="C21" s="261" t="e">
        <f xml:space="preserve">
IF($A$4&lt;=12,SUMIFS(#REF!,#REF!,$A$4,#REF!,12),SUMIFS(#REF!,#REF!,12))</f>
        <v>#REF!</v>
      </c>
      <c r="D21" s="262" t="e">
        <f xml:space="preserve">
IF($A$4&lt;=12,SUMIFS(#REF!,#REF!,$A$4,#REF!,12),SUMIFS(#REF!,#REF!,12))</f>
        <v>#REF!</v>
      </c>
      <c r="E21" s="262" t="e">
        <f xml:space="preserve">
IF($A$4&lt;=12,SUMIFS(#REF!,#REF!,$A$4,#REF!,12),SUMIFS(#REF!,#REF!,12))</f>
        <v>#REF!</v>
      </c>
      <c r="F21" s="262" t="e">
        <f xml:space="preserve">
IF($A$4&lt;=12,SUMIFS(#REF!,#REF!,$A$4,#REF!,12),SUMIFS(#REF!,#REF!,12))</f>
        <v>#REF!</v>
      </c>
      <c r="G21" s="262" t="e">
        <f xml:space="preserve">
IF($A$4&lt;=12,SUMIFS(#REF!,#REF!,$A$4,#REF!,12),SUMIFS(#REF!,#REF!,12))</f>
        <v>#REF!</v>
      </c>
      <c r="H21" s="262" t="e">
        <f xml:space="preserve">
IF($A$4&lt;=12,SUMIFS(#REF!,#REF!,$A$4,#REF!,12),SUMIFS(#REF!,#REF!,12))</f>
        <v>#REF!</v>
      </c>
      <c r="I21" s="262" t="e">
        <f xml:space="preserve">
IF($A$4&lt;=12,SUMIFS(#REF!,#REF!,$A$4,#REF!,12),SUMIFS(#REF!,#REF!,12))</f>
        <v>#REF!</v>
      </c>
      <c r="J21" s="262" t="e">
        <f xml:space="preserve">
IF($A$4&lt;=12,SUMIFS(#REF!,#REF!,$A$4,#REF!,12),SUMIFS(#REF!,#REF!,12))</f>
        <v>#REF!</v>
      </c>
      <c r="K21" s="262" t="e">
        <f xml:space="preserve">
IF($A$4&lt;=12,SUMIFS(#REF!,#REF!,$A$4,#REF!,12),SUMIFS(#REF!,#REF!,12))</f>
        <v>#REF!</v>
      </c>
      <c r="L21" s="262" t="e">
        <f xml:space="preserve">
IF($A$4&lt;=12,SUMIFS(#REF!,#REF!,$A$4,#REF!,12),SUMIFS(#REF!,#REF!,12))</f>
        <v>#REF!</v>
      </c>
      <c r="M21" s="262" t="e">
        <f xml:space="preserve">
IF($A$4&lt;=12,SUMIFS(#REF!,#REF!,$A$4,#REF!,12),SUMIFS(#REF!,#REF!,12))</f>
        <v>#REF!</v>
      </c>
      <c r="N21" s="262" t="e">
        <f xml:space="preserve">
IF($A$4&lt;=12,SUMIFS(#REF!,#REF!,$A$4,#REF!,12),SUMIFS(#REF!,#REF!,12))</f>
        <v>#REF!</v>
      </c>
      <c r="O21" s="262" t="e">
        <f xml:space="preserve">
IF($A$4&lt;=12,SUMIFS(#REF!,#REF!,$A$4,#REF!,12),SUMIFS(#REF!,#REF!,12))</f>
        <v>#REF!</v>
      </c>
      <c r="P21" s="262" t="e">
        <f xml:space="preserve">
IF($A$4&lt;=12,SUMIFS(#REF!,#REF!,$A$4,#REF!,12),SUMIFS(#REF!,#REF!,12))</f>
        <v>#REF!</v>
      </c>
      <c r="Q21" s="262" t="e">
        <f xml:space="preserve">
IF($A$4&lt;=12,SUMIFS(#REF!,#REF!,$A$4,#REF!,12),SUMIFS(#REF!,#REF!,12))</f>
        <v>#REF!</v>
      </c>
      <c r="R21" s="262" t="e">
        <f xml:space="preserve">
IF($A$4&lt;=12,SUMIFS(#REF!,#REF!,$A$4,#REF!,12),SUMIFS(#REF!,#REF!,12))</f>
        <v>#REF!</v>
      </c>
      <c r="S21" s="262" t="e">
        <f xml:space="preserve">
IF($A$4&lt;=12,SUMIFS(#REF!,#REF!,$A$4,#REF!,12),SUMIFS(#REF!,#REF!,12))</f>
        <v>#REF!</v>
      </c>
      <c r="T21" s="262" t="e">
        <f xml:space="preserve">
IF($A$4&lt;=12,SUMIFS(#REF!,#REF!,$A$4,#REF!,12),SUMIFS(#REF!,#REF!,12))</f>
        <v>#REF!</v>
      </c>
      <c r="U21" s="262" t="e">
        <f xml:space="preserve">
IF($A$4&lt;=12,SUMIFS(#REF!,#REF!,$A$4,#REF!,12),SUMIFS(#REF!,#REF!,12))</f>
        <v>#REF!</v>
      </c>
      <c r="V21" s="262" t="e">
        <f xml:space="preserve">
IF($A$4&lt;=12,SUMIFS(#REF!,#REF!,$A$4,#REF!,12),SUMIFS(#REF!,#REF!,12))</f>
        <v>#REF!</v>
      </c>
      <c r="W21" s="262" t="e">
        <f xml:space="preserve">
IF($A$4&lt;=12,SUMIFS(#REF!,#REF!,$A$4,#REF!,12),SUMIFS(#REF!,#REF!,12))</f>
        <v>#REF!</v>
      </c>
      <c r="X21" s="262" t="e">
        <f xml:space="preserve">
IF($A$4&lt;=12,SUMIFS(#REF!,#REF!,$A$4,#REF!,12),SUMIFS(#REF!,#REF!,12))</f>
        <v>#REF!</v>
      </c>
      <c r="Y21" s="262" t="e">
        <f xml:space="preserve">
IF($A$4&lt;=12,SUMIFS(#REF!,#REF!,$A$4,#REF!,12),SUMIFS(#REF!,#REF!,12))</f>
        <v>#REF!</v>
      </c>
      <c r="Z21" s="262" t="e">
        <f xml:space="preserve">
IF($A$4&lt;=12,SUMIFS(#REF!,#REF!,$A$4,#REF!,12),SUMIFS(#REF!,#REF!,12))</f>
        <v>#REF!</v>
      </c>
      <c r="AA21" s="262" t="e">
        <f xml:space="preserve">
IF($A$4&lt;=12,SUMIFS(#REF!,#REF!,$A$4,#REF!,12),SUMIFS(#REF!,#REF!,12))</f>
        <v>#REF!</v>
      </c>
      <c r="AB21" s="262" t="e">
        <f xml:space="preserve">
IF($A$4&lt;=12,SUMIFS(#REF!,#REF!,$A$4,#REF!,12),SUMIFS(#REF!,#REF!,12))</f>
        <v>#REF!</v>
      </c>
      <c r="AC21" s="262" t="e">
        <f xml:space="preserve">
IF($A$4&lt;=12,SUMIFS(#REF!,#REF!,$A$4,#REF!,12),SUMIFS(#REF!,#REF!,12))</f>
        <v>#REF!</v>
      </c>
      <c r="AD21" s="262" t="e">
        <f xml:space="preserve">
IF($A$4&lt;=12,SUMIFS(#REF!,#REF!,$A$4,#REF!,12),SUMIFS(#REF!,#REF!,12))</f>
        <v>#REF!</v>
      </c>
      <c r="AE21" s="262" t="e">
        <f xml:space="preserve">
IF($A$4&lt;=12,SUMIFS(#REF!,#REF!,$A$4,#REF!,12),SUMIFS(#REF!,#REF!,12))</f>
        <v>#REF!</v>
      </c>
      <c r="AF21" s="262" t="e">
        <f xml:space="preserve">
IF($A$4&lt;=12,SUMIFS(#REF!,#REF!,$A$4,#REF!,12),SUMIFS(#REF!,#REF!,12))</f>
        <v>#REF!</v>
      </c>
      <c r="AG21" s="262" t="e">
        <f xml:space="preserve">
IF($A$4&lt;=12,SUMIFS(#REF!,#REF!,$A$4,#REF!,12),SUMIFS(#REF!,#REF!,12))</f>
        <v>#REF!</v>
      </c>
      <c r="AH21" s="262" t="e">
        <f xml:space="preserve">
IF($A$4&lt;=12,SUMIFS(#REF!,#REF!,$A$4,#REF!,12),SUMIFS(#REF!,#REF!,12))</f>
        <v>#REF!</v>
      </c>
      <c r="AI21" s="262" t="e">
        <f xml:space="preserve">
IF($A$4&lt;=12,SUMIFS(#REF!,#REF!,$A$4,#REF!,12),SUMIFS(#REF!,#REF!,12))</f>
        <v>#REF!</v>
      </c>
      <c r="AJ21" s="262" t="e">
        <f xml:space="preserve">
IF($A$4&lt;=12,SUMIFS(#REF!,#REF!,$A$4,#REF!,12),SUMIFS(#REF!,#REF!,12))</f>
        <v>#REF!</v>
      </c>
      <c r="AK21" s="263" t="e">
        <f xml:space="preserve">
IF($A$4&lt;=12,SUMIFS(#REF!,#REF!,$A$4,#REF!,12),SUMIFS(#REF!,#REF!,12))</f>
        <v>#REF!</v>
      </c>
    </row>
    <row r="22" spans="1:37" hidden="1" outlineLevel="1" x14ac:dyDescent="0.3">
      <c r="A22" s="240" t="s">
        <v>73</v>
      </c>
      <c r="B22" s="311" t="e">
        <f xml:space="preserve">
IF(OR(B21="",B21=0),"",B20/B21)</f>
        <v>#REF!</v>
      </c>
      <c r="C22" s="312" t="e">
        <f t="shared" ref="C22:H22" si="2" xml:space="preserve">
IF(OR(C21="",C21=0),"",C20/C21)</f>
        <v>#REF!</v>
      </c>
      <c r="D22" s="313" t="e">
        <f t="shared" si="2"/>
        <v>#REF!</v>
      </c>
      <c r="E22" s="313" t="e">
        <f t="shared" si="2"/>
        <v>#REF!</v>
      </c>
      <c r="F22" s="313" t="e">
        <f t="shared" si="2"/>
        <v>#REF!</v>
      </c>
      <c r="G22" s="313" t="e">
        <f t="shared" si="2"/>
        <v>#REF!</v>
      </c>
      <c r="H22" s="313" t="e">
        <f t="shared" si="2"/>
        <v>#REF!</v>
      </c>
      <c r="I22" s="313" t="e">
        <f t="shared" ref="I22:AK22" si="3" xml:space="preserve">
IF(OR(I21="",I21=0),"",I20/I21)</f>
        <v>#REF!</v>
      </c>
      <c r="J22" s="313" t="e">
        <f t="shared" si="3"/>
        <v>#REF!</v>
      </c>
      <c r="K22" s="313" t="e">
        <f t="shared" si="3"/>
        <v>#REF!</v>
      </c>
      <c r="L22" s="313" t="e">
        <f t="shared" si="3"/>
        <v>#REF!</v>
      </c>
      <c r="M22" s="313" t="e">
        <f t="shared" si="3"/>
        <v>#REF!</v>
      </c>
      <c r="N22" s="313" t="e">
        <f t="shared" si="3"/>
        <v>#REF!</v>
      </c>
      <c r="O22" s="313" t="e">
        <f t="shared" si="3"/>
        <v>#REF!</v>
      </c>
      <c r="P22" s="313" t="e">
        <f t="shared" si="3"/>
        <v>#REF!</v>
      </c>
      <c r="Q22" s="313" t="e">
        <f t="shared" si="3"/>
        <v>#REF!</v>
      </c>
      <c r="R22" s="313" t="e">
        <f t="shared" si="3"/>
        <v>#REF!</v>
      </c>
      <c r="S22" s="313" t="e">
        <f t="shared" si="3"/>
        <v>#REF!</v>
      </c>
      <c r="T22" s="313" t="e">
        <f t="shared" si="3"/>
        <v>#REF!</v>
      </c>
      <c r="U22" s="313" t="e">
        <f t="shared" si="3"/>
        <v>#REF!</v>
      </c>
      <c r="V22" s="313" t="e">
        <f t="shared" si="3"/>
        <v>#REF!</v>
      </c>
      <c r="W22" s="313" t="e">
        <f t="shared" si="3"/>
        <v>#REF!</v>
      </c>
      <c r="X22" s="313" t="e">
        <f t="shared" si="3"/>
        <v>#REF!</v>
      </c>
      <c r="Y22" s="313" t="e">
        <f t="shared" si="3"/>
        <v>#REF!</v>
      </c>
      <c r="Z22" s="313" t="e">
        <f t="shared" si="3"/>
        <v>#REF!</v>
      </c>
      <c r="AA22" s="313" t="e">
        <f t="shared" si="3"/>
        <v>#REF!</v>
      </c>
      <c r="AB22" s="313" t="e">
        <f t="shared" si="3"/>
        <v>#REF!</v>
      </c>
      <c r="AC22" s="313" t="e">
        <f t="shared" si="3"/>
        <v>#REF!</v>
      </c>
      <c r="AD22" s="313" t="e">
        <f t="shared" si="3"/>
        <v>#REF!</v>
      </c>
      <c r="AE22" s="313" t="e">
        <f t="shared" si="3"/>
        <v>#REF!</v>
      </c>
      <c r="AF22" s="313" t="e">
        <f t="shared" si="3"/>
        <v>#REF!</v>
      </c>
      <c r="AG22" s="313" t="e">
        <f t="shared" si="3"/>
        <v>#REF!</v>
      </c>
      <c r="AH22" s="313" t="e">
        <f t="shared" si="3"/>
        <v>#REF!</v>
      </c>
      <c r="AI22" s="313" t="e">
        <f t="shared" si="3"/>
        <v>#REF!</v>
      </c>
      <c r="AJ22" s="313" t="e">
        <f t="shared" si="3"/>
        <v>#REF!</v>
      </c>
      <c r="AK22" s="314" t="e">
        <f t="shared" si="3"/>
        <v>#REF!</v>
      </c>
    </row>
    <row r="23" spans="1:37" ht="15" hidden="1" outlineLevel="1" thickBot="1" x14ac:dyDescent="0.35">
      <c r="A23" s="248" t="s">
        <v>66</v>
      </c>
      <c r="B23" s="264" t="e">
        <f xml:space="preserve">
IF(B21="","",B20-B21)</f>
        <v>#REF!</v>
      </c>
      <c r="C23" s="265" t="e">
        <f t="shared" ref="C23:H23" si="4" xml:space="preserve">
IF(C21="","",C20-C21)</f>
        <v>#REF!</v>
      </c>
      <c r="D23" s="266" t="e">
        <f t="shared" si="4"/>
        <v>#REF!</v>
      </c>
      <c r="E23" s="266" t="e">
        <f t="shared" si="4"/>
        <v>#REF!</v>
      </c>
      <c r="F23" s="266" t="e">
        <f t="shared" si="4"/>
        <v>#REF!</v>
      </c>
      <c r="G23" s="266" t="e">
        <f t="shared" si="4"/>
        <v>#REF!</v>
      </c>
      <c r="H23" s="266" t="e">
        <f t="shared" si="4"/>
        <v>#REF!</v>
      </c>
      <c r="I23" s="266" t="e">
        <f t="shared" ref="I23:AK23" si="5" xml:space="preserve">
IF(I21="","",I20-I21)</f>
        <v>#REF!</v>
      </c>
      <c r="J23" s="266" t="e">
        <f t="shared" si="5"/>
        <v>#REF!</v>
      </c>
      <c r="K23" s="266" t="e">
        <f t="shared" si="5"/>
        <v>#REF!</v>
      </c>
      <c r="L23" s="266" t="e">
        <f t="shared" si="5"/>
        <v>#REF!</v>
      </c>
      <c r="M23" s="266" t="e">
        <f t="shared" si="5"/>
        <v>#REF!</v>
      </c>
      <c r="N23" s="266" t="e">
        <f t="shared" si="5"/>
        <v>#REF!</v>
      </c>
      <c r="O23" s="266" t="e">
        <f t="shared" si="5"/>
        <v>#REF!</v>
      </c>
      <c r="P23" s="266" t="e">
        <f t="shared" si="5"/>
        <v>#REF!</v>
      </c>
      <c r="Q23" s="266" t="e">
        <f t="shared" si="5"/>
        <v>#REF!</v>
      </c>
      <c r="R23" s="266" t="e">
        <f t="shared" si="5"/>
        <v>#REF!</v>
      </c>
      <c r="S23" s="266" t="e">
        <f t="shared" si="5"/>
        <v>#REF!</v>
      </c>
      <c r="T23" s="266" t="e">
        <f t="shared" si="5"/>
        <v>#REF!</v>
      </c>
      <c r="U23" s="266" t="e">
        <f t="shared" si="5"/>
        <v>#REF!</v>
      </c>
      <c r="V23" s="266" t="e">
        <f t="shared" si="5"/>
        <v>#REF!</v>
      </c>
      <c r="W23" s="266" t="e">
        <f t="shared" si="5"/>
        <v>#REF!</v>
      </c>
      <c r="X23" s="266" t="e">
        <f t="shared" si="5"/>
        <v>#REF!</v>
      </c>
      <c r="Y23" s="266" t="e">
        <f t="shared" si="5"/>
        <v>#REF!</v>
      </c>
      <c r="Z23" s="266" t="e">
        <f t="shared" si="5"/>
        <v>#REF!</v>
      </c>
      <c r="AA23" s="266" t="e">
        <f t="shared" si="5"/>
        <v>#REF!</v>
      </c>
      <c r="AB23" s="266" t="e">
        <f t="shared" si="5"/>
        <v>#REF!</v>
      </c>
      <c r="AC23" s="266" t="e">
        <f t="shared" si="5"/>
        <v>#REF!</v>
      </c>
      <c r="AD23" s="266" t="e">
        <f t="shared" si="5"/>
        <v>#REF!</v>
      </c>
      <c r="AE23" s="266" t="e">
        <f t="shared" si="5"/>
        <v>#REF!</v>
      </c>
      <c r="AF23" s="266" t="e">
        <f t="shared" si="5"/>
        <v>#REF!</v>
      </c>
      <c r="AG23" s="266" t="e">
        <f t="shared" si="5"/>
        <v>#REF!</v>
      </c>
      <c r="AH23" s="266" t="e">
        <f t="shared" si="5"/>
        <v>#REF!</v>
      </c>
      <c r="AI23" s="266" t="e">
        <f t="shared" si="5"/>
        <v>#REF!</v>
      </c>
      <c r="AJ23" s="266" t="e">
        <f t="shared" si="5"/>
        <v>#REF!</v>
      </c>
      <c r="AK23" s="267" t="e">
        <f t="shared" si="5"/>
        <v>#REF!</v>
      </c>
    </row>
    <row r="24" spans="1:37" x14ac:dyDescent="0.3">
      <c r="A24" s="242" t="s">
        <v>173</v>
      </c>
      <c r="B24" s="297" t="s">
        <v>3</v>
      </c>
      <c r="C24" s="387" t="s">
        <v>184</v>
      </c>
      <c r="D24" s="388"/>
      <c r="E24" s="388"/>
      <c r="F24" s="389"/>
      <c r="G24" s="383" t="s">
        <v>185</v>
      </c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9"/>
      <c r="AJ24" s="383" t="s">
        <v>186</v>
      </c>
      <c r="AK24" s="384"/>
    </row>
    <row r="25" spans="1:37" x14ac:dyDescent="0.3">
      <c r="A25" s="243" t="s">
        <v>71</v>
      </c>
      <c r="B25" s="260" t="e">
        <f xml:space="preserve">
SUM(C25:AK25)</f>
        <v>#REF!</v>
      </c>
      <c r="C25" s="391" t="e">
        <f xml:space="preserve">
IF($A$4&lt;=12,SUMIFS(#REF!,#REF!,$A$4,#REF!,10),SUMIFS(#REF!,#REF!,10))</f>
        <v>#REF!</v>
      </c>
      <c r="D25" s="392"/>
      <c r="E25" s="392"/>
      <c r="F25" s="393"/>
      <c r="G25" s="385" t="e">
        <f xml:space="preserve">
IF($A$4&lt;=12,SUMIFS(#REF!,#REF!,$A$4,#REF!,10),SUMIFS(#REF!,#REF!,10))</f>
        <v>#REF!</v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3"/>
      <c r="AJ25" s="385" t="e">
        <f xml:space="preserve">
IF($A$4&lt;=12,SUMIFS(#REF!,#REF!,$A$4,#REF!,10),SUMIFS(#REF!,#REF!,10))</f>
        <v>#REF!</v>
      </c>
      <c r="AK25" s="386"/>
    </row>
    <row r="26" spans="1:37" x14ac:dyDescent="0.3">
      <c r="A26" s="249" t="s">
        <v>183</v>
      </c>
      <c r="B26" s="272" t="e">
        <f xml:space="preserve">
SUM(C26:AK26)</f>
        <v>#REF!</v>
      </c>
      <c r="C26" s="391" t="e">
        <f xml:space="preserve">
IF($A$4&lt;=12,SUMIFS(#REF!,#REF!,$A$4,#REF!,11),SUMIFS(#REF!,#REF!,11))</f>
        <v>#REF!</v>
      </c>
      <c r="D26" s="392"/>
      <c r="E26" s="392"/>
      <c r="F26" s="393"/>
      <c r="G26" s="394" t="e">
        <f xml:space="preserve">
IF($A$4&lt;=12,SUMIFS(#REF!,#REF!,$A$4,#REF!,11),SUMIFS(#REF!,#REF!,11))</f>
        <v>#REF!</v>
      </c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6"/>
      <c r="AJ26" s="385" t="e">
        <f xml:space="preserve">
IF($A$4&lt;=12,SUMIFS(#REF!,#REF!,$A$4,#REF!,11),SUMIFS(#REF!,#REF!,11))</f>
        <v>#REF!</v>
      </c>
      <c r="AK26" s="390"/>
    </row>
    <row r="27" spans="1:37" x14ac:dyDescent="0.3">
      <c r="A27" s="249" t="s">
        <v>73</v>
      </c>
      <c r="B27" s="298" t="e">
        <f xml:space="preserve">
IF(B26=0,0,B25/B26)</f>
        <v>#REF!</v>
      </c>
      <c r="C27" s="404" t="e">
        <f xml:space="preserve">
IF(C26=0,0,C25/C26)</f>
        <v>#REF!</v>
      </c>
      <c r="D27" s="405"/>
      <c r="E27" s="405"/>
      <c r="F27" s="406"/>
      <c r="G27" s="400" t="e">
        <f xml:space="preserve">
IF(G26=0,0,G25/G26)</f>
        <v>#REF!</v>
      </c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6"/>
      <c r="AJ27" s="400" t="e">
        <f xml:space="preserve">
IF(AJ26=0,0,AJ25/AJ26)</f>
        <v>#REF!</v>
      </c>
      <c r="AK27" s="401"/>
    </row>
    <row r="28" spans="1:37" ht="15" thickBot="1" x14ac:dyDescent="0.35">
      <c r="A28" s="249" t="s">
        <v>182</v>
      </c>
      <c r="B28" s="272" t="e">
        <f xml:space="preserve">
SUM(C28:AK28)</f>
        <v>#REF!</v>
      </c>
      <c r="C28" s="397" t="e">
        <f xml:space="preserve">
C26-C25</f>
        <v>#REF!</v>
      </c>
      <c r="D28" s="398"/>
      <c r="E28" s="398"/>
      <c r="F28" s="399"/>
      <c r="G28" s="402" t="e">
        <f xml:space="preserve">
G26-G25</f>
        <v>#REF!</v>
      </c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9"/>
      <c r="AJ28" s="402" t="e">
        <f xml:space="preserve">
AJ26-AJ25</f>
        <v>#REF!</v>
      </c>
      <c r="AK28" s="403"/>
    </row>
    <row r="29" spans="1:37" x14ac:dyDescent="0.3">
      <c r="A29" s="250"/>
      <c r="B29" s="250"/>
      <c r="C29" s="251"/>
      <c r="D29" s="250"/>
      <c r="E29" s="250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0"/>
      <c r="AH29" s="250"/>
      <c r="AI29" s="250"/>
      <c r="AJ29" s="250"/>
      <c r="AK29" s="250"/>
    </row>
    <row r="30" spans="1:37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37" x14ac:dyDescent="0.3">
      <c r="A31" s="114" t="s">
        <v>180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37" ht="14.4" customHeight="1" x14ac:dyDescent="0.3">
      <c r="A32" s="294" t="s">
        <v>177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</row>
    <row r="33" spans="1:1" x14ac:dyDescent="0.3">
      <c r="A33" s="296" t="s">
        <v>187</v>
      </c>
    </row>
    <row r="34" spans="1:1" x14ac:dyDescent="0.3">
      <c r="A34" s="296" t="s">
        <v>188</v>
      </c>
    </row>
    <row r="35" spans="1:1" x14ac:dyDescent="0.3">
      <c r="A35" s="296" t="s">
        <v>189</v>
      </c>
    </row>
    <row r="36" spans="1:1" x14ac:dyDescent="0.3">
      <c r="A36" s="296" t="s">
        <v>190</v>
      </c>
    </row>
  </sheetData>
  <mergeCells count="17">
    <mergeCell ref="C28:F28"/>
    <mergeCell ref="AJ27:AK27"/>
    <mergeCell ref="AJ28:AK28"/>
    <mergeCell ref="C27:F27"/>
    <mergeCell ref="G27:AI27"/>
    <mergeCell ref="G28:AI28"/>
    <mergeCell ref="AJ26:AK26"/>
    <mergeCell ref="C25:F25"/>
    <mergeCell ref="C26:F26"/>
    <mergeCell ref="G24:AI24"/>
    <mergeCell ref="G25:AI25"/>
    <mergeCell ref="G26:AI26"/>
    <mergeCell ref="A1:AK1"/>
    <mergeCell ref="B3:B4"/>
    <mergeCell ref="AJ24:AK24"/>
    <mergeCell ref="AJ25:AK25"/>
    <mergeCell ref="C24:F24"/>
  </mergeCells>
  <conditionalFormatting sqref="C27 AJ27 G27">
    <cfRule type="cellIs" dxfId="4" priority="4" operator="greaterThan">
      <formula>1</formula>
    </cfRule>
  </conditionalFormatting>
  <conditionalFormatting sqref="C28 AJ28 G28">
    <cfRule type="cellIs" dxfId="3" priority="3" operator="lessThan">
      <formula>0</formula>
    </cfRule>
  </conditionalFormatting>
  <conditionalFormatting sqref="B22:AK22">
    <cfRule type="cellIs" dxfId="2" priority="2" operator="greaterThan">
      <formula>1</formula>
    </cfRule>
  </conditionalFormatting>
  <conditionalFormatting sqref="B23:AK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407" t="s">
        <v>535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 ht="14.4" customHeight="1" thickBot="1" x14ac:dyDescent="0.35">
      <c r="A2" s="231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124</v>
      </c>
      <c r="B3" s="222">
        <f>SUBTOTAL(9,B6:B1048576)/2</f>
        <v>292006</v>
      </c>
      <c r="C3" s="223">
        <f t="shared" ref="C3:R3" si="0">SUBTOTAL(9,C6:C1048576)</f>
        <v>2</v>
      </c>
      <c r="D3" s="223">
        <f>SUBTOTAL(9,D6:D1048576)/2</f>
        <v>403877</v>
      </c>
      <c r="E3" s="223">
        <f t="shared" si="0"/>
        <v>2.7662239816990062</v>
      </c>
      <c r="F3" s="223">
        <f>SUBTOTAL(9,F6:F1048576)/2</f>
        <v>534188</v>
      </c>
      <c r="G3" s="224">
        <f>IF(B3&lt;&gt;0,F3/B3,"")</f>
        <v>1.8293733690403622</v>
      </c>
      <c r="H3" s="225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6" t="str">
        <f>IF(H3&lt;&gt;0,L3/H3,"")</f>
        <v/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408" t="s">
        <v>245</v>
      </c>
      <c r="B4" s="409" t="s">
        <v>97</v>
      </c>
      <c r="C4" s="410"/>
      <c r="D4" s="410"/>
      <c r="E4" s="410"/>
      <c r="F4" s="410"/>
      <c r="G4" s="411"/>
      <c r="H4" s="409" t="s">
        <v>98</v>
      </c>
      <c r="I4" s="410"/>
      <c r="J4" s="410"/>
      <c r="K4" s="410"/>
      <c r="L4" s="410"/>
      <c r="M4" s="411"/>
      <c r="N4" s="409" t="s">
        <v>99</v>
      </c>
      <c r="O4" s="410"/>
      <c r="P4" s="410"/>
      <c r="Q4" s="410"/>
      <c r="R4" s="410"/>
      <c r="S4" s="411"/>
    </row>
    <row r="5" spans="1:19" ht="14.4" customHeight="1" thickBot="1" x14ac:dyDescent="0.35">
      <c r="A5" s="546"/>
      <c r="B5" s="547">
        <v>2013</v>
      </c>
      <c r="C5" s="548"/>
      <c r="D5" s="548">
        <v>2014</v>
      </c>
      <c r="E5" s="548"/>
      <c r="F5" s="548">
        <v>2015</v>
      </c>
      <c r="G5" s="549" t="s">
        <v>2</v>
      </c>
      <c r="H5" s="547">
        <v>2013</v>
      </c>
      <c r="I5" s="548"/>
      <c r="J5" s="548">
        <v>2014</v>
      </c>
      <c r="K5" s="548"/>
      <c r="L5" s="548">
        <v>2015</v>
      </c>
      <c r="M5" s="549" t="s">
        <v>2</v>
      </c>
      <c r="N5" s="547">
        <v>2013</v>
      </c>
      <c r="O5" s="548"/>
      <c r="P5" s="548">
        <v>2014</v>
      </c>
      <c r="Q5" s="548"/>
      <c r="R5" s="548">
        <v>2015</v>
      </c>
      <c r="S5" s="549" t="s">
        <v>2</v>
      </c>
    </row>
    <row r="6" spans="1:19" ht="14.4" customHeight="1" x14ac:dyDescent="0.3">
      <c r="A6" s="529" t="s">
        <v>533</v>
      </c>
      <c r="B6" s="550"/>
      <c r="C6" s="501"/>
      <c r="D6" s="550"/>
      <c r="E6" s="501"/>
      <c r="F6" s="550">
        <v>99476</v>
      </c>
      <c r="G6" s="506"/>
      <c r="H6" s="550"/>
      <c r="I6" s="501"/>
      <c r="J6" s="550"/>
      <c r="K6" s="501"/>
      <c r="L6" s="550"/>
      <c r="M6" s="506"/>
      <c r="N6" s="550"/>
      <c r="O6" s="501"/>
      <c r="P6" s="550"/>
      <c r="Q6" s="501"/>
      <c r="R6" s="550"/>
      <c r="S6" s="122"/>
    </row>
    <row r="7" spans="1:19" ht="14.4" customHeight="1" thickBot="1" x14ac:dyDescent="0.35">
      <c r="A7" s="552" t="s">
        <v>534</v>
      </c>
      <c r="B7" s="551">
        <v>292006</v>
      </c>
      <c r="C7" s="474">
        <v>1</v>
      </c>
      <c r="D7" s="551">
        <v>403877</v>
      </c>
      <c r="E7" s="474">
        <v>1.3831119908495031</v>
      </c>
      <c r="F7" s="551">
        <v>434712</v>
      </c>
      <c r="G7" s="487">
        <v>1.4887091361136415</v>
      </c>
      <c r="H7" s="551"/>
      <c r="I7" s="474"/>
      <c r="J7" s="551"/>
      <c r="K7" s="474"/>
      <c r="L7" s="551"/>
      <c r="M7" s="487"/>
      <c r="N7" s="551"/>
      <c r="O7" s="474"/>
      <c r="P7" s="551"/>
      <c r="Q7" s="474"/>
      <c r="R7" s="551"/>
      <c r="S7" s="488"/>
    </row>
    <row r="8" spans="1:19" ht="14.4" customHeight="1" thickBot="1" x14ac:dyDescent="0.35"/>
    <row r="9" spans="1:19" ht="14.4" customHeight="1" x14ac:dyDescent="0.3">
      <c r="A9" s="529" t="s">
        <v>309</v>
      </c>
      <c r="B9" s="550">
        <v>292006</v>
      </c>
      <c r="C9" s="501">
        <v>1</v>
      </c>
      <c r="D9" s="550">
        <v>403877</v>
      </c>
      <c r="E9" s="501">
        <v>1.3831119908495031</v>
      </c>
      <c r="F9" s="550">
        <v>434712</v>
      </c>
      <c r="G9" s="506">
        <v>1.4887091361136415</v>
      </c>
      <c r="H9" s="550"/>
      <c r="I9" s="501"/>
      <c r="J9" s="550"/>
      <c r="K9" s="501"/>
      <c r="L9" s="550"/>
      <c r="M9" s="506"/>
      <c r="N9" s="550"/>
      <c r="O9" s="501"/>
      <c r="P9" s="550"/>
      <c r="Q9" s="501"/>
      <c r="R9" s="550"/>
      <c r="S9" s="122"/>
    </row>
    <row r="10" spans="1:19" ht="14.4" customHeight="1" thickBot="1" x14ac:dyDescent="0.35">
      <c r="A10" s="552" t="s">
        <v>459</v>
      </c>
      <c r="B10" s="551"/>
      <c r="C10" s="474"/>
      <c r="D10" s="551"/>
      <c r="E10" s="474"/>
      <c r="F10" s="551">
        <v>99476</v>
      </c>
      <c r="G10" s="487"/>
      <c r="H10" s="551"/>
      <c r="I10" s="474"/>
      <c r="J10" s="551"/>
      <c r="K10" s="474"/>
      <c r="L10" s="551"/>
      <c r="M10" s="487"/>
      <c r="N10" s="551"/>
      <c r="O10" s="474"/>
      <c r="P10" s="551"/>
      <c r="Q10" s="474"/>
      <c r="R10" s="551"/>
      <c r="S10" s="488"/>
    </row>
    <row r="11" spans="1:19" ht="14.4" customHeight="1" x14ac:dyDescent="0.3">
      <c r="A11" s="459" t="s">
        <v>315</v>
      </c>
    </row>
    <row r="12" spans="1:19" ht="14.4" customHeight="1" x14ac:dyDescent="0.3">
      <c r="A12" s="460" t="s">
        <v>316</v>
      </c>
    </row>
    <row r="13" spans="1:19" ht="14.4" customHeight="1" x14ac:dyDescent="0.3">
      <c r="A13" s="459" t="s">
        <v>536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7" t="s">
        <v>540</v>
      </c>
      <c r="B1" s="319"/>
      <c r="C1" s="319"/>
      <c r="D1" s="319"/>
      <c r="E1" s="319"/>
      <c r="F1" s="319"/>
      <c r="G1" s="319"/>
    </row>
    <row r="2" spans="1:7" ht="14.4" customHeight="1" thickBot="1" x14ac:dyDescent="0.35">
      <c r="A2" s="231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124</v>
      </c>
      <c r="B3" s="308">
        <f t="shared" ref="B3:G3" si="0">SUBTOTAL(9,B6:B1048576)</f>
        <v>322</v>
      </c>
      <c r="C3" s="309">
        <f t="shared" si="0"/>
        <v>709</v>
      </c>
      <c r="D3" s="309">
        <f t="shared" si="0"/>
        <v>1051</v>
      </c>
      <c r="E3" s="225">
        <f t="shared" si="0"/>
        <v>292006</v>
      </c>
      <c r="F3" s="223">
        <f t="shared" si="0"/>
        <v>403877</v>
      </c>
      <c r="G3" s="310">
        <f t="shared" si="0"/>
        <v>534188</v>
      </c>
    </row>
    <row r="4" spans="1:7" ht="14.4" customHeight="1" x14ac:dyDescent="0.3">
      <c r="A4" s="408" t="s">
        <v>131</v>
      </c>
      <c r="B4" s="409" t="s">
        <v>221</v>
      </c>
      <c r="C4" s="410"/>
      <c r="D4" s="410"/>
      <c r="E4" s="412" t="s">
        <v>97</v>
      </c>
      <c r="F4" s="413"/>
      <c r="G4" s="414"/>
    </row>
    <row r="5" spans="1:7" ht="14.4" customHeight="1" thickBot="1" x14ac:dyDescent="0.35">
      <c r="A5" s="546"/>
      <c r="B5" s="547">
        <v>2013</v>
      </c>
      <c r="C5" s="548">
        <v>2014</v>
      </c>
      <c r="D5" s="548">
        <v>2015</v>
      </c>
      <c r="E5" s="547">
        <v>2013</v>
      </c>
      <c r="F5" s="548">
        <v>2014</v>
      </c>
      <c r="G5" s="553">
        <v>2015</v>
      </c>
    </row>
    <row r="6" spans="1:7" ht="14.4" customHeight="1" x14ac:dyDescent="0.3">
      <c r="A6" s="529" t="s">
        <v>537</v>
      </c>
      <c r="B6" s="116">
        <v>45</v>
      </c>
      <c r="C6" s="116">
        <v>107</v>
      </c>
      <c r="D6" s="116">
        <v>51</v>
      </c>
      <c r="E6" s="550">
        <v>10188</v>
      </c>
      <c r="F6" s="550">
        <v>24543</v>
      </c>
      <c r="G6" s="554">
        <v>12082</v>
      </c>
    </row>
    <row r="7" spans="1:7" ht="14.4" customHeight="1" x14ac:dyDescent="0.3">
      <c r="A7" s="530" t="s">
        <v>318</v>
      </c>
      <c r="B7" s="472">
        <v>1</v>
      </c>
      <c r="C7" s="472">
        <v>1</v>
      </c>
      <c r="D7" s="472"/>
      <c r="E7" s="555">
        <v>232</v>
      </c>
      <c r="F7" s="555">
        <v>234</v>
      </c>
      <c r="G7" s="556"/>
    </row>
    <row r="8" spans="1:7" ht="14.4" customHeight="1" x14ac:dyDescent="0.3">
      <c r="A8" s="530" t="s">
        <v>319</v>
      </c>
      <c r="B8" s="472">
        <v>32</v>
      </c>
      <c r="C8" s="472">
        <v>58</v>
      </c>
      <c r="D8" s="472">
        <v>38</v>
      </c>
      <c r="E8" s="555">
        <v>6264</v>
      </c>
      <c r="F8" s="555">
        <v>12328</v>
      </c>
      <c r="G8" s="556">
        <v>8930</v>
      </c>
    </row>
    <row r="9" spans="1:7" ht="14.4" customHeight="1" x14ac:dyDescent="0.3">
      <c r="A9" s="530" t="s">
        <v>320</v>
      </c>
      <c r="B9" s="472">
        <v>85</v>
      </c>
      <c r="C9" s="472">
        <v>266</v>
      </c>
      <c r="D9" s="472">
        <v>361</v>
      </c>
      <c r="E9" s="555">
        <v>130354</v>
      </c>
      <c r="F9" s="555">
        <v>122700</v>
      </c>
      <c r="G9" s="556">
        <v>173515</v>
      </c>
    </row>
    <row r="10" spans="1:7" ht="14.4" customHeight="1" x14ac:dyDescent="0.3">
      <c r="A10" s="530" t="s">
        <v>538</v>
      </c>
      <c r="B10" s="472">
        <v>1</v>
      </c>
      <c r="C10" s="472"/>
      <c r="D10" s="472"/>
      <c r="E10" s="555">
        <v>232</v>
      </c>
      <c r="F10" s="555"/>
      <c r="G10" s="556"/>
    </row>
    <row r="11" spans="1:7" ht="14.4" customHeight="1" x14ac:dyDescent="0.3">
      <c r="A11" s="530" t="s">
        <v>321</v>
      </c>
      <c r="B11" s="472">
        <v>158</v>
      </c>
      <c r="C11" s="472">
        <v>277</v>
      </c>
      <c r="D11" s="472">
        <v>579</v>
      </c>
      <c r="E11" s="555">
        <v>144736</v>
      </c>
      <c r="F11" s="555">
        <v>244072</v>
      </c>
      <c r="G11" s="556">
        <v>333897</v>
      </c>
    </row>
    <row r="12" spans="1:7" ht="14.4" customHeight="1" thickBot="1" x14ac:dyDescent="0.35">
      <c r="A12" s="552" t="s">
        <v>539</v>
      </c>
      <c r="B12" s="475"/>
      <c r="C12" s="475"/>
      <c r="D12" s="475">
        <v>22</v>
      </c>
      <c r="E12" s="551"/>
      <c r="F12" s="551"/>
      <c r="G12" s="557">
        <v>5764</v>
      </c>
    </row>
    <row r="13" spans="1:7" ht="14.4" customHeight="1" x14ac:dyDescent="0.3">
      <c r="A13" s="459" t="s">
        <v>315</v>
      </c>
    </row>
    <row r="14" spans="1:7" ht="14.4" customHeight="1" x14ac:dyDescent="0.3">
      <c r="A14" s="460" t="s">
        <v>316</v>
      </c>
    </row>
    <row r="15" spans="1:7" ht="14.4" customHeight="1" x14ac:dyDescent="0.3">
      <c r="A15" s="459" t="s">
        <v>536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19" t="s">
        <v>559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ht="14.4" customHeight="1" thickBot="1" x14ac:dyDescent="0.35">
      <c r="A2" s="231" t="s">
        <v>246</v>
      </c>
      <c r="B2" s="131"/>
      <c r="C2" s="307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124</v>
      </c>
      <c r="E3" s="102">
        <f t="shared" ref="E3:N3" si="0">SUBTOTAL(9,E6:E1048576)</f>
        <v>322</v>
      </c>
      <c r="F3" s="103">
        <f t="shared" si="0"/>
        <v>292006</v>
      </c>
      <c r="G3" s="74"/>
      <c r="H3" s="74"/>
      <c r="I3" s="103">
        <f t="shared" si="0"/>
        <v>709</v>
      </c>
      <c r="J3" s="103">
        <f t="shared" si="0"/>
        <v>403877</v>
      </c>
      <c r="K3" s="74"/>
      <c r="L3" s="74"/>
      <c r="M3" s="103">
        <f t="shared" si="0"/>
        <v>1051</v>
      </c>
      <c r="N3" s="103">
        <f t="shared" si="0"/>
        <v>534188</v>
      </c>
      <c r="O3" s="75">
        <f>IF(F3=0,0,N3/F3)</f>
        <v>1.8293733690403622</v>
      </c>
      <c r="P3" s="104">
        <f>IF(M3=0,0,N3/M3)</f>
        <v>508.26641294005708</v>
      </c>
    </row>
    <row r="4" spans="1:16" ht="14.4" customHeight="1" x14ac:dyDescent="0.3">
      <c r="A4" s="416" t="s">
        <v>93</v>
      </c>
      <c r="B4" s="417" t="s">
        <v>94</v>
      </c>
      <c r="C4" s="422" t="s">
        <v>69</v>
      </c>
      <c r="D4" s="418" t="s">
        <v>68</v>
      </c>
      <c r="E4" s="419">
        <v>2013</v>
      </c>
      <c r="F4" s="420"/>
      <c r="G4" s="101"/>
      <c r="H4" s="101"/>
      <c r="I4" s="419">
        <v>2014</v>
      </c>
      <c r="J4" s="420"/>
      <c r="K4" s="101"/>
      <c r="L4" s="101"/>
      <c r="M4" s="419">
        <v>2015</v>
      </c>
      <c r="N4" s="420"/>
      <c r="O4" s="421" t="s">
        <v>2</v>
      </c>
      <c r="P4" s="415" t="s">
        <v>96</v>
      </c>
    </row>
    <row r="5" spans="1:16" ht="14.4" customHeight="1" thickBot="1" x14ac:dyDescent="0.35">
      <c r="A5" s="558"/>
      <c r="B5" s="559"/>
      <c r="C5" s="560"/>
      <c r="D5" s="561"/>
      <c r="E5" s="562" t="s">
        <v>70</v>
      </c>
      <c r="F5" s="563" t="s">
        <v>13</v>
      </c>
      <c r="G5" s="564"/>
      <c r="H5" s="564"/>
      <c r="I5" s="562" t="s">
        <v>70</v>
      </c>
      <c r="J5" s="563" t="s">
        <v>13</v>
      </c>
      <c r="K5" s="564"/>
      <c r="L5" s="564"/>
      <c r="M5" s="562" t="s">
        <v>70</v>
      </c>
      <c r="N5" s="563" t="s">
        <v>13</v>
      </c>
      <c r="O5" s="565"/>
      <c r="P5" s="566"/>
    </row>
    <row r="6" spans="1:16" ht="14.4" customHeight="1" x14ac:dyDescent="0.3">
      <c r="A6" s="500" t="s">
        <v>157</v>
      </c>
      <c r="B6" s="501" t="s">
        <v>541</v>
      </c>
      <c r="C6" s="501" t="s">
        <v>542</v>
      </c>
      <c r="D6" s="501" t="s">
        <v>543</v>
      </c>
      <c r="E6" s="116"/>
      <c r="F6" s="116"/>
      <c r="G6" s="501"/>
      <c r="H6" s="501"/>
      <c r="I6" s="116"/>
      <c r="J6" s="116"/>
      <c r="K6" s="501"/>
      <c r="L6" s="501"/>
      <c r="M6" s="116">
        <v>147</v>
      </c>
      <c r="N6" s="116">
        <v>38514</v>
      </c>
      <c r="O6" s="506"/>
      <c r="P6" s="519">
        <v>262</v>
      </c>
    </row>
    <row r="7" spans="1:16" ht="14.4" customHeight="1" x14ac:dyDescent="0.3">
      <c r="A7" s="481" t="s">
        <v>157</v>
      </c>
      <c r="B7" s="471" t="s">
        <v>541</v>
      </c>
      <c r="C7" s="471" t="s">
        <v>544</v>
      </c>
      <c r="D7" s="471" t="s">
        <v>545</v>
      </c>
      <c r="E7" s="472"/>
      <c r="F7" s="472"/>
      <c r="G7" s="471"/>
      <c r="H7" s="471"/>
      <c r="I7" s="472"/>
      <c r="J7" s="472"/>
      <c r="K7" s="471"/>
      <c r="L7" s="471"/>
      <c r="M7" s="472">
        <v>17</v>
      </c>
      <c r="N7" s="472">
        <v>60962</v>
      </c>
      <c r="O7" s="485"/>
      <c r="P7" s="520">
        <v>3586</v>
      </c>
    </row>
    <row r="8" spans="1:16" ht="14.4" customHeight="1" x14ac:dyDescent="0.3">
      <c r="A8" s="481" t="s">
        <v>546</v>
      </c>
      <c r="B8" s="471" t="s">
        <v>541</v>
      </c>
      <c r="C8" s="471" t="s">
        <v>547</v>
      </c>
      <c r="D8" s="471" t="s">
        <v>548</v>
      </c>
      <c r="E8" s="472">
        <v>20</v>
      </c>
      <c r="F8" s="472">
        <v>6700</v>
      </c>
      <c r="G8" s="471">
        <v>1</v>
      </c>
      <c r="H8" s="471">
        <v>335</v>
      </c>
      <c r="I8" s="472">
        <v>59</v>
      </c>
      <c r="J8" s="472">
        <v>19910</v>
      </c>
      <c r="K8" s="471">
        <v>2.9716417910447763</v>
      </c>
      <c r="L8" s="471">
        <v>337.45762711864404</v>
      </c>
      <c r="M8" s="472">
        <v>23</v>
      </c>
      <c r="N8" s="472">
        <v>7866</v>
      </c>
      <c r="O8" s="485">
        <v>1.1740298507462688</v>
      </c>
      <c r="P8" s="520">
        <v>342</v>
      </c>
    </row>
    <row r="9" spans="1:16" ht="14.4" customHeight="1" x14ac:dyDescent="0.3">
      <c r="A9" s="481" t="s">
        <v>546</v>
      </c>
      <c r="B9" s="471" t="s">
        <v>541</v>
      </c>
      <c r="C9" s="471" t="s">
        <v>549</v>
      </c>
      <c r="D9" s="471" t="s">
        <v>550</v>
      </c>
      <c r="E9" s="472">
        <v>6</v>
      </c>
      <c r="F9" s="472">
        <v>204</v>
      </c>
      <c r="G9" s="471">
        <v>1</v>
      </c>
      <c r="H9" s="471">
        <v>34</v>
      </c>
      <c r="I9" s="472"/>
      <c r="J9" s="472"/>
      <c r="K9" s="471"/>
      <c r="L9" s="471"/>
      <c r="M9" s="472">
        <v>3</v>
      </c>
      <c r="N9" s="472">
        <v>105</v>
      </c>
      <c r="O9" s="485">
        <v>0.51470588235294112</v>
      </c>
      <c r="P9" s="520">
        <v>35</v>
      </c>
    </row>
    <row r="10" spans="1:16" ht="14.4" customHeight="1" x14ac:dyDescent="0.3">
      <c r="A10" s="481" t="s">
        <v>546</v>
      </c>
      <c r="B10" s="471" t="s">
        <v>541</v>
      </c>
      <c r="C10" s="471" t="s">
        <v>551</v>
      </c>
      <c r="D10" s="471" t="s">
        <v>552</v>
      </c>
      <c r="E10" s="472">
        <v>123</v>
      </c>
      <c r="F10" s="472">
        <v>28536</v>
      </c>
      <c r="G10" s="471">
        <v>1</v>
      </c>
      <c r="H10" s="471">
        <v>232</v>
      </c>
      <c r="I10" s="472">
        <v>100</v>
      </c>
      <c r="J10" s="472">
        <v>23252</v>
      </c>
      <c r="K10" s="471">
        <v>0.8148303896832072</v>
      </c>
      <c r="L10" s="471">
        <v>232.52</v>
      </c>
      <c r="M10" s="472">
        <v>67</v>
      </c>
      <c r="N10" s="472">
        <v>15745</v>
      </c>
      <c r="O10" s="485">
        <v>0.55175918138491731</v>
      </c>
      <c r="P10" s="520">
        <v>235</v>
      </c>
    </row>
    <row r="11" spans="1:16" ht="14.4" customHeight="1" x14ac:dyDescent="0.3">
      <c r="A11" s="481" t="s">
        <v>546</v>
      </c>
      <c r="B11" s="471" t="s">
        <v>541</v>
      </c>
      <c r="C11" s="471" t="s">
        <v>553</v>
      </c>
      <c r="D11" s="471" t="s">
        <v>554</v>
      </c>
      <c r="E11" s="472">
        <v>33</v>
      </c>
      <c r="F11" s="472">
        <v>0</v>
      </c>
      <c r="G11" s="471"/>
      <c r="H11" s="471">
        <v>0</v>
      </c>
      <c r="I11" s="472">
        <v>31</v>
      </c>
      <c r="J11" s="472">
        <v>0</v>
      </c>
      <c r="K11" s="471"/>
      <c r="L11" s="471">
        <v>0</v>
      </c>
      <c r="M11" s="472"/>
      <c r="N11" s="472"/>
      <c r="O11" s="485"/>
      <c r="P11" s="520"/>
    </row>
    <row r="12" spans="1:16" ht="14.4" customHeight="1" x14ac:dyDescent="0.3">
      <c r="A12" s="481" t="s">
        <v>546</v>
      </c>
      <c r="B12" s="471" t="s">
        <v>541</v>
      </c>
      <c r="C12" s="471" t="s">
        <v>555</v>
      </c>
      <c r="D12" s="471" t="s">
        <v>556</v>
      </c>
      <c r="E12" s="472">
        <v>17</v>
      </c>
      <c r="F12" s="472">
        <v>1632</v>
      </c>
      <c r="G12" s="471">
        <v>1</v>
      </c>
      <c r="H12" s="471">
        <v>96</v>
      </c>
      <c r="I12" s="472">
        <v>48</v>
      </c>
      <c r="J12" s="472">
        <v>4633</v>
      </c>
      <c r="K12" s="471">
        <v>2.8388480392156863</v>
      </c>
      <c r="L12" s="471">
        <v>96.520833333333329</v>
      </c>
      <c r="M12" s="472">
        <v>18</v>
      </c>
      <c r="N12" s="472">
        <v>1764</v>
      </c>
      <c r="O12" s="485">
        <v>1.0808823529411764</v>
      </c>
      <c r="P12" s="520">
        <v>98</v>
      </c>
    </row>
    <row r="13" spans="1:16" ht="14.4" customHeight="1" x14ac:dyDescent="0.3">
      <c r="A13" s="481" t="s">
        <v>546</v>
      </c>
      <c r="B13" s="471" t="s">
        <v>541</v>
      </c>
      <c r="C13" s="471" t="s">
        <v>542</v>
      </c>
      <c r="D13" s="471" t="s">
        <v>543</v>
      </c>
      <c r="E13" s="472">
        <v>56</v>
      </c>
      <c r="F13" s="472">
        <v>14672</v>
      </c>
      <c r="G13" s="471">
        <v>1</v>
      </c>
      <c r="H13" s="471">
        <v>262</v>
      </c>
      <c r="I13" s="472">
        <v>401</v>
      </c>
      <c r="J13" s="472">
        <v>105062</v>
      </c>
      <c r="K13" s="471">
        <v>7.1607142857142856</v>
      </c>
      <c r="L13" s="471">
        <v>262</v>
      </c>
      <c r="M13" s="472">
        <v>711</v>
      </c>
      <c r="N13" s="472">
        <v>186282</v>
      </c>
      <c r="O13" s="485">
        <v>12.696428571428571</v>
      </c>
      <c r="P13" s="520">
        <v>262</v>
      </c>
    </row>
    <row r="14" spans="1:16" ht="14.4" customHeight="1" x14ac:dyDescent="0.3">
      <c r="A14" s="481" t="s">
        <v>546</v>
      </c>
      <c r="B14" s="471" t="s">
        <v>541</v>
      </c>
      <c r="C14" s="471" t="s">
        <v>544</v>
      </c>
      <c r="D14" s="471" t="s">
        <v>545</v>
      </c>
      <c r="E14" s="472">
        <v>67</v>
      </c>
      <c r="F14" s="472">
        <v>240262</v>
      </c>
      <c r="G14" s="471">
        <v>1</v>
      </c>
      <c r="H14" s="471">
        <v>3586</v>
      </c>
      <c r="I14" s="472">
        <v>70</v>
      </c>
      <c r="J14" s="472">
        <v>251020</v>
      </c>
      <c r="K14" s="471">
        <v>1.044776119402985</v>
      </c>
      <c r="L14" s="471">
        <v>3586</v>
      </c>
      <c r="M14" s="472">
        <v>62</v>
      </c>
      <c r="N14" s="472">
        <v>222332</v>
      </c>
      <c r="O14" s="485">
        <v>0.92537313432835822</v>
      </c>
      <c r="P14" s="520">
        <v>3586</v>
      </c>
    </row>
    <row r="15" spans="1:16" ht="14.4" customHeight="1" thickBot="1" x14ac:dyDescent="0.35">
      <c r="A15" s="482" t="s">
        <v>546</v>
      </c>
      <c r="B15" s="474" t="s">
        <v>541</v>
      </c>
      <c r="C15" s="474" t="s">
        <v>557</v>
      </c>
      <c r="D15" s="474" t="s">
        <v>558</v>
      </c>
      <c r="E15" s="475"/>
      <c r="F15" s="475"/>
      <c r="G15" s="474"/>
      <c r="H15" s="474"/>
      <c r="I15" s="475"/>
      <c r="J15" s="475"/>
      <c r="K15" s="474"/>
      <c r="L15" s="474"/>
      <c r="M15" s="475">
        <v>3</v>
      </c>
      <c r="N15" s="475">
        <v>618</v>
      </c>
      <c r="O15" s="487"/>
      <c r="P15" s="521">
        <v>206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28" t="s">
        <v>123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 ht="14.4" customHeight="1" thickBot="1" x14ac:dyDescent="0.35">
      <c r="A2" s="231" t="s">
        <v>246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124</v>
      </c>
      <c r="B3" s="222">
        <f>SUBTOTAL(9,B6:B1048576)</f>
        <v>4640</v>
      </c>
      <c r="C3" s="223">
        <f t="shared" ref="C3:R3" si="0">SUBTOTAL(9,C6:C1048576)</f>
        <v>5</v>
      </c>
      <c r="D3" s="223">
        <f t="shared" si="0"/>
        <v>5116</v>
      </c>
      <c r="E3" s="223">
        <f t="shared" si="0"/>
        <v>2.3376436781609193</v>
      </c>
      <c r="F3" s="223">
        <f t="shared" si="0"/>
        <v>3055</v>
      </c>
      <c r="G3" s="226">
        <f>IF(B3&lt;&gt;0,F3/B3,"")</f>
        <v>0.65840517241379315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408" t="s">
        <v>103</v>
      </c>
      <c r="B4" s="409" t="s">
        <v>97</v>
      </c>
      <c r="C4" s="410"/>
      <c r="D4" s="410"/>
      <c r="E4" s="410"/>
      <c r="F4" s="410"/>
      <c r="G4" s="411"/>
      <c r="H4" s="409" t="s">
        <v>98</v>
      </c>
      <c r="I4" s="410"/>
      <c r="J4" s="410"/>
      <c r="K4" s="410"/>
      <c r="L4" s="410"/>
      <c r="M4" s="411"/>
      <c r="N4" s="409" t="s">
        <v>99</v>
      </c>
      <c r="O4" s="410"/>
      <c r="P4" s="410"/>
      <c r="Q4" s="410"/>
      <c r="R4" s="410"/>
      <c r="S4" s="411"/>
    </row>
    <row r="5" spans="1:19" ht="14.4" customHeight="1" thickBot="1" x14ac:dyDescent="0.35">
      <c r="A5" s="546"/>
      <c r="B5" s="547">
        <v>2013</v>
      </c>
      <c r="C5" s="548"/>
      <c r="D5" s="548">
        <v>2014</v>
      </c>
      <c r="E5" s="548"/>
      <c r="F5" s="548">
        <v>2015</v>
      </c>
      <c r="G5" s="549" t="s">
        <v>2</v>
      </c>
      <c r="H5" s="547">
        <v>2013</v>
      </c>
      <c r="I5" s="548"/>
      <c r="J5" s="548">
        <v>2014</v>
      </c>
      <c r="K5" s="548"/>
      <c r="L5" s="548">
        <v>2015</v>
      </c>
      <c r="M5" s="549" t="s">
        <v>2</v>
      </c>
      <c r="N5" s="547">
        <v>2013</v>
      </c>
      <c r="O5" s="548"/>
      <c r="P5" s="548">
        <v>2014</v>
      </c>
      <c r="Q5" s="548"/>
      <c r="R5" s="548">
        <v>2015</v>
      </c>
      <c r="S5" s="549" t="s">
        <v>2</v>
      </c>
    </row>
    <row r="6" spans="1:19" ht="14.4" customHeight="1" x14ac:dyDescent="0.3">
      <c r="A6" s="529" t="s">
        <v>560</v>
      </c>
      <c r="B6" s="550">
        <v>1392</v>
      </c>
      <c r="C6" s="501">
        <v>1</v>
      </c>
      <c r="D6" s="550">
        <v>700</v>
      </c>
      <c r="E6" s="501">
        <v>0.50287356321839083</v>
      </c>
      <c r="F6" s="550"/>
      <c r="G6" s="506"/>
      <c r="H6" s="550"/>
      <c r="I6" s="501"/>
      <c r="J6" s="550"/>
      <c r="K6" s="501"/>
      <c r="L6" s="550"/>
      <c r="M6" s="506"/>
      <c r="N6" s="550"/>
      <c r="O6" s="501"/>
      <c r="P6" s="550"/>
      <c r="Q6" s="501"/>
      <c r="R6" s="550"/>
      <c r="S6" s="122"/>
    </row>
    <row r="7" spans="1:19" ht="14.4" customHeight="1" x14ac:dyDescent="0.3">
      <c r="A7" s="530" t="s">
        <v>561</v>
      </c>
      <c r="B7" s="555">
        <v>928</v>
      </c>
      <c r="C7" s="471">
        <v>1</v>
      </c>
      <c r="D7" s="555">
        <v>464</v>
      </c>
      <c r="E7" s="471">
        <v>0.5</v>
      </c>
      <c r="F7" s="555">
        <v>470</v>
      </c>
      <c r="G7" s="485">
        <v>0.50646551724137934</v>
      </c>
      <c r="H7" s="555"/>
      <c r="I7" s="471"/>
      <c r="J7" s="555"/>
      <c r="K7" s="471"/>
      <c r="L7" s="555"/>
      <c r="M7" s="485"/>
      <c r="N7" s="555"/>
      <c r="O7" s="471"/>
      <c r="P7" s="555"/>
      <c r="Q7" s="471"/>
      <c r="R7" s="555"/>
      <c r="S7" s="486"/>
    </row>
    <row r="8" spans="1:19" ht="14.4" customHeight="1" x14ac:dyDescent="0.3">
      <c r="A8" s="530" t="s">
        <v>562</v>
      </c>
      <c r="B8" s="555">
        <v>1392</v>
      </c>
      <c r="C8" s="471">
        <v>1</v>
      </c>
      <c r="D8" s="555">
        <v>1858</v>
      </c>
      <c r="E8" s="471">
        <v>1.3347701149425288</v>
      </c>
      <c r="F8" s="555">
        <v>1410</v>
      </c>
      <c r="G8" s="485">
        <v>1.0129310344827587</v>
      </c>
      <c r="H8" s="555"/>
      <c r="I8" s="471"/>
      <c r="J8" s="555"/>
      <c r="K8" s="471"/>
      <c r="L8" s="555"/>
      <c r="M8" s="485"/>
      <c r="N8" s="555"/>
      <c r="O8" s="471"/>
      <c r="P8" s="555"/>
      <c r="Q8" s="471"/>
      <c r="R8" s="555"/>
      <c r="S8" s="486"/>
    </row>
    <row r="9" spans="1:19" ht="14.4" customHeight="1" x14ac:dyDescent="0.3">
      <c r="A9" s="530" t="s">
        <v>563</v>
      </c>
      <c r="B9" s="555"/>
      <c r="C9" s="471"/>
      <c r="D9" s="555">
        <v>232</v>
      </c>
      <c r="E9" s="471"/>
      <c r="F9" s="555"/>
      <c r="G9" s="485"/>
      <c r="H9" s="555"/>
      <c r="I9" s="471"/>
      <c r="J9" s="555"/>
      <c r="K9" s="471"/>
      <c r="L9" s="555"/>
      <c r="M9" s="485"/>
      <c r="N9" s="555"/>
      <c r="O9" s="471"/>
      <c r="P9" s="555"/>
      <c r="Q9" s="471"/>
      <c r="R9" s="555"/>
      <c r="S9" s="486"/>
    </row>
    <row r="10" spans="1:19" ht="14.4" customHeight="1" x14ac:dyDescent="0.3">
      <c r="A10" s="530" t="s">
        <v>564</v>
      </c>
      <c r="B10" s="555"/>
      <c r="C10" s="471"/>
      <c r="D10" s="555"/>
      <c r="E10" s="471"/>
      <c r="F10" s="555">
        <v>235</v>
      </c>
      <c r="G10" s="485"/>
      <c r="H10" s="555"/>
      <c r="I10" s="471"/>
      <c r="J10" s="555"/>
      <c r="K10" s="471"/>
      <c r="L10" s="555"/>
      <c r="M10" s="485"/>
      <c r="N10" s="555"/>
      <c r="O10" s="471"/>
      <c r="P10" s="555"/>
      <c r="Q10" s="471"/>
      <c r="R10" s="555"/>
      <c r="S10" s="486"/>
    </row>
    <row r="11" spans="1:19" ht="14.4" customHeight="1" x14ac:dyDescent="0.3">
      <c r="A11" s="530" t="s">
        <v>565</v>
      </c>
      <c r="B11" s="555"/>
      <c r="C11" s="471"/>
      <c r="D11" s="555"/>
      <c r="E11" s="471"/>
      <c r="F11" s="555">
        <v>235</v>
      </c>
      <c r="G11" s="485"/>
      <c r="H11" s="555"/>
      <c r="I11" s="471"/>
      <c r="J11" s="555"/>
      <c r="K11" s="471"/>
      <c r="L11" s="555"/>
      <c r="M11" s="485"/>
      <c r="N11" s="555"/>
      <c r="O11" s="471"/>
      <c r="P11" s="555"/>
      <c r="Q11" s="471"/>
      <c r="R11" s="555"/>
      <c r="S11" s="486"/>
    </row>
    <row r="12" spans="1:19" ht="14.4" customHeight="1" x14ac:dyDescent="0.3">
      <c r="A12" s="530" t="s">
        <v>566</v>
      </c>
      <c r="B12" s="555"/>
      <c r="C12" s="471"/>
      <c r="D12" s="555">
        <v>234</v>
      </c>
      <c r="E12" s="471"/>
      <c r="F12" s="555">
        <v>235</v>
      </c>
      <c r="G12" s="485"/>
      <c r="H12" s="555"/>
      <c r="I12" s="471"/>
      <c r="J12" s="555"/>
      <c r="K12" s="471"/>
      <c r="L12" s="555"/>
      <c r="M12" s="485"/>
      <c r="N12" s="555"/>
      <c r="O12" s="471"/>
      <c r="P12" s="555"/>
      <c r="Q12" s="471"/>
      <c r="R12" s="555"/>
      <c r="S12" s="486"/>
    </row>
    <row r="13" spans="1:19" ht="14.4" customHeight="1" x14ac:dyDescent="0.3">
      <c r="A13" s="530" t="s">
        <v>567</v>
      </c>
      <c r="B13" s="555"/>
      <c r="C13" s="471"/>
      <c r="D13" s="555">
        <v>234</v>
      </c>
      <c r="E13" s="471"/>
      <c r="F13" s="555"/>
      <c r="G13" s="485"/>
      <c r="H13" s="555"/>
      <c r="I13" s="471"/>
      <c r="J13" s="555"/>
      <c r="K13" s="471"/>
      <c r="L13" s="555"/>
      <c r="M13" s="485"/>
      <c r="N13" s="555"/>
      <c r="O13" s="471"/>
      <c r="P13" s="555"/>
      <c r="Q13" s="471"/>
      <c r="R13" s="555"/>
      <c r="S13" s="486"/>
    </row>
    <row r="14" spans="1:19" ht="14.4" customHeight="1" x14ac:dyDescent="0.3">
      <c r="A14" s="530" t="s">
        <v>568</v>
      </c>
      <c r="B14" s="555"/>
      <c r="C14" s="471"/>
      <c r="D14" s="555">
        <v>1160</v>
      </c>
      <c r="E14" s="471"/>
      <c r="F14" s="555">
        <v>235</v>
      </c>
      <c r="G14" s="485"/>
      <c r="H14" s="555"/>
      <c r="I14" s="471"/>
      <c r="J14" s="555"/>
      <c r="K14" s="471"/>
      <c r="L14" s="555"/>
      <c r="M14" s="485"/>
      <c r="N14" s="555"/>
      <c r="O14" s="471"/>
      <c r="P14" s="555"/>
      <c r="Q14" s="471"/>
      <c r="R14" s="555"/>
      <c r="S14" s="486"/>
    </row>
    <row r="15" spans="1:19" ht="14.4" customHeight="1" x14ac:dyDescent="0.3">
      <c r="A15" s="530" t="s">
        <v>569</v>
      </c>
      <c r="B15" s="555">
        <v>696</v>
      </c>
      <c r="C15" s="471">
        <v>1</v>
      </c>
      <c r="D15" s="555"/>
      <c r="E15" s="471"/>
      <c r="F15" s="555"/>
      <c r="G15" s="485"/>
      <c r="H15" s="555"/>
      <c r="I15" s="471"/>
      <c r="J15" s="555"/>
      <c r="K15" s="471"/>
      <c r="L15" s="555"/>
      <c r="M15" s="485"/>
      <c r="N15" s="555"/>
      <c r="O15" s="471"/>
      <c r="P15" s="555"/>
      <c r="Q15" s="471"/>
      <c r="R15" s="555"/>
      <c r="S15" s="486"/>
    </row>
    <row r="16" spans="1:19" ht="14.4" customHeight="1" x14ac:dyDescent="0.3">
      <c r="A16" s="530" t="s">
        <v>570</v>
      </c>
      <c r="B16" s="555"/>
      <c r="C16" s="471"/>
      <c r="D16" s="555">
        <v>234</v>
      </c>
      <c r="E16" s="471"/>
      <c r="F16" s="555">
        <v>235</v>
      </c>
      <c r="G16" s="485"/>
      <c r="H16" s="555"/>
      <c r="I16" s="471"/>
      <c r="J16" s="555"/>
      <c r="K16" s="471"/>
      <c r="L16" s="555"/>
      <c r="M16" s="485"/>
      <c r="N16" s="555"/>
      <c r="O16" s="471"/>
      <c r="P16" s="555"/>
      <c r="Q16" s="471"/>
      <c r="R16" s="555"/>
      <c r="S16" s="486"/>
    </row>
    <row r="17" spans="1:19" ht="14.4" customHeight="1" thickBot="1" x14ac:dyDescent="0.35">
      <c r="A17" s="552" t="s">
        <v>571</v>
      </c>
      <c r="B17" s="551">
        <v>232</v>
      </c>
      <c r="C17" s="474">
        <v>1</v>
      </c>
      <c r="D17" s="551"/>
      <c r="E17" s="474"/>
      <c r="F17" s="551"/>
      <c r="G17" s="487"/>
      <c r="H17" s="551"/>
      <c r="I17" s="474"/>
      <c r="J17" s="551"/>
      <c r="K17" s="474"/>
      <c r="L17" s="551"/>
      <c r="M17" s="487"/>
      <c r="N17" s="551"/>
      <c r="O17" s="474"/>
      <c r="P17" s="551"/>
      <c r="Q17" s="474"/>
      <c r="R17" s="551"/>
      <c r="S17" s="4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19" t="s">
        <v>584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17" ht="14.4" customHeight="1" thickBot="1" x14ac:dyDescent="0.35">
      <c r="A2" s="231" t="s">
        <v>246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124</v>
      </c>
      <c r="F3" s="102">
        <f t="shared" ref="F3:O3" si="0">SUBTOTAL(9,F6:F1048576)</f>
        <v>20</v>
      </c>
      <c r="G3" s="103">
        <f t="shared" si="0"/>
        <v>4640</v>
      </c>
      <c r="H3" s="103"/>
      <c r="I3" s="103"/>
      <c r="J3" s="103">
        <f t="shared" si="0"/>
        <v>22</v>
      </c>
      <c r="K3" s="103">
        <f t="shared" si="0"/>
        <v>5116</v>
      </c>
      <c r="L3" s="103"/>
      <c r="M3" s="103"/>
      <c r="N3" s="103">
        <f t="shared" si="0"/>
        <v>13</v>
      </c>
      <c r="O3" s="103">
        <f t="shared" si="0"/>
        <v>3055</v>
      </c>
      <c r="P3" s="75">
        <f>IF(G3=0,0,O3/G3)</f>
        <v>0.65840517241379315</v>
      </c>
      <c r="Q3" s="104">
        <f>IF(N3=0,0,O3/N3)</f>
        <v>235</v>
      </c>
    </row>
    <row r="4" spans="1:17" ht="14.4" customHeight="1" x14ac:dyDescent="0.3">
      <c r="A4" s="417" t="s">
        <v>67</v>
      </c>
      <c r="B4" s="416" t="s">
        <v>93</v>
      </c>
      <c r="C4" s="417" t="s">
        <v>94</v>
      </c>
      <c r="D4" s="425" t="s">
        <v>95</v>
      </c>
      <c r="E4" s="418" t="s">
        <v>68</v>
      </c>
      <c r="F4" s="423">
        <v>2013</v>
      </c>
      <c r="G4" s="424"/>
      <c r="H4" s="105"/>
      <c r="I4" s="105"/>
      <c r="J4" s="423">
        <v>2014</v>
      </c>
      <c r="K4" s="424"/>
      <c r="L4" s="105"/>
      <c r="M4" s="105"/>
      <c r="N4" s="423">
        <v>2015</v>
      </c>
      <c r="O4" s="424"/>
      <c r="P4" s="426" t="s">
        <v>2</v>
      </c>
      <c r="Q4" s="415" t="s">
        <v>96</v>
      </c>
    </row>
    <row r="5" spans="1:17" ht="14.4" customHeight="1" thickBot="1" x14ac:dyDescent="0.35">
      <c r="A5" s="559"/>
      <c r="B5" s="558"/>
      <c r="C5" s="559"/>
      <c r="D5" s="567"/>
      <c r="E5" s="561"/>
      <c r="F5" s="568" t="s">
        <v>70</v>
      </c>
      <c r="G5" s="569" t="s">
        <v>13</v>
      </c>
      <c r="H5" s="570"/>
      <c r="I5" s="570"/>
      <c r="J5" s="568" t="s">
        <v>70</v>
      </c>
      <c r="K5" s="569" t="s">
        <v>13</v>
      </c>
      <c r="L5" s="570"/>
      <c r="M5" s="570"/>
      <c r="N5" s="568" t="s">
        <v>70</v>
      </c>
      <c r="O5" s="569" t="s">
        <v>13</v>
      </c>
      <c r="P5" s="571"/>
      <c r="Q5" s="566"/>
    </row>
    <row r="6" spans="1:17" ht="14.4" customHeight="1" x14ac:dyDescent="0.3">
      <c r="A6" s="500" t="s">
        <v>572</v>
      </c>
      <c r="B6" s="501" t="s">
        <v>546</v>
      </c>
      <c r="C6" s="501" t="s">
        <v>541</v>
      </c>
      <c r="D6" s="501" t="s">
        <v>551</v>
      </c>
      <c r="E6" s="501" t="s">
        <v>552</v>
      </c>
      <c r="F6" s="116">
        <v>6</v>
      </c>
      <c r="G6" s="116">
        <v>1392</v>
      </c>
      <c r="H6" s="116">
        <v>1</v>
      </c>
      <c r="I6" s="116">
        <v>232</v>
      </c>
      <c r="J6" s="116">
        <v>3</v>
      </c>
      <c r="K6" s="116">
        <v>700</v>
      </c>
      <c r="L6" s="116">
        <v>0.50287356321839083</v>
      </c>
      <c r="M6" s="116">
        <v>233.33333333333334</v>
      </c>
      <c r="N6" s="116"/>
      <c r="O6" s="116"/>
      <c r="P6" s="506"/>
      <c r="Q6" s="519"/>
    </row>
    <row r="7" spans="1:17" ht="14.4" customHeight="1" x14ac:dyDescent="0.3">
      <c r="A7" s="481" t="s">
        <v>573</v>
      </c>
      <c r="B7" s="471" t="s">
        <v>546</v>
      </c>
      <c r="C7" s="471" t="s">
        <v>541</v>
      </c>
      <c r="D7" s="471" t="s">
        <v>551</v>
      </c>
      <c r="E7" s="471" t="s">
        <v>552</v>
      </c>
      <c r="F7" s="472">
        <v>4</v>
      </c>
      <c r="G7" s="472">
        <v>928</v>
      </c>
      <c r="H7" s="472">
        <v>1</v>
      </c>
      <c r="I7" s="472">
        <v>232</v>
      </c>
      <c r="J7" s="472">
        <v>2</v>
      </c>
      <c r="K7" s="472">
        <v>464</v>
      </c>
      <c r="L7" s="472">
        <v>0.5</v>
      </c>
      <c r="M7" s="472">
        <v>232</v>
      </c>
      <c r="N7" s="472">
        <v>2</v>
      </c>
      <c r="O7" s="472">
        <v>470</v>
      </c>
      <c r="P7" s="485">
        <v>0.50646551724137934</v>
      </c>
      <c r="Q7" s="520">
        <v>235</v>
      </c>
    </row>
    <row r="8" spans="1:17" ht="14.4" customHeight="1" x14ac:dyDescent="0.3">
      <c r="A8" s="481" t="s">
        <v>574</v>
      </c>
      <c r="B8" s="471" t="s">
        <v>546</v>
      </c>
      <c r="C8" s="471" t="s">
        <v>541</v>
      </c>
      <c r="D8" s="471" t="s">
        <v>551</v>
      </c>
      <c r="E8" s="471" t="s">
        <v>552</v>
      </c>
      <c r="F8" s="472">
        <v>6</v>
      </c>
      <c r="G8" s="472">
        <v>1392</v>
      </c>
      <c r="H8" s="472">
        <v>1</v>
      </c>
      <c r="I8" s="472">
        <v>232</v>
      </c>
      <c r="J8" s="472">
        <v>8</v>
      </c>
      <c r="K8" s="472">
        <v>1858</v>
      </c>
      <c r="L8" s="472">
        <v>1.3347701149425288</v>
      </c>
      <c r="M8" s="472">
        <v>232.25</v>
      </c>
      <c r="N8" s="472">
        <v>6</v>
      </c>
      <c r="O8" s="472">
        <v>1410</v>
      </c>
      <c r="P8" s="485">
        <v>1.0129310344827587</v>
      </c>
      <c r="Q8" s="520">
        <v>235</v>
      </c>
    </row>
    <row r="9" spans="1:17" ht="14.4" customHeight="1" x14ac:dyDescent="0.3">
      <c r="A9" s="481" t="s">
        <v>575</v>
      </c>
      <c r="B9" s="471" t="s">
        <v>546</v>
      </c>
      <c r="C9" s="471" t="s">
        <v>541</v>
      </c>
      <c r="D9" s="471" t="s">
        <v>551</v>
      </c>
      <c r="E9" s="471" t="s">
        <v>552</v>
      </c>
      <c r="F9" s="472"/>
      <c r="G9" s="472"/>
      <c r="H9" s="472"/>
      <c r="I9" s="472"/>
      <c r="J9" s="472">
        <v>1</v>
      </c>
      <c r="K9" s="472">
        <v>232</v>
      </c>
      <c r="L9" s="472"/>
      <c r="M9" s="472">
        <v>232</v>
      </c>
      <c r="N9" s="472"/>
      <c r="O9" s="472"/>
      <c r="P9" s="485"/>
      <c r="Q9" s="520"/>
    </row>
    <row r="10" spans="1:17" ht="14.4" customHeight="1" x14ac:dyDescent="0.3">
      <c r="A10" s="481" t="s">
        <v>576</v>
      </c>
      <c r="B10" s="471" t="s">
        <v>546</v>
      </c>
      <c r="C10" s="471" t="s">
        <v>541</v>
      </c>
      <c r="D10" s="471" t="s">
        <v>551</v>
      </c>
      <c r="E10" s="471" t="s">
        <v>552</v>
      </c>
      <c r="F10" s="472"/>
      <c r="G10" s="472"/>
      <c r="H10" s="472"/>
      <c r="I10" s="472"/>
      <c r="J10" s="472"/>
      <c r="K10" s="472"/>
      <c r="L10" s="472"/>
      <c r="M10" s="472"/>
      <c r="N10" s="472">
        <v>1</v>
      </c>
      <c r="O10" s="472">
        <v>235</v>
      </c>
      <c r="P10" s="485"/>
      <c r="Q10" s="520">
        <v>235</v>
      </c>
    </row>
    <row r="11" spans="1:17" ht="14.4" customHeight="1" x14ac:dyDescent="0.3">
      <c r="A11" s="481" t="s">
        <v>577</v>
      </c>
      <c r="B11" s="471" t="s">
        <v>546</v>
      </c>
      <c r="C11" s="471" t="s">
        <v>541</v>
      </c>
      <c r="D11" s="471" t="s">
        <v>551</v>
      </c>
      <c r="E11" s="471" t="s">
        <v>552</v>
      </c>
      <c r="F11" s="472"/>
      <c r="G11" s="472"/>
      <c r="H11" s="472"/>
      <c r="I11" s="472"/>
      <c r="J11" s="472"/>
      <c r="K11" s="472"/>
      <c r="L11" s="472"/>
      <c r="M11" s="472"/>
      <c r="N11" s="472">
        <v>1</v>
      </c>
      <c r="O11" s="472">
        <v>235</v>
      </c>
      <c r="P11" s="485"/>
      <c r="Q11" s="520">
        <v>235</v>
      </c>
    </row>
    <row r="12" spans="1:17" ht="14.4" customHeight="1" x14ac:dyDescent="0.3">
      <c r="A12" s="481" t="s">
        <v>578</v>
      </c>
      <c r="B12" s="471" t="s">
        <v>546</v>
      </c>
      <c r="C12" s="471" t="s">
        <v>541</v>
      </c>
      <c r="D12" s="471" t="s">
        <v>551</v>
      </c>
      <c r="E12" s="471" t="s">
        <v>552</v>
      </c>
      <c r="F12" s="472"/>
      <c r="G12" s="472"/>
      <c r="H12" s="472"/>
      <c r="I12" s="472"/>
      <c r="J12" s="472">
        <v>1</v>
      </c>
      <c r="K12" s="472">
        <v>234</v>
      </c>
      <c r="L12" s="472"/>
      <c r="M12" s="472">
        <v>234</v>
      </c>
      <c r="N12" s="472">
        <v>1</v>
      </c>
      <c r="O12" s="472">
        <v>235</v>
      </c>
      <c r="P12" s="485"/>
      <c r="Q12" s="520">
        <v>235</v>
      </c>
    </row>
    <row r="13" spans="1:17" ht="14.4" customHeight="1" x14ac:dyDescent="0.3">
      <c r="A13" s="481" t="s">
        <v>579</v>
      </c>
      <c r="B13" s="471" t="s">
        <v>546</v>
      </c>
      <c r="C13" s="471" t="s">
        <v>541</v>
      </c>
      <c r="D13" s="471" t="s">
        <v>551</v>
      </c>
      <c r="E13" s="471" t="s">
        <v>552</v>
      </c>
      <c r="F13" s="472"/>
      <c r="G13" s="472"/>
      <c r="H13" s="472"/>
      <c r="I13" s="472"/>
      <c r="J13" s="472">
        <v>1</v>
      </c>
      <c r="K13" s="472">
        <v>234</v>
      </c>
      <c r="L13" s="472"/>
      <c r="M13" s="472">
        <v>234</v>
      </c>
      <c r="N13" s="472"/>
      <c r="O13" s="472"/>
      <c r="P13" s="485"/>
      <c r="Q13" s="520"/>
    </row>
    <row r="14" spans="1:17" ht="14.4" customHeight="1" x14ac:dyDescent="0.3">
      <c r="A14" s="481" t="s">
        <v>580</v>
      </c>
      <c r="B14" s="471" t="s">
        <v>546</v>
      </c>
      <c r="C14" s="471" t="s">
        <v>541</v>
      </c>
      <c r="D14" s="471" t="s">
        <v>551</v>
      </c>
      <c r="E14" s="471" t="s">
        <v>552</v>
      </c>
      <c r="F14" s="472"/>
      <c r="G14" s="472"/>
      <c r="H14" s="472"/>
      <c r="I14" s="472"/>
      <c r="J14" s="472">
        <v>5</v>
      </c>
      <c r="K14" s="472">
        <v>1160</v>
      </c>
      <c r="L14" s="472"/>
      <c r="M14" s="472">
        <v>232</v>
      </c>
      <c r="N14" s="472">
        <v>1</v>
      </c>
      <c r="O14" s="472">
        <v>235</v>
      </c>
      <c r="P14" s="485"/>
      <c r="Q14" s="520">
        <v>235</v>
      </c>
    </row>
    <row r="15" spans="1:17" ht="14.4" customHeight="1" x14ac:dyDescent="0.3">
      <c r="A15" s="481" t="s">
        <v>581</v>
      </c>
      <c r="B15" s="471" t="s">
        <v>546</v>
      </c>
      <c r="C15" s="471" t="s">
        <v>541</v>
      </c>
      <c r="D15" s="471" t="s">
        <v>551</v>
      </c>
      <c r="E15" s="471" t="s">
        <v>552</v>
      </c>
      <c r="F15" s="472">
        <v>3</v>
      </c>
      <c r="G15" s="472">
        <v>696</v>
      </c>
      <c r="H15" s="472">
        <v>1</v>
      </c>
      <c r="I15" s="472">
        <v>232</v>
      </c>
      <c r="J15" s="472"/>
      <c r="K15" s="472"/>
      <c r="L15" s="472"/>
      <c r="M15" s="472"/>
      <c r="N15" s="472"/>
      <c r="O15" s="472"/>
      <c r="P15" s="485"/>
      <c r="Q15" s="520"/>
    </row>
    <row r="16" spans="1:17" ht="14.4" customHeight="1" x14ac:dyDescent="0.3">
      <c r="A16" s="481" t="s">
        <v>582</v>
      </c>
      <c r="B16" s="471" t="s">
        <v>546</v>
      </c>
      <c r="C16" s="471" t="s">
        <v>541</v>
      </c>
      <c r="D16" s="471" t="s">
        <v>551</v>
      </c>
      <c r="E16" s="471" t="s">
        <v>552</v>
      </c>
      <c r="F16" s="472"/>
      <c r="G16" s="472"/>
      <c r="H16" s="472"/>
      <c r="I16" s="472"/>
      <c r="J16" s="472">
        <v>1</v>
      </c>
      <c r="K16" s="472">
        <v>234</v>
      </c>
      <c r="L16" s="472"/>
      <c r="M16" s="472">
        <v>234</v>
      </c>
      <c r="N16" s="472">
        <v>1</v>
      </c>
      <c r="O16" s="472">
        <v>235</v>
      </c>
      <c r="P16" s="485"/>
      <c r="Q16" s="520">
        <v>235</v>
      </c>
    </row>
    <row r="17" spans="1:17" ht="14.4" customHeight="1" thickBot="1" x14ac:dyDescent="0.35">
      <c r="A17" s="482" t="s">
        <v>583</v>
      </c>
      <c r="B17" s="474" t="s">
        <v>546</v>
      </c>
      <c r="C17" s="474" t="s">
        <v>541</v>
      </c>
      <c r="D17" s="474" t="s">
        <v>551</v>
      </c>
      <c r="E17" s="474" t="s">
        <v>552</v>
      </c>
      <c r="F17" s="475">
        <v>1</v>
      </c>
      <c r="G17" s="475">
        <v>232</v>
      </c>
      <c r="H17" s="475">
        <v>1</v>
      </c>
      <c r="I17" s="475">
        <v>232</v>
      </c>
      <c r="J17" s="475"/>
      <c r="K17" s="475"/>
      <c r="L17" s="475"/>
      <c r="M17" s="475"/>
      <c r="N17" s="475"/>
      <c r="O17" s="475"/>
      <c r="P17" s="487"/>
      <c r="Q17" s="52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9" t="s">
        <v>117</v>
      </c>
      <c r="B1" s="319"/>
      <c r="C1" s="320"/>
      <c r="D1" s="320"/>
      <c r="E1" s="320"/>
    </row>
    <row r="2" spans="1:5" ht="14.4" customHeight="1" thickBot="1" x14ac:dyDescent="0.35">
      <c r="A2" s="231" t="s">
        <v>246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156.41527859495565</v>
      </c>
      <c r="D4" s="161">
        <f ca="1">IF(ISERROR(VLOOKUP("Náklady celkem",INDIRECT("HI!$A:$G"),5,0)),0,VLOOKUP("Náklady celkem",INDIRECT("HI!$A:$G"),5,0))</f>
        <v>173.99302</v>
      </c>
      <c r="E4" s="162">
        <f ca="1">IF(C4=0,0,D4/C4)</f>
        <v>1.1123786727418279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2" t="s">
        <v>145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112</v>
      </c>
      <c r="C9" s="171">
        <v>0.6</v>
      </c>
      <c r="D9" s="171">
        <f>IF(ISERROR(VLOOKUP("Celkem",'Léky Recepty'!B:H,5,0)),0,VLOOKUP("Celkem",'Léky Recepty'!B:H,5,0))</f>
        <v>0.69680845303194516</v>
      </c>
      <c r="E9" s="166">
        <f t="shared" si="0"/>
        <v>1.1613474217199087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138</v>
      </c>
      <c r="C10" s="171">
        <v>0.8</v>
      </c>
      <c r="D10" s="171">
        <f>IF(ISERROR(VLOOKUP("Celkem",'LRp PL'!A:F,5,0)),0,VLOOKUP("Celkem",'LRp PL'!A:F,5,0))</f>
        <v>0.99362973016819056</v>
      </c>
      <c r="E10" s="166">
        <f t="shared" si="0"/>
        <v>1.2420371627102382</v>
      </c>
    </row>
    <row r="11" spans="1:5" ht="14.4" customHeight="1" x14ac:dyDescent="0.3">
      <c r="A11" s="172" t="s">
        <v>146</v>
      </c>
      <c r="B11" s="168"/>
      <c r="C11" s="169"/>
      <c r="D11" s="169"/>
      <c r="E11" s="166"/>
    </row>
    <row r="12" spans="1:5" ht="14.4" customHeight="1" x14ac:dyDescent="0.3">
      <c r="A12" s="173" t="s">
        <v>150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147.99999533835867</v>
      </c>
      <c r="D13" s="169">
        <f>IF(ISERROR(HI!E6),"",HI!E6)</f>
        <v>148.93723</v>
      </c>
      <c r="E13" s="166">
        <f t="shared" si="0"/>
        <v>1.0063326668321753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292.00599999999997</v>
      </c>
      <c r="D16" s="185">
        <f ca="1">IF(ISERROR(VLOOKUP("Výnosy celkem",INDIRECT("HI!$A:$G"),5,0)),0,VLOOKUP("Výnosy celkem",INDIRECT("HI!$A:$G"),5,0))</f>
        <v>534.18799999999999</v>
      </c>
      <c r="E16" s="186">
        <f t="shared" ref="E16:E19" ca="1" si="1">IF(C16=0,0,D16/C16)</f>
        <v>1.8293733690403624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292.00599999999997</v>
      </c>
      <c r="D17" s="165">
        <f ca="1">IF(ISERROR(VLOOKUP("Ambulance *",INDIRECT("HI!$A:$G"),5,0)),0,VLOOKUP("Ambulance *",INDIRECT("HI!$A:$G"),5,0))</f>
        <v>534.18799999999999</v>
      </c>
      <c r="E17" s="166">
        <f t="shared" ca="1" si="1"/>
        <v>1.8293733690403624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1">
        <v>1</v>
      </c>
      <c r="D18" s="171">
        <f>IF(ISERROR(VLOOKUP("Celkem:",'ZV Vykáz.-A'!$A:$S,7,0)),"",VLOOKUP("Celkem:",'ZV Vykáz.-A'!$A:$S,7,0))</f>
        <v>1.8293733690403622</v>
      </c>
      <c r="E18" s="166">
        <f t="shared" si="1"/>
        <v>1.8293733690403622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1">
        <v>0.85</v>
      </c>
      <c r="D19" s="171">
        <f>IF(ISERROR(VLOOKUP("Celkem:",'ZV Vykáz.-H'!$A:$S,7,0)),"",VLOOKUP("Celkem:",'ZV Vykáz.-H'!$A:$S,7,0))</f>
        <v>0.65840517241379315</v>
      </c>
      <c r="E19" s="166">
        <f t="shared" si="1"/>
        <v>0.77459432048681554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147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148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1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9" t="s">
        <v>132</v>
      </c>
      <c r="B1" s="319"/>
      <c r="C1" s="319"/>
      <c r="D1" s="319"/>
      <c r="E1" s="319"/>
      <c r="F1" s="319"/>
      <c r="G1" s="320"/>
      <c r="H1" s="320"/>
    </row>
    <row r="2" spans="1:8" ht="14.4" customHeight="1" thickBot="1" x14ac:dyDescent="0.35">
      <c r="A2" s="231" t="s">
        <v>246</v>
      </c>
      <c r="B2" s="111"/>
      <c r="C2" s="111"/>
      <c r="D2" s="111"/>
      <c r="E2" s="111"/>
      <c r="F2" s="111"/>
    </row>
    <row r="3" spans="1:8" ht="14.4" customHeight="1" x14ac:dyDescent="0.3">
      <c r="A3" s="321"/>
      <c r="B3" s="107">
        <v>2013</v>
      </c>
      <c r="C3" s="40">
        <v>2014</v>
      </c>
      <c r="D3" s="7"/>
      <c r="E3" s="325">
        <v>2015</v>
      </c>
      <c r="F3" s="326"/>
      <c r="G3" s="326"/>
      <c r="H3" s="327"/>
    </row>
    <row r="4" spans="1:8" ht="14.4" customHeight="1" thickBot="1" x14ac:dyDescent="0.35">
      <c r="A4" s="322"/>
      <c r="B4" s="323" t="s">
        <v>71</v>
      </c>
      <c r="C4" s="324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51.18985</v>
      </c>
      <c r="C6" s="31">
        <v>144.59773999999999</v>
      </c>
      <c r="D6" s="8"/>
      <c r="E6" s="118">
        <v>148.93723</v>
      </c>
      <c r="F6" s="30">
        <v>147.99999533835867</v>
      </c>
      <c r="G6" s="119">
        <f>E6-F6</f>
        <v>0.93723466164132674</v>
      </c>
      <c r="H6" s="123">
        <f>IF(F6&lt;0.00000001,"",E6/F6)</f>
        <v>1.0063326668321753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115.08607999999998</v>
      </c>
      <c r="C8" s="33">
        <v>9.6567800000000261</v>
      </c>
      <c r="D8" s="8"/>
      <c r="E8" s="120">
        <v>25.055790000000002</v>
      </c>
      <c r="F8" s="32">
        <v>8.4152832565969788</v>
      </c>
      <c r="G8" s="121">
        <f>E8-F8</f>
        <v>16.640506743403023</v>
      </c>
      <c r="H8" s="124">
        <f>IF(F8&lt;0.00000001,"",E8/F8)</f>
        <v>2.9774149290052785</v>
      </c>
    </row>
    <row r="9" spans="1:8" ht="14.4" customHeight="1" thickBot="1" x14ac:dyDescent="0.35">
      <c r="A9" s="2" t="s">
        <v>75</v>
      </c>
      <c r="B9" s="3">
        <v>166.27592999999999</v>
      </c>
      <c r="C9" s="35">
        <v>154.25452000000001</v>
      </c>
      <c r="D9" s="8"/>
      <c r="E9" s="3">
        <v>173.99302</v>
      </c>
      <c r="F9" s="34">
        <v>156.41527859495565</v>
      </c>
      <c r="G9" s="34">
        <f>E9-F9</f>
        <v>17.57774140504435</v>
      </c>
      <c r="H9" s="125">
        <f>IF(F9&lt;0.00000001,"",E9/F9)</f>
        <v>1.1123786727418279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292.00599999999997</v>
      </c>
      <c r="C11" s="29">
        <f>IF(ISERROR(VLOOKUP("Celkem:",'ZV Vykáz.-A'!A:F,4,0)),0,VLOOKUP("Celkem:",'ZV Vykáz.-A'!A:F,4,0)/1000)</f>
        <v>403.87700000000001</v>
      </c>
      <c r="D11" s="8"/>
      <c r="E11" s="117">
        <f>IF(ISERROR(VLOOKUP("Celkem:",'ZV Vykáz.-A'!A:F,6,0)),0,VLOOKUP("Celkem:",'ZV Vykáz.-A'!A:F,6,0)/1000)</f>
        <v>534.18799999999999</v>
      </c>
      <c r="F11" s="28">
        <f>B11</f>
        <v>292.00599999999997</v>
      </c>
      <c r="G11" s="116">
        <f>E11-F11</f>
        <v>242.18200000000002</v>
      </c>
      <c r="H11" s="122">
        <f>IF(F11&lt;0.00000001,"",E11/F11)</f>
        <v>1.8293733690403624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292.00599999999997</v>
      </c>
      <c r="C13" s="37">
        <f>SUM(C11:C12)</f>
        <v>403.87700000000001</v>
      </c>
      <c r="D13" s="8"/>
      <c r="E13" s="5">
        <f>SUM(E11:E12)</f>
        <v>534.18799999999999</v>
      </c>
      <c r="F13" s="36">
        <f>SUM(F11:F12)</f>
        <v>292.00599999999997</v>
      </c>
      <c r="G13" s="36">
        <f>E13-F13</f>
        <v>242.18200000000002</v>
      </c>
      <c r="H13" s="126">
        <f>IF(F13&lt;0.00000001,"",E13/F13)</f>
        <v>1.8293733690403624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1.7561531605927567</v>
      </c>
      <c r="C15" s="39">
        <f>IF(C9=0,"",C13/C9)</f>
        <v>2.6182506677924251</v>
      </c>
      <c r="D15" s="8"/>
      <c r="E15" s="6">
        <f>IF(E9=0,"",E13/E9)</f>
        <v>3.070169136669965</v>
      </c>
      <c r="F15" s="38">
        <f>IF(F9=0,"",F13/F9)</f>
        <v>1.8668636633391968</v>
      </c>
      <c r="G15" s="38">
        <f>IF(ISERROR(F15-E15),"",E15-F15)</f>
        <v>1.2033054733307682</v>
      </c>
      <c r="H15" s="127">
        <f>IF(ISERROR(F15-E15),"",IF(F15&lt;0.00000001,"",E15/F15))</f>
        <v>1.6445599092000407</v>
      </c>
    </row>
    <row r="17" spans="1:8" ht="14.4" customHeight="1" x14ac:dyDescent="0.3">
      <c r="A17" s="113" t="s">
        <v>152</v>
      </c>
    </row>
    <row r="18" spans="1:8" ht="14.4" customHeight="1" x14ac:dyDescent="0.3">
      <c r="A18" s="294" t="s">
        <v>176</v>
      </c>
      <c r="B18" s="295"/>
      <c r="C18" s="295"/>
      <c r="D18" s="295"/>
      <c r="E18" s="295"/>
      <c r="F18" s="295"/>
      <c r="G18" s="295"/>
      <c r="H18" s="295"/>
    </row>
    <row r="19" spans="1:8" x14ac:dyDescent="0.3">
      <c r="A19" s="293" t="s">
        <v>175</v>
      </c>
      <c r="B19" s="295"/>
      <c r="C19" s="295"/>
      <c r="D19" s="295"/>
      <c r="E19" s="295"/>
      <c r="F19" s="295"/>
      <c r="G19" s="295"/>
      <c r="H19" s="295"/>
    </row>
    <row r="20" spans="1:8" ht="14.4" customHeight="1" x14ac:dyDescent="0.3">
      <c r="A20" s="114" t="s">
        <v>220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154</v>
      </c>
    </row>
    <row r="23" spans="1:8" ht="14.4" customHeight="1" x14ac:dyDescent="0.3">
      <c r="A23" s="115" t="s">
        <v>155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9" t="s">
        <v>102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14.4" customHeight="1" x14ac:dyDescent="0.3">
      <c r="A2" s="231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80</v>
      </c>
      <c r="C3" s="201" t="s">
        <v>81</v>
      </c>
      <c r="D3" s="201" t="s">
        <v>82</v>
      </c>
      <c r="E3" s="200" t="s">
        <v>83</v>
      </c>
      <c r="F3" s="201" t="s">
        <v>84</v>
      </c>
      <c r="G3" s="201" t="s">
        <v>85</v>
      </c>
      <c r="H3" s="201" t="s">
        <v>86</v>
      </c>
      <c r="I3" s="201" t="s">
        <v>87</v>
      </c>
      <c r="J3" s="201" t="s">
        <v>88</v>
      </c>
      <c r="K3" s="201" t="s">
        <v>89</v>
      </c>
      <c r="L3" s="201" t="s">
        <v>90</v>
      </c>
      <c r="M3" s="201" t="s">
        <v>91</v>
      </c>
    </row>
    <row r="4" spans="1:13" ht="14.4" customHeight="1" x14ac:dyDescent="0.3">
      <c r="A4" s="199" t="s">
        <v>79</v>
      </c>
      <c r="B4" s="202">
        <f>(B10+B8)/B6</f>
        <v>3.7194542322729127</v>
      </c>
      <c r="C4" s="202">
        <f t="shared" ref="C4:M4" si="0">(C10+C8)/C6</f>
        <v>2.981794525143072</v>
      </c>
      <c r="D4" s="202">
        <f t="shared" si="0"/>
        <v>4.2352559638321114</v>
      </c>
      <c r="E4" s="202">
        <f t="shared" si="0"/>
        <v>3.070169136669965</v>
      </c>
      <c r="F4" s="202">
        <f t="shared" si="0"/>
        <v>3.070169136669965</v>
      </c>
      <c r="G4" s="202">
        <f t="shared" si="0"/>
        <v>3.070169136669965</v>
      </c>
      <c r="H4" s="202">
        <f t="shared" si="0"/>
        <v>3.070169136669965</v>
      </c>
      <c r="I4" s="202">
        <f t="shared" si="0"/>
        <v>3.070169136669965</v>
      </c>
      <c r="J4" s="202">
        <f t="shared" si="0"/>
        <v>3.070169136669965</v>
      </c>
      <c r="K4" s="202">
        <f t="shared" si="0"/>
        <v>3.070169136669965</v>
      </c>
      <c r="L4" s="202">
        <f t="shared" si="0"/>
        <v>3.070169136669965</v>
      </c>
      <c r="M4" s="202">
        <f t="shared" si="0"/>
        <v>3.070169136669965</v>
      </c>
    </row>
    <row r="5" spans="1:13" ht="14.4" customHeight="1" x14ac:dyDescent="0.3">
      <c r="A5" s="203" t="s">
        <v>52</v>
      </c>
      <c r="B5" s="202">
        <f>IF(ISERROR(VLOOKUP($A5,'Man Tab'!$A:$Q,COLUMN()+2,0)),0,VLOOKUP($A5,'Man Tab'!$A:$Q,COLUMN()+2,0))</f>
        <v>41.9739</v>
      </c>
      <c r="C5" s="202">
        <f>IF(ISERROR(VLOOKUP($A5,'Man Tab'!$A:$Q,COLUMN()+2,0)),0,VLOOKUP($A5,'Man Tab'!$A:$Q,COLUMN()+2,0))</f>
        <v>51.484250000000003</v>
      </c>
      <c r="D5" s="202">
        <f>IF(ISERROR(VLOOKUP($A5,'Man Tab'!$A:$Q,COLUMN()+2,0)),0,VLOOKUP($A5,'Man Tab'!$A:$Q,COLUMN()+2,0))</f>
        <v>9.0371900000000007</v>
      </c>
      <c r="E5" s="202">
        <f>IF(ISERROR(VLOOKUP($A5,'Man Tab'!$A:$Q,COLUMN()+2,0)),0,VLOOKUP($A5,'Man Tab'!$A:$Q,COLUMN()+2,0))</f>
        <v>71.497680000000003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75</v>
      </c>
      <c r="B6" s="204">
        <f>B5</f>
        <v>41.9739</v>
      </c>
      <c r="C6" s="204">
        <f t="shared" ref="C6:M6" si="1">C5+B6</f>
        <v>93.458150000000003</v>
      </c>
      <c r="D6" s="204">
        <f t="shared" si="1"/>
        <v>102.49534</v>
      </c>
      <c r="E6" s="204">
        <f t="shared" si="1"/>
        <v>173.99302</v>
      </c>
      <c r="F6" s="204">
        <f t="shared" si="1"/>
        <v>173.99302</v>
      </c>
      <c r="G6" s="204">
        <f t="shared" si="1"/>
        <v>173.99302</v>
      </c>
      <c r="H6" s="204">
        <f t="shared" si="1"/>
        <v>173.99302</v>
      </c>
      <c r="I6" s="204">
        <f t="shared" si="1"/>
        <v>173.99302</v>
      </c>
      <c r="J6" s="204">
        <f t="shared" si="1"/>
        <v>173.99302</v>
      </c>
      <c r="K6" s="204">
        <f t="shared" si="1"/>
        <v>173.99302</v>
      </c>
      <c r="L6" s="204">
        <f t="shared" si="1"/>
        <v>173.99302</v>
      </c>
      <c r="M6" s="204">
        <f t="shared" si="1"/>
        <v>173.99302</v>
      </c>
    </row>
    <row r="7" spans="1:13" ht="14.4" customHeight="1" x14ac:dyDescent="0.3">
      <c r="A7" s="203" t="s">
        <v>100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76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101</v>
      </c>
      <c r="B9" s="203">
        <v>156120</v>
      </c>
      <c r="C9" s="203">
        <v>122553</v>
      </c>
      <c r="D9" s="203">
        <v>155421</v>
      </c>
      <c r="E9" s="203">
        <v>100094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77</v>
      </c>
      <c r="B10" s="204">
        <f>B9/1000</f>
        <v>156.12</v>
      </c>
      <c r="C10" s="204">
        <f t="shared" ref="C10:M10" si="3">C9/1000+B10</f>
        <v>278.673</v>
      </c>
      <c r="D10" s="204">
        <f t="shared" si="3"/>
        <v>434.09399999999999</v>
      </c>
      <c r="E10" s="204">
        <f t="shared" si="3"/>
        <v>534.18799999999999</v>
      </c>
      <c r="F10" s="204">
        <f t="shared" si="3"/>
        <v>534.18799999999999</v>
      </c>
      <c r="G10" s="204">
        <f t="shared" si="3"/>
        <v>534.18799999999999</v>
      </c>
      <c r="H10" s="204">
        <f t="shared" si="3"/>
        <v>534.18799999999999</v>
      </c>
      <c r="I10" s="204">
        <f t="shared" si="3"/>
        <v>534.18799999999999</v>
      </c>
      <c r="J10" s="204">
        <f t="shared" si="3"/>
        <v>534.18799999999999</v>
      </c>
      <c r="K10" s="204">
        <f t="shared" si="3"/>
        <v>534.18799999999999</v>
      </c>
      <c r="L10" s="204">
        <f t="shared" si="3"/>
        <v>534.18799999999999</v>
      </c>
      <c r="M10" s="204">
        <f t="shared" si="3"/>
        <v>534.18799999999999</v>
      </c>
    </row>
    <row r="11" spans="1:13" ht="14.4" customHeight="1" x14ac:dyDescent="0.3">
      <c r="A11" s="199"/>
      <c r="B11" s="199" t="s">
        <v>92</v>
      </c>
      <c r="C11" s="199">
        <f ca="1">IF(MONTH(TODAY())=1,12,MONTH(TODAY())-1)</f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1.8668636633391968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1.8668636633391968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28" t="s">
        <v>248</v>
      </c>
      <c r="B1" s="328"/>
      <c r="C1" s="328"/>
      <c r="D1" s="328"/>
      <c r="E1" s="328"/>
      <c r="F1" s="328"/>
      <c r="G1" s="328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17" s="205" customFormat="1" ht="14.4" customHeight="1" thickBot="1" x14ac:dyDescent="0.3">
      <c r="A2" s="231" t="s">
        <v>246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29" t="s">
        <v>28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138"/>
      <c r="Q3" s="140"/>
    </row>
    <row r="4" spans="1:17" ht="14.4" customHeight="1" x14ac:dyDescent="0.3">
      <c r="A4" s="77"/>
      <c r="B4" s="20">
        <v>2015</v>
      </c>
      <c r="C4" s="139" t="s">
        <v>29</v>
      </c>
      <c r="D4" s="129" t="s">
        <v>223</v>
      </c>
      <c r="E4" s="129" t="s">
        <v>224</v>
      </c>
      <c r="F4" s="129" t="s">
        <v>225</v>
      </c>
      <c r="G4" s="129" t="s">
        <v>226</v>
      </c>
      <c r="H4" s="129" t="s">
        <v>227</v>
      </c>
      <c r="I4" s="129" t="s">
        <v>228</v>
      </c>
      <c r="J4" s="129" t="s">
        <v>229</v>
      </c>
      <c r="K4" s="129" t="s">
        <v>230</v>
      </c>
      <c r="L4" s="129" t="s">
        <v>231</v>
      </c>
      <c r="M4" s="129" t="s">
        <v>232</v>
      </c>
      <c r="N4" s="129" t="s">
        <v>233</v>
      </c>
      <c r="O4" s="129" t="s">
        <v>234</v>
      </c>
      <c r="P4" s="331" t="s">
        <v>3</v>
      </c>
      <c r="Q4" s="332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247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36</v>
      </c>
      <c r="B9" s="51">
        <v>443.99998601507599</v>
      </c>
      <c r="C9" s="52">
        <v>36.999998834589</v>
      </c>
      <c r="D9" s="52">
        <v>22.526900000000001</v>
      </c>
      <c r="E9" s="52">
        <v>48.585540000000002</v>
      </c>
      <c r="F9" s="52">
        <v>8.8653600000000008</v>
      </c>
      <c r="G9" s="52">
        <v>68.959429999999998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148.93723</v>
      </c>
      <c r="Q9" s="95">
        <v>1.0063326668320001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247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247</v>
      </c>
    </row>
    <row r="13" spans="1:17" ht="14.4" customHeight="1" x14ac:dyDescent="0.3">
      <c r="A13" s="15" t="s">
        <v>40</v>
      </c>
      <c r="B13" s="51">
        <v>4.9999998425119996</v>
      </c>
      <c r="C13" s="52">
        <v>0.416666653542</v>
      </c>
      <c r="D13" s="52">
        <v>0</v>
      </c>
      <c r="E13" s="52">
        <v>0.51031000000000004</v>
      </c>
      <c r="F13" s="52">
        <v>0.17183000000000001</v>
      </c>
      <c r="G13" s="52">
        <v>1.2174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1.89954</v>
      </c>
      <c r="Q13" s="95">
        <v>1.1397240358980001</v>
      </c>
    </row>
    <row r="14" spans="1:17" ht="14.4" customHeight="1" x14ac:dyDescent="0.3">
      <c r="A14" s="15" t="s">
        <v>41</v>
      </c>
      <c r="B14" s="51">
        <v>17.999999433043001</v>
      </c>
      <c r="C14" s="52">
        <v>1.4999999527529999</v>
      </c>
      <c r="D14" s="52">
        <v>2.847</v>
      </c>
      <c r="E14" s="52">
        <v>2.3879999999999999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5.2350000000000003</v>
      </c>
      <c r="Q14" s="95">
        <v>0.87250002748099997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247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247</v>
      </c>
    </row>
    <row r="19" spans="1:17" ht="14.4" customHeight="1" x14ac:dyDescent="0.3">
      <c r="A19" s="15" t="s">
        <v>46</v>
      </c>
      <c r="B19" s="51">
        <v>2.2458504942349999</v>
      </c>
      <c r="C19" s="52">
        <v>0.18715420785199999</v>
      </c>
      <c r="D19" s="52">
        <v>0</v>
      </c>
      <c r="E19" s="52">
        <v>0</v>
      </c>
      <c r="F19" s="52">
        <v>0</v>
      </c>
      <c r="G19" s="52">
        <v>1.3208500000000001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1.3208500000000001</v>
      </c>
      <c r="Q19" s="95">
        <v>1.7643872600470001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247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247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247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51</v>
      </c>
      <c r="B24" s="51">
        <v>-5.6843418860808002E-14</v>
      </c>
      <c r="C24" s="52">
        <v>0</v>
      </c>
      <c r="D24" s="52">
        <v>16.600000000000001</v>
      </c>
      <c r="E24" s="52">
        <v>3.9999999900000002E-4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16.6004</v>
      </c>
      <c r="Q24" s="95" t="s">
        <v>247</v>
      </c>
    </row>
    <row r="25" spans="1:17" ht="14.4" customHeight="1" x14ac:dyDescent="0.3">
      <c r="A25" s="17" t="s">
        <v>52</v>
      </c>
      <c r="B25" s="54">
        <v>469.24583578486801</v>
      </c>
      <c r="C25" s="55">
        <v>39.103819648738998</v>
      </c>
      <c r="D25" s="55">
        <v>41.9739</v>
      </c>
      <c r="E25" s="55">
        <v>51.484250000000003</v>
      </c>
      <c r="F25" s="55">
        <v>9.0371900000000007</v>
      </c>
      <c r="G25" s="55">
        <v>71.497680000000003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173.99302</v>
      </c>
      <c r="Q25" s="96">
        <v>1.1123786727410001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247</v>
      </c>
    </row>
    <row r="27" spans="1:17" ht="14.4" customHeight="1" x14ac:dyDescent="0.3">
      <c r="A27" s="18" t="s">
        <v>54</v>
      </c>
      <c r="B27" s="54">
        <v>469.24583578486801</v>
      </c>
      <c r="C27" s="55">
        <v>39.103819648738998</v>
      </c>
      <c r="D27" s="55">
        <v>41.9739</v>
      </c>
      <c r="E27" s="55">
        <v>51.484250000000003</v>
      </c>
      <c r="F27" s="55">
        <v>9.0371900000000007</v>
      </c>
      <c r="G27" s="55">
        <v>71.497680000000003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173.99302</v>
      </c>
      <c r="Q27" s="96">
        <v>1.1123786727410001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12.5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16.600000000000001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16.600000000000001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8" t="s">
        <v>60</v>
      </c>
      <c r="B1" s="328"/>
      <c r="C1" s="328"/>
      <c r="D1" s="328"/>
      <c r="E1" s="328"/>
      <c r="F1" s="328"/>
      <c r="G1" s="328"/>
      <c r="H1" s="333"/>
      <c r="I1" s="333"/>
      <c r="J1" s="333"/>
      <c r="K1" s="333"/>
    </row>
    <row r="2" spans="1:11" s="60" customFormat="1" ht="14.4" customHeight="1" thickBot="1" x14ac:dyDescent="0.35">
      <c r="A2" s="231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9" t="s">
        <v>61</v>
      </c>
      <c r="C3" s="330"/>
      <c r="D3" s="330"/>
      <c r="E3" s="330"/>
      <c r="F3" s="336" t="s">
        <v>62</v>
      </c>
      <c r="G3" s="330"/>
      <c r="H3" s="330"/>
      <c r="I3" s="330"/>
      <c r="J3" s="330"/>
      <c r="K3" s="337"/>
    </row>
    <row r="4" spans="1:11" ht="14.4" customHeight="1" x14ac:dyDescent="0.3">
      <c r="A4" s="77"/>
      <c r="B4" s="334"/>
      <c r="C4" s="335"/>
      <c r="D4" s="335"/>
      <c r="E4" s="335"/>
      <c r="F4" s="338" t="s">
        <v>239</v>
      </c>
      <c r="G4" s="340" t="s">
        <v>63</v>
      </c>
      <c r="H4" s="141" t="s">
        <v>136</v>
      </c>
      <c r="I4" s="338" t="s">
        <v>64</v>
      </c>
      <c r="J4" s="340" t="s">
        <v>241</v>
      </c>
      <c r="K4" s="341" t="s">
        <v>242</v>
      </c>
    </row>
    <row r="5" spans="1:11" ht="42" thickBot="1" x14ac:dyDescent="0.35">
      <c r="A5" s="78"/>
      <c r="B5" s="24" t="s">
        <v>235</v>
      </c>
      <c r="C5" s="25" t="s">
        <v>236</v>
      </c>
      <c r="D5" s="26" t="s">
        <v>237</v>
      </c>
      <c r="E5" s="26" t="s">
        <v>238</v>
      </c>
      <c r="F5" s="339"/>
      <c r="G5" s="339"/>
      <c r="H5" s="25" t="s">
        <v>240</v>
      </c>
      <c r="I5" s="339"/>
      <c r="J5" s="339"/>
      <c r="K5" s="342"/>
    </row>
    <row r="6" spans="1:11" ht="14.4" customHeight="1" thickBot="1" x14ac:dyDescent="0.35">
      <c r="A6" s="445" t="s">
        <v>249</v>
      </c>
      <c r="B6" s="427">
        <v>470.14179244643202</v>
      </c>
      <c r="C6" s="427">
        <v>478.46681999999998</v>
      </c>
      <c r="D6" s="428">
        <v>8.3250275535680007</v>
      </c>
      <c r="E6" s="429">
        <v>1.017707482481</v>
      </c>
      <c r="F6" s="427">
        <v>469.24583578486801</v>
      </c>
      <c r="G6" s="428">
        <v>156.41527859495599</v>
      </c>
      <c r="H6" s="430">
        <v>71.497680000000003</v>
      </c>
      <c r="I6" s="427">
        <v>173.99302</v>
      </c>
      <c r="J6" s="428">
        <v>17.577741405044002</v>
      </c>
      <c r="K6" s="431">
        <v>0.370792890913</v>
      </c>
    </row>
    <row r="7" spans="1:11" ht="14.4" customHeight="1" thickBot="1" x14ac:dyDescent="0.35">
      <c r="A7" s="446" t="s">
        <v>250</v>
      </c>
      <c r="B7" s="427">
        <v>470.14179244643202</v>
      </c>
      <c r="C7" s="427">
        <v>472.32886000000002</v>
      </c>
      <c r="D7" s="428">
        <v>2.1870675535680002</v>
      </c>
      <c r="E7" s="429">
        <v>1.004651931797</v>
      </c>
      <c r="F7" s="427">
        <v>466.99998529063203</v>
      </c>
      <c r="G7" s="428">
        <v>155.666661763544</v>
      </c>
      <c r="H7" s="430">
        <v>70.176829999999995</v>
      </c>
      <c r="I7" s="427">
        <v>172.67216999999999</v>
      </c>
      <c r="J7" s="428">
        <v>17.005508236455999</v>
      </c>
      <c r="K7" s="431">
        <v>0.369747699012</v>
      </c>
    </row>
    <row r="8" spans="1:11" ht="14.4" customHeight="1" thickBot="1" x14ac:dyDescent="0.35">
      <c r="A8" s="447" t="s">
        <v>251</v>
      </c>
      <c r="B8" s="427">
        <v>451.81306277650702</v>
      </c>
      <c r="C8" s="427">
        <v>455.32585999999998</v>
      </c>
      <c r="D8" s="428">
        <v>3.5127972234930001</v>
      </c>
      <c r="E8" s="429">
        <v>1.007774890796</v>
      </c>
      <c r="F8" s="427">
        <v>448.999985857588</v>
      </c>
      <c r="G8" s="428">
        <v>149.66666195252901</v>
      </c>
      <c r="H8" s="430">
        <v>70.176829999999995</v>
      </c>
      <c r="I8" s="427">
        <v>167.43717000000001</v>
      </c>
      <c r="J8" s="428">
        <v>17.770508047469999</v>
      </c>
      <c r="K8" s="431">
        <v>0.37291130350500001</v>
      </c>
    </row>
    <row r="9" spans="1:11" ht="14.4" customHeight="1" thickBot="1" x14ac:dyDescent="0.35">
      <c r="A9" s="448" t="s">
        <v>252</v>
      </c>
      <c r="B9" s="432">
        <v>0</v>
      </c>
      <c r="C9" s="432">
        <v>2.7999999999999998E-4</v>
      </c>
      <c r="D9" s="433">
        <v>2.7999999999999998E-4</v>
      </c>
      <c r="E9" s="434" t="s">
        <v>253</v>
      </c>
      <c r="F9" s="432">
        <v>0</v>
      </c>
      <c r="G9" s="433">
        <v>0</v>
      </c>
      <c r="H9" s="435">
        <v>0</v>
      </c>
      <c r="I9" s="432">
        <v>4.0000000000000002E-4</v>
      </c>
      <c r="J9" s="433">
        <v>4.0000000000000002E-4</v>
      </c>
      <c r="K9" s="436" t="s">
        <v>247</v>
      </c>
    </row>
    <row r="10" spans="1:11" ht="14.4" customHeight="1" thickBot="1" x14ac:dyDescent="0.35">
      <c r="A10" s="449" t="s">
        <v>254</v>
      </c>
      <c r="B10" s="427">
        <v>0</v>
      </c>
      <c r="C10" s="427">
        <v>2.7999999999999998E-4</v>
      </c>
      <c r="D10" s="428">
        <v>2.7999999999999998E-4</v>
      </c>
      <c r="E10" s="437" t="s">
        <v>253</v>
      </c>
      <c r="F10" s="427">
        <v>0</v>
      </c>
      <c r="G10" s="428">
        <v>0</v>
      </c>
      <c r="H10" s="430">
        <v>0</v>
      </c>
      <c r="I10" s="427">
        <v>4.0000000000000002E-4</v>
      </c>
      <c r="J10" s="428">
        <v>4.0000000000000002E-4</v>
      </c>
      <c r="K10" s="438" t="s">
        <v>247</v>
      </c>
    </row>
    <row r="11" spans="1:11" ht="14.4" customHeight="1" thickBot="1" x14ac:dyDescent="0.35">
      <c r="A11" s="448" t="s">
        <v>255</v>
      </c>
      <c r="B11" s="432">
        <v>444.81310161143398</v>
      </c>
      <c r="C11" s="432">
        <v>451.73370999999997</v>
      </c>
      <c r="D11" s="433">
        <v>6.9206083885660004</v>
      </c>
      <c r="E11" s="439">
        <v>1.015558463461</v>
      </c>
      <c r="F11" s="432">
        <v>443.99998601507599</v>
      </c>
      <c r="G11" s="433">
        <v>147.99999533835901</v>
      </c>
      <c r="H11" s="435">
        <v>68.959429999999998</v>
      </c>
      <c r="I11" s="432">
        <v>148.93723</v>
      </c>
      <c r="J11" s="433">
        <v>0.937234661641</v>
      </c>
      <c r="K11" s="440">
        <v>0.33544422227699999</v>
      </c>
    </row>
    <row r="12" spans="1:11" ht="14.4" customHeight="1" thickBot="1" x14ac:dyDescent="0.35">
      <c r="A12" s="449" t="s">
        <v>256</v>
      </c>
      <c r="B12" s="427">
        <v>23.442229502671999</v>
      </c>
      <c r="C12" s="427">
        <v>21.391210000000001</v>
      </c>
      <c r="D12" s="428">
        <v>-2.0510195026720002</v>
      </c>
      <c r="E12" s="429">
        <v>0.91250748985100005</v>
      </c>
      <c r="F12" s="427">
        <v>22.999999275554998</v>
      </c>
      <c r="G12" s="428">
        <v>7.6666664251850003</v>
      </c>
      <c r="H12" s="430">
        <v>1.9788600000000001</v>
      </c>
      <c r="I12" s="427">
        <v>14.266959999999999</v>
      </c>
      <c r="J12" s="428">
        <v>6.6002935748139997</v>
      </c>
      <c r="K12" s="431">
        <v>0.62030262823299998</v>
      </c>
    </row>
    <row r="13" spans="1:11" ht="14.4" customHeight="1" thickBot="1" x14ac:dyDescent="0.35">
      <c r="A13" s="449" t="s">
        <v>257</v>
      </c>
      <c r="B13" s="427">
        <v>316.76570576605297</v>
      </c>
      <c r="C13" s="427">
        <v>330.96188000000001</v>
      </c>
      <c r="D13" s="428">
        <v>14.196174233947</v>
      </c>
      <c r="E13" s="429">
        <v>1.044816007463</v>
      </c>
      <c r="F13" s="427">
        <v>316.999990015268</v>
      </c>
      <c r="G13" s="428">
        <v>105.66666333842301</v>
      </c>
      <c r="H13" s="430">
        <v>62.639949999999999</v>
      </c>
      <c r="I13" s="427">
        <v>108.3909</v>
      </c>
      <c r="J13" s="428">
        <v>2.7242366615770002</v>
      </c>
      <c r="K13" s="431">
        <v>0.34192714010699998</v>
      </c>
    </row>
    <row r="14" spans="1:11" ht="14.4" customHeight="1" thickBot="1" x14ac:dyDescent="0.35">
      <c r="A14" s="449" t="s">
        <v>258</v>
      </c>
      <c r="B14" s="427">
        <v>53.611599617282003</v>
      </c>
      <c r="C14" s="427">
        <v>51.295470000000002</v>
      </c>
      <c r="D14" s="428">
        <v>-2.3161296172819998</v>
      </c>
      <c r="E14" s="429">
        <v>0.95679797592600002</v>
      </c>
      <c r="F14" s="427">
        <v>52.999998330628003</v>
      </c>
      <c r="G14" s="428">
        <v>17.666666110209</v>
      </c>
      <c r="H14" s="430">
        <v>1.3889</v>
      </c>
      <c r="I14" s="427">
        <v>14.169359999999999</v>
      </c>
      <c r="J14" s="428">
        <v>-3.4973061102090002</v>
      </c>
      <c r="K14" s="431">
        <v>0.26734642351499999</v>
      </c>
    </row>
    <row r="15" spans="1:11" ht="14.4" customHeight="1" thickBot="1" x14ac:dyDescent="0.35">
      <c r="A15" s="449" t="s">
        <v>259</v>
      </c>
      <c r="B15" s="427">
        <v>17.127162774807001</v>
      </c>
      <c r="C15" s="427">
        <v>15.418509999999999</v>
      </c>
      <c r="D15" s="428">
        <v>-1.708652774807</v>
      </c>
      <c r="E15" s="429">
        <v>0.90023725486299999</v>
      </c>
      <c r="F15" s="427">
        <v>16.999999464540998</v>
      </c>
      <c r="G15" s="428">
        <v>5.6666664881799997</v>
      </c>
      <c r="H15" s="430">
        <v>1.60172</v>
      </c>
      <c r="I15" s="427">
        <v>3.4307500000000002</v>
      </c>
      <c r="J15" s="428">
        <v>-2.23591648818</v>
      </c>
      <c r="K15" s="431">
        <v>0.20180882988500001</v>
      </c>
    </row>
    <row r="16" spans="1:11" ht="14.4" customHeight="1" thickBot="1" x14ac:dyDescent="0.35">
      <c r="A16" s="449" t="s">
        <v>260</v>
      </c>
      <c r="B16" s="427">
        <v>15.217297548743</v>
      </c>
      <c r="C16" s="427">
        <v>14.1496</v>
      </c>
      <c r="D16" s="428">
        <v>-1.067697548743</v>
      </c>
      <c r="E16" s="429">
        <v>0.92983658594200003</v>
      </c>
      <c r="F16" s="427">
        <v>14.999999527536</v>
      </c>
      <c r="G16" s="428">
        <v>4.9999998425119996</v>
      </c>
      <c r="H16" s="430">
        <v>1.35</v>
      </c>
      <c r="I16" s="427">
        <v>4.05</v>
      </c>
      <c r="J16" s="428">
        <v>-0.94999984251199998</v>
      </c>
      <c r="K16" s="431">
        <v>0.27000000850400002</v>
      </c>
    </row>
    <row r="17" spans="1:11" ht="14.4" customHeight="1" thickBot="1" x14ac:dyDescent="0.35">
      <c r="A17" s="449" t="s">
        <v>261</v>
      </c>
      <c r="B17" s="427">
        <v>18.649106401874</v>
      </c>
      <c r="C17" s="427">
        <v>18.517040000000001</v>
      </c>
      <c r="D17" s="428">
        <v>-0.13206640187400001</v>
      </c>
      <c r="E17" s="429">
        <v>0.99291835227699998</v>
      </c>
      <c r="F17" s="427">
        <v>18.999999401545999</v>
      </c>
      <c r="G17" s="428">
        <v>6.3333331338479999</v>
      </c>
      <c r="H17" s="430">
        <v>0</v>
      </c>
      <c r="I17" s="427">
        <v>4.6292600000000004</v>
      </c>
      <c r="J17" s="428">
        <v>-1.704073133848</v>
      </c>
      <c r="K17" s="431">
        <v>0.24364527083199999</v>
      </c>
    </row>
    <row r="18" spans="1:11" ht="14.4" customHeight="1" thickBot="1" x14ac:dyDescent="0.35">
      <c r="A18" s="448" t="s">
        <v>262</v>
      </c>
      <c r="B18" s="432">
        <v>6.9999611650729996</v>
      </c>
      <c r="C18" s="432">
        <v>3.5918700000000001</v>
      </c>
      <c r="D18" s="433">
        <v>-3.4080911650729999</v>
      </c>
      <c r="E18" s="439">
        <v>0.51312713246399999</v>
      </c>
      <c r="F18" s="432">
        <v>4.9999998425119996</v>
      </c>
      <c r="G18" s="433">
        <v>1.6666666141699999</v>
      </c>
      <c r="H18" s="435">
        <v>1.2174</v>
      </c>
      <c r="I18" s="432">
        <v>1.89954</v>
      </c>
      <c r="J18" s="433">
        <v>0.232873385829</v>
      </c>
      <c r="K18" s="440">
        <v>0.37990801196599999</v>
      </c>
    </row>
    <row r="19" spans="1:11" ht="14.4" customHeight="1" thickBot="1" x14ac:dyDescent="0.35">
      <c r="A19" s="449" t="s">
        <v>263</v>
      </c>
      <c r="B19" s="427">
        <v>6.9999611650729996</v>
      </c>
      <c r="C19" s="427">
        <v>3.5918700000000001</v>
      </c>
      <c r="D19" s="428">
        <v>-3.4080911650729999</v>
      </c>
      <c r="E19" s="429">
        <v>0.51312713246399999</v>
      </c>
      <c r="F19" s="427">
        <v>4.9999998425119996</v>
      </c>
      <c r="G19" s="428">
        <v>1.6666666141699999</v>
      </c>
      <c r="H19" s="430">
        <v>1.2174</v>
      </c>
      <c r="I19" s="427">
        <v>1.89954</v>
      </c>
      <c r="J19" s="428">
        <v>0.232873385829</v>
      </c>
      <c r="K19" s="431">
        <v>0.37990801196599999</v>
      </c>
    </row>
    <row r="20" spans="1:11" ht="14.4" customHeight="1" thickBot="1" x14ac:dyDescent="0.35">
      <c r="A20" s="448" t="s">
        <v>264</v>
      </c>
      <c r="B20" s="432">
        <v>0</v>
      </c>
      <c r="C20" s="432">
        <v>0</v>
      </c>
      <c r="D20" s="433">
        <v>0</v>
      </c>
      <c r="E20" s="439">
        <v>1</v>
      </c>
      <c r="F20" s="432">
        <v>0</v>
      </c>
      <c r="G20" s="433">
        <v>0</v>
      </c>
      <c r="H20" s="435">
        <v>0</v>
      </c>
      <c r="I20" s="432">
        <v>16.600000000000001</v>
      </c>
      <c r="J20" s="433">
        <v>16.600000000000001</v>
      </c>
      <c r="K20" s="436" t="s">
        <v>253</v>
      </c>
    </row>
    <row r="21" spans="1:11" ht="14.4" customHeight="1" thickBot="1" x14ac:dyDescent="0.35">
      <c r="A21" s="449" t="s">
        <v>265</v>
      </c>
      <c r="B21" s="427">
        <v>0</v>
      </c>
      <c r="C21" s="427">
        <v>0</v>
      </c>
      <c r="D21" s="428">
        <v>0</v>
      </c>
      <c r="E21" s="429">
        <v>1</v>
      </c>
      <c r="F21" s="427">
        <v>0</v>
      </c>
      <c r="G21" s="428">
        <v>0</v>
      </c>
      <c r="H21" s="430">
        <v>0</v>
      </c>
      <c r="I21" s="427">
        <v>16.600000000000001</v>
      </c>
      <c r="J21" s="428">
        <v>16.600000000000001</v>
      </c>
      <c r="K21" s="438" t="s">
        <v>253</v>
      </c>
    </row>
    <row r="22" spans="1:11" ht="14.4" customHeight="1" thickBot="1" x14ac:dyDescent="0.35">
      <c r="A22" s="447" t="s">
        <v>41</v>
      </c>
      <c r="B22" s="427">
        <v>18.328729669924002</v>
      </c>
      <c r="C22" s="427">
        <v>17.003</v>
      </c>
      <c r="D22" s="428">
        <v>-1.325729669924</v>
      </c>
      <c r="E22" s="429">
        <v>0.92766930966799999</v>
      </c>
      <c r="F22" s="427">
        <v>17.999999433043001</v>
      </c>
      <c r="G22" s="428">
        <v>5.9999998110139998</v>
      </c>
      <c r="H22" s="430">
        <v>0</v>
      </c>
      <c r="I22" s="427">
        <v>5.2350000000000003</v>
      </c>
      <c r="J22" s="428">
        <v>-0.76499981101400005</v>
      </c>
      <c r="K22" s="431">
        <v>0.29083334249300002</v>
      </c>
    </row>
    <row r="23" spans="1:11" ht="14.4" customHeight="1" thickBot="1" x14ac:dyDescent="0.35">
      <c r="A23" s="448" t="s">
        <v>266</v>
      </c>
      <c r="B23" s="432">
        <v>18.328729669924002</v>
      </c>
      <c r="C23" s="432">
        <v>17.003</v>
      </c>
      <c r="D23" s="433">
        <v>-1.325729669924</v>
      </c>
      <c r="E23" s="439">
        <v>0.92766930966799999</v>
      </c>
      <c r="F23" s="432">
        <v>17.999999433043001</v>
      </c>
      <c r="G23" s="433">
        <v>5.9999998110139998</v>
      </c>
      <c r="H23" s="435">
        <v>0</v>
      </c>
      <c r="I23" s="432">
        <v>5.2350000000000003</v>
      </c>
      <c r="J23" s="433">
        <v>-0.76499981101400005</v>
      </c>
      <c r="K23" s="440">
        <v>0.29083334249300002</v>
      </c>
    </row>
    <row r="24" spans="1:11" ht="14.4" customHeight="1" thickBot="1" x14ac:dyDescent="0.35">
      <c r="A24" s="449" t="s">
        <v>267</v>
      </c>
      <c r="B24" s="427">
        <v>18.328729669924002</v>
      </c>
      <c r="C24" s="427">
        <v>17.003</v>
      </c>
      <c r="D24" s="428">
        <v>-1.325729669924</v>
      </c>
      <c r="E24" s="429">
        <v>0.92766930966799999</v>
      </c>
      <c r="F24" s="427">
        <v>17.999999433043001</v>
      </c>
      <c r="G24" s="428">
        <v>5.9999998110139998</v>
      </c>
      <c r="H24" s="430">
        <v>0</v>
      </c>
      <c r="I24" s="427">
        <v>5.2350000000000003</v>
      </c>
      <c r="J24" s="428">
        <v>-0.76499981101400005</v>
      </c>
      <c r="K24" s="431">
        <v>0.29083334249300002</v>
      </c>
    </row>
    <row r="25" spans="1:11" ht="14.4" customHeight="1" thickBot="1" x14ac:dyDescent="0.35">
      <c r="A25" s="450" t="s">
        <v>268</v>
      </c>
      <c r="B25" s="432">
        <v>0</v>
      </c>
      <c r="C25" s="432">
        <v>2.4059699999999999</v>
      </c>
      <c r="D25" s="433">
        <v>2.4059699999999999</v>
      </c>
      <c r="E25" s="434" t="s">
        <v>253</v>
      </c>
      <c r="F25" s="432">
        <v>2.2458504942349999</v>
      </c>
      <c r="G25" s="433">
        <v>0.74861683141099999</v>
      </c>
      <c r="H25" s="435">
        <v>1.3208500000000001</v>
      </c>
      <c r="I25" s="432">
        <v>1.3208500000000001</v>
      </c>
      <c r="J25" s="433">
        <v>0.572233168588</v>
      </c>
      <c r="K25" s="440">
        <v>0.58812908668200004</v>
      </c>
    </row>
    <row r="26" spans="1:11" ht="14.4" customHeight="1" thickBot="1" x14ac:dyDescent="0.35">
      <c r="A26" s="447" t="s">
        <v>46</v>
      </c>
      <c r="B26" s="427">
        <v>0</v>
      </c>
      <c r="C26" s="427">
        <v>2.4059699999999999</v>
      </c>
      <c r="D26" s="428">
        <v>2.4059699999999999</v>
      </c>
      <c r="E26" s="437" t="s">
        <v>253</v>
      </c>
      <c r="F26" s="427">
        <v>2.2458504942349999</v>
      </c>
      <c r="G26" s="428">
        <v>0.74861683141099999</v>
      </c>
      <c r="H26" s="430">
        <v>1.3208500000000001</v>
      </c>
      <c r="I26" s="427">
        <v>1.3208500000000001</v>
      </c>
      <c r="J26" s="428">
        <v>0.572233168588</v>
      </c>
      <c r="K26" s="431">
        <v>0.58812908668200004</v>
      </c>
    </row>
    <row r="27" spans="1:11" ht="14.4" customHeight="1" thickBot="1" x14ac:dyDescent="0.35">
      <c r="A27" s="448" t="s">
        <v>269</v>
      </c>
      <c r="B27" s="432">
        <v>0</v>
      </c>
      <c r="C27" s="432">
        <v>0.41399999999999998</v>
      </c>
      <c r="D27" s="433">
        <v>0.41399999999999998</v>
      </c>
      <c r="E27" s="434" t="s">
        <v>253</v>
      </c>
      <c r="F27" s="432">
        <v>0.20973774570699999</v>
      </c>
      <c r="G27" s="433">
        <v>6.9912581902000004E-2</v>
      </c>
      <c r="H27" s="435">
        <v>0</v>
      </c>
      <c r="I27" s="432">
        <v>0</v>
      </c>
      <c r="J27" s="433">
        <v>-6.9912581902000004E-2</v>
      </c>
      <c r="K27" s="440">
        <v>0</v>
      </c>
    </row>
    <row r="28" spans="1:11" ht="14.4" customHeight="1" thickBot="1" x14ac:dyDescent="0.35">
      <c r="A28" s="449" t="s">
        <v>270</v>
      </c>
      <c r="B28" s="427">
        <v>0</v>
      </c>
      <c r="C28" s="427">
        <v>0.41399999999999998</v>
      </c>
      <c r="D28" s="428">
        <v>0.41399999999999998</v>
      </c>
      <c r="E28" s="437" t="s">
        <v>253</v>
      </c>
      <c r="F28" s="427">
        <v>0.20973774570699999</v>
      </c>
      <c r="G28" s="428">
        <v>6.9912581902000004E-2</v>
      </c>
      <c r="H28" s="430">
        <v>0</v>
      </c>
      <c r="I28" s="427">
        <v>0</v>
      </c>
      <c r="J28" s="428">
        <v>-6.9912581902000004E-2</v>
      </c>
      <c r="K28" s="431">
        <v>0</v>
      </c>
    </row>
    <row r="29" spans="1:11" ht="14.4" customHeight="1" thickBot="1" x14ac:dyDescent="0.35">
      <c r="A29" s="448" t="s">
        <v>271</v>
      </c>
      <c r="B29" s="432">
        <v>0</v>
      </c>
      <c r="C29" s="432">
        <v>1.99197</v>
      </c>
      <c r="D29" s="433">
        <v>1.99197</v>
      </c>
      <c r="E29" s="434" t="s">
        <v>253</v>
      </c>
      <c r="F29" s="432">
        <v>2.0361127485280002</v>
      </c>
      <c r="G29" s="433">
        <v>0.67870424950899999</v>
      </c>
      <c r="H29" s="435">
        <v>1.3208500000000001</v>
      </c>
      <c r="I29" s="432">
        <v>1.3208500000000001</v>
      </c>
      <c r="J29" s="433">
        <v>0.64214575049</v>
      </c>
      <c r="K29" s="440">
        <v>0.64871162019600004</v>
      </c>
    </row>
    <row r="30" spans="1:11" ht="14.4" customHeight="1" thickBot="1" x14ac:dyDescent="0.35">
      <c r="A30" s="449" t="s">
        <v>272</v>
      </c>
      <c r="B30" s="427">
        <v>0</v>
      </c>
      <c r="C30" s="427">
        <v>1.99197</v>
      </c>
      <c r="D30" s="428">
        <v>1.99197</v>
      </c>
      <c r="E30" s="437" t="s">
        <v>253</v>
      </c>
      <c r="F30" s="427">
        <v>2.0361127485280002</v>
      </c>
      <c r="G30" s="428">
        <v>0.67870424950899999</v>
      </c>
      <c r="H30" s="430">
        <v>1.3208500000000001</v>
      </c>
      <c r="I30" s="427">
        <v>1.3208500000000001</v>
      </c>
      <c r="J30" s="428">
        <v>0.64214575049</v>
      </c>
      <c r="K30" s="431">
        <v>0.64871162019600004</v>
      </c>
    </row>
    <row r="31" spans="1:11" ht="14.4" customHeight="1" thickBot="1" x14ac:dyDescent="0.35">
      <c r="A31" s="446" t="s">
        <v>273</v>
      </c>
      <c r="B31" s="427">
        <v>0</v>
      </c>
      <c r="C31" s="427">
        <v>3.7319900000000001</v>
      </c>
      <c r="D31" s="428">
        <v>3.7319900000000001</v>
      </c>
      <c r="E31" s="437" t="s">
        <v>253</v>
      </c>
      <c r="F31" s="427">
        <v>0</v>
      </c>
      <c r="G31" s="428">
        <v>0</v>
      </c>
      <c r="H31" s="430">
        <v>0</v>
      </c>
      <c r="I31" s="427">
        <v>0</v>
      </c>
      <c r="J31" s="428">
        <v>0</v>
      </c>
      <c r="K31" s="438" t="s">
        <v>247</v>
      </c>
    </row>
    <row r="32" spans="1:11" ht="14.4" customHeight="1" thickBot="1" x14ac:dyDescent="0.35">
      <c r="A32" s="447" t="s">
        <v>274</v>
      </c>
      <c r="B32" s="427">
        <v>0</v>
      </c>
      <c r="C32" s="427">
        <v>3.7319900000000001</v>
      </c>
      <c r="D32" s="428">
        <v>3.7319900000000001</v>
      </c>
      <c r="E32" s="437" t="s">
        <v>253</v>
      </c>
      <c r="F32" s="427">
        <v>0</v>
      </c>
      <c r="G32" s="428">
        <v>0</v>
      </c>
      <c r="H32" s="430">
        <v>0</v>
      </c>
      <c r="I32" s="427">
        <v>0</v>
      </c>
      <c r="J32" s="428">
        <v>0</v>
      </c>
      <c r="K32" s="438" t="s">
        <v>247</v>
      </c>
    </row>
    <row r="33" spans="1:11" ht="14.4" customHeight="1" thickBot="1" x14ac:dyDescent="0.35">
      <c r="A33" s="448" t="s">
        <v>275</v>
      </c>
      <c r="B33" s="432">
        <v>0</v>
      </c>
      <c r="C33" s="432">
        <v>3.7319900000000001</v>
      </c>
      <c r="D33" s="433">
        <v>3.7319900000000001</v>
      </c>
      <c r="E33" s="434" t="s">
        <v>253</v>
      </c>
      <c r="F33" s="432">
        <v>0</v>
      </c>
      <c r="G33" s="433">
        <v>0</v>
      </c>
      <c r="H33" s="435">
        <v>0</v>
      </c>
      <c r="I33" s="432">
        <v>0</v>
      </c>
      <c r="J33" s="433">
        <v>0</v>
      </c>
      <c r="K33" s="436" t="s">
        <v>247</v>
      </c>
    </row>
    <row r="34" spans="1:11" ht="14.4" customHeight="1" thickBot="1" x14ac:dyDescent="0.35">
      <c r="A34" s="449" t="s">
        <v>276</v>
      </c>
      <c r="B34" s="427">
        <v>0</v>
      </c>
      <c r="C34" s="427">
        <v>3.7319900000000001</v>
      </c>
      <c r="D34" s="428">
        <v>3.7319900000000001</v>
      </c>
      <c r="E34" s="437" t="s">
        <v>253</v>
      </c>
      <c r="F34" s="427">
        <v>0</v>
      </c>
      <c r="G34" s="428">
        <v>0</v>
      </c>
      <c r="H34" s="430">
        <v>0</v>
      </c>
      <c r="I34" s="427">
        <v>0</v>
      </c>
      <c r="J34" s="428">
        <v>0</v>
      </c>
      <c r="K34" s="438" t="s">
        <v>247</v>
      </c>
    </row>
    <row r="35" spans="1:11" ht="14.4" customHeight="1" thickBot="1" x14ac:dyDescent="0.35">
      <c r="A35" s="445" t="s">
        <v>277</v>
      </c>
      <c r="B35" s="427">
        <v>0</v>
      </c>
      <c r="C35" s="427">
        <v>1386.08032</v>
      </c>
      <c r="D35" s="428">
        <v>1386.08032</v>
      </c>
      <c r="E35" s="437" t="s">
        <v>253</v>
      </c>
      <c r="F35" s="427">
        <v>1433</v>
      </c>
      <c r="G35" s="428">
        <v>477.66666666666703</v>
      </c>
      <c r="H35" s="430">
        <v>317.99074999999999</v>
      </c>
      <c r="I35" s="427">
        <v>451.48273</v>
      </c>
      <c r="J35" s="428">
        <v>-26.183936666666</v>
      </c>
      <c r="K35" s="431">
        <v>0.31506122121399999</v>
      </c>
    </row>
    <row r="36" spans="1:11" ht="14.4" customHeight="1" thickBot="1" x14ac:dyDescent="0.35">
      <c r="A36" s="446" t="s">
        <v>278</v>
      </c>
      <c r="B36" s="427">
        <v>0</v>
      </c>
      <c r="C36" s="427">
        <v>1386.08032</v>
      </c>
      <c r="D36" s="428">
        <v>1386.08032</v>
      </c>
      <c r="E36" s="437" t="s">
        <v>253</v>
      </c>
      <c r="F36" s="427">
        <v>1433</v>
      </c>
      <c r="G36" s="428">
        <v>477.66666666666703</v>
      </c>
      <c r="H36" s="430">
        <v>317.99074999999999</v>
      </c>
      <c r="I36" s="427">
        <v>434.88272999999998</v>
      </c>
      <c r="J36" s="428">
        <v>-42.783936666666001</v>
      </c>
      <c r="K36" s="431">
        <v>0.30347713189100001</v>
      </c>
    </row>
    <row r="37" spans="1:11" ht="14.4" customHeight="1" thickBot="1" x14ac:dyDescent="0.35">
      <c r="A37" s="447" t="s">
        <v>279</v>
      </c>
      <c r="B37" s="427">
        <v>0</v>
      </c>
      <c r="C37" s="427">
        <v>1386.08032</v>
      </c>
      <c r="D37" s="428">
        <v>1386.08032</v>
      </c>
      <c r="E37" s="437" t="s">
        <v>253</v>
      </c>
      <c r="F37" s="427">
        <v>1433</v>
      </c>
      <c r="G37" s="428">
        <v>477.66666666666703</v>
      </c>
      <c r="H37" s="430">
        <v>317.99074999999999</v>
      </c>
      <c r="I37" s="427">
        <v>434.88272999999998</v>
      </c>
      <c r="J37" s="428">
        <v>-42.783936666666001</v>
      </c>
      <c r="K37" s="431">
        <v>0.30347713189100001</v>
      </c>
    </row>
    <row r="38" spans="1:11" ht="14.4" customHeight="1" thickBot="1" x14ac:dyDescent="0.35">
      <c r="A38" s="448" t="s">
        <v>280</v>
      </c>
      <c r="B38" s="432">
        <v>0</v>
      </c>
      <c r="C38" s="432">
        <v>1.4961199999999999</v>
      </c>
      <c r="D38" s="433">
        <v>1.4961199999999999</v>
      </c>
      <c r="E38" s="434" t="s">
        <v>253</v>
      </c>
      <c r="F38" s="432">
        <v>2</v>
      </c>
      <c r="G38" s="433">
        <v>0.66666666666600005</v>
      </c>
      <c r="H38" s="435">
        <v>0.70499999999999996</v>
      </c>
      <c r="I38" s="432">
        <v>1.1061799999999999</v>
      </c>
      <c r="J38" s="433">
        <v>0.43951333333300002</v>
      </c>
      <c r="K38" s="440">
        <v>0.55308999999999997</v>
      </c>
    </row>
    <row r="39" spans="1:11" ht="14.4" customHeight="1" thickBot="1" x14ac:dyDescent="0.35">
      <c r="A39" s="449" t="s">
        <v>281</v>
      </c>
      <c r="B39" s="427">
        <v>0</v>
      </c>
      <c r="C39" s="427">
        <v>1.4961199999999999</v>
      </c>
      <c r="D39" s="428">
        <v>1.4961199999999999</v>
      </c>
      <c r="E39" s="437" t="s">
        <v>253</v>
      </c>
      <c r="F39" s="427">
        <v>2</v>
      </c>
      <c r="G39" s="428">
        <v>0.66666666666600005</v>
      </c>
      <c r="H39" s="430">
        <v>0.70499999999999996</v>
      </c>
      <c r="I39" s="427">
        <v>1.1061799999999999</v>
      </c>
      <c r="J39" s="428">
        <v>0.43951333333300002</v>
      </c>
      <c r="K39" s="431">
        <v>0.55308999999999997</v>
      </c>
    </row>
    <row r="40" spans="1:11" ht="14.4" customHeight="1" thickBot="1" x14ac:dyDescent="0.35">
      <c r="A40" s="448" t="s">
        <v>282</v>
      </c>
      <c r="B40" s="432">
        <v>0</v>
      </c>
      <c r="C40" s="432">
        <v>0.44358999999999998</v>
      </c>
      <c r="D40" s="433">
        <v>0.44358999999999998</v>
      </c>
      <c r="E40" s="434" t="s">
        <v>253</v>
      </c>
      <c r="F40" s="432">
        <v>1</v>
      </c>
      <c r="G40" s="433">
        <v>0.33333333333300003</v>
      </c>
      <c r="H40" s="435">
        <v>0</v>
      </c>
      <c r="I40" s="432">
        <v>0</v>
      </c>
      <c r="J40" s="433">
        <v>-0.33333333333300003</v>
      </c>
      <c r="K40" s="440">
        <v>0</v>
      </c>
    </row>
    <row r="41" spans="1:11" ht="14.4" customHeight="1" thickBot="1" x14ac:dyDescent="0.35">
      <c r="A41" s="449" t="s">
        <v>283</v>
      </c>
      <c r="B41" s="427">
        <v>0</v>
      </c>
      <c r="C41" s="427">
        <v>0.44358999999999998</v>
      </c>
      <c r="D41" s="428">
        <v>0.44358999999999998</v>
      </c>
      <c r="E41" s="437" t="s">
        <v>253</v>
      </c>
      <c r="F41" s="427">
        <v>1</v>
      </c>
      <c r="G41" s="428">
        <v>0.33333333333300003</v>
      </c>
      <c r="H41" s="430">
        <v>0</v>
      </c>
      <c r="I41" s="427">
        <v>0</v>
      </c>
      <c r="J41" s="428">
        <v>-0.33333333333300003</v>
      </c>
      <c r="K41" s="431">
        <v>0</v>
      </c>
    </row>
    <row r="42" spans="1:11" ht="14.4" customHeight="1" thickBot="1" x14ac:dyDescent="0.35">
      <c r="A42" s="448" t="s">
        <v>284</v>
      </c>
      <c r="B42" s="432">
        <v>0</v>
      </c>
      <c r="C42" s="432">
        <v>1384.1406099999999</v>
      </c>
      <c r="D42" s="433">
        <v>1384.1406099999999</v>
      </c>
      <c r="E42" s="434" t="s">
        <v>253</v>
      </c>
      <c r="F42" s="432">
        <v>1430</v>
      </c>
      <c r="G42" s="433">
        <v>476.66666666666703</v>
      </c>
      <c r="H42" s="435">
        <v>314.66559999999998</v>
      </c>
      <c r="I42" s="432">
        <v>431.15640000000002</v>
      </c>
      <c r="J42" s="433">
        <v>-45.510266666665999</v>
      </c>
      <c r="K42" s="440">
        <v>0.30150797202700003</v>
      </c>
    </row>
    <row r="43" spans="1:11" ht="14.4" customHeight="1" thickBot="1" x14ac:dyDescent="0.35">
      <c r="A43" s="449" t="s">
        <v>285</v>
      </c>
      <c r="B43" s="427">
        <v>0</v>
      </c>
      <c r="C43" s="427">
        <v>297.911</v>
      </c>
      <c r="D43" s="428">
        <v>297.911</v>
      </c>
      <c r="E43" s="437" t="s">
        <v>253</v>
      </c>
      <c r="F43" s="427">
        <v>289</v>
      </c>
      <c r="G43" s="428">
        <v>96.333333333333002</v>
      </c>
      <c r="H43" s="430">
        <v>106.66717</v>
      </c>
      <c r="I43" s="427">
        <v>106.66717</v>
      </c>
      <c r="J43" s="428">
        <v>10.333836666666</v>
      </c>
      <c r="K43" s="431">
        <v>0.36909055363299997</v>
      </c>
    </row>
    <row r="44" spans="1:11" ht="14.4" customHeight="1" thickBot="1" x14ac:dyDescent="0.35">
      <c r="A44" s="449" t="s">
        <v>286</v>
      </c>
      <c r="B44" s="427">
        <v>0</v>
      </c>
      <c r="C44" s="427">
        <v>1086.2296100000001</v>
      </c>
      <c r="D44" s="428">
        <v>1086.2296100000001</v>
      </c>
      <c r="E44" s="437" t="s">
        <v>253</v>
      </c>
      <c r="F44" s="427">
        <v>1141</v>
      </c>
      <c r="G44" s="428">
        <v>380.33333333333297</v>
      </c>
      <c r="H44" s="430">
        <v>207.99843000000001</v>
      </c>
      <c r="I44" s="427">
        <v>324.48923000000002</v>
      </c>
      <c r="J44" s="428">
        <v>-55.844103333333003</v>
      </c>
      <c r="K44" s="431">
        <v>0.28439021034099998</v>
      </c>
    </row>
    <row r="45" spans="1:11" ht="14.4" customHeight="1" thickBot="1" x14ac:dyDescent="0.35">
      <c r="A45" s="448" t="s">
        <v>287</v>
      </c>
      <c r="B45" s="432">
        <v>0</v>
      </c>
      <c r="C45" s="432">
        <v>0</v>
      </c>
      <c r="D45" s="433">
        <v>0</v>
      </c>
      <c r="E45" s="439">
        <v>1</v>
      </c>
      <c r="F45" s="432">
        <v>0</v>
      </c>
      <c r="G45" s="433">
        <v>0</v>
      </c>
      <c r="H45" s="435">
        <v>2.6201500000000002</v>
      </c>
      <c r="I45" s="432">
        <v>2.6201500000000002</v>
      </c>
      <c r="J45" s="433">
        <v>2.6201500000000002</v>
      </c>
      <c r="K45" s="436" t="s">
        <v>247</v>
      </c>
    </row>
    <row r="46" spans="1:11" ht="14.4" customHeight="1" thickBot="1" x14ac:dyDescent="0.35">
      <c r="A46" s="449" t="s">
        <v>288</v>
      </c>
      <c r="B46" s="427">
        <v>0</v>
      </c>
      <c r="C46" s="427">
        <v>0</v>
      </c>
      <c r="D46" s="428">
        <v>0</v>
      </c>
      <c r="E46" s="429">
        <v>1</v>
      </c>
      <c r="F46" s="427">
        <v>0</v>
      </c>
      <c r="G46" s="428">
        <v>0</v>
      </c>
      <c r="H46" s="430">
        <v>2.6201500000000002</v>
      </c>
      <c r="I46" s="427">
        <v>2.6201500000000002</v>
      </c>
      <c r="J46" s="428">
        <v>2.6201500000000002</v>
      </c>
      <c r="K46" s="438" t="s">
        <v>247</v>
      </c>
    </row>
    <row r="47" spans="1:11" ht="14.4" customHeight="1" thickBot="1" x14ac:dyDescent="0.35">
      <c r="A47" s="446" t="s">
        <v>289</v>
      </c>
      <c r="B47" s="427">
        <v>0</v>
      </c>
      <c r="C47" s="427">
        <v>0</v>
      </c>
      <c r="D47" s="428">
        <v>0</v>
      </c>
      <c r="E47" s="429">
        <v>1</v>
      </c>
      <c r="F47" s="427">
        <v>0</v>
      </c>
      <c r="G47" s="428">
        <v>0</v>
      </c>
      <c r="H47" s="430">
        <v>0</v>
      </c>
      <c r="I47" s="427">
        <v>16.600000000000001</v>
      </c>
      <c r="J47" s="428">
        <v>16.600000000000001</v>
      </c>
      <c r="K47" s="438" t="s">
        <v>247</v>
      </c>
    </row>
    <row r="48" spans="1:11" ht="14.4" customHeight="1" thickBot="1" x14ac:dyDescent="0.35">
      <c r="A48" s="451" t="s">
        <v>290</v>
      </c>
      <c r="B48" s="432">
        <v>0</v>
      </c>
      <c r="C48" s="432">
        <v>0</v>
      </c>
      <c r="D48" s="433">
        <v>0</v>
      </c>
      <c r="E48" s="439">
        <v>1</v>
      </c>
      <c r="F48" s="432">
        <v>0</v>
      </c>
      <c r="G48" s="433">
        <v>0</v>
      </c>
      <c r="H48" s="435">
        <v>0</v>
      </c>
      <c r="I48" s="432">
        <v>16.600000000000001</v>
      </c>
      <c r="J48" s="433">
        <v>16.600000000000001</v>
      </c>
      <c r="K48" s="436" t="s">
        <v>247</v>
      </c>
    </row>
    <row r="49" spans="1:11" ht="14.4" customHeight="1" thickBot="1" x14ac:dyDescent="0.35">
      <c r="A49" s="448" t="s">
        <v>291</v>
      </c>
      <c r="B49" s="432">
        <v>0</v>
      </c>
      <c r="C49" s="432">
        <v>0</v>
      </c>
      <c r="D49" s="433">
        <v>0</v>
      </c>
      <c r="E49" s="439">
        <v>1</v>
      </c>
      <c r="F49" s="432">
        <v>0</v>
      </c>
      <c r="G49" s="433">
        <v>0</v>
      </c>
      <c r="H49" s="435">
        <v>0</v>
      </c>
      <c r="I49" s="432">
        <v>16.600000000000001</v>
      </c>
      <c r="J49" s="433">
        <v>16.600000000000001</v>
      </c>
      <c r="K49" s="436" t="s">
        <v>253</v>
      </c>
    </row>
    <row r="50" spans="1:11" ht="14.4" customHeight="1" thickBot="1" x14ac:dyDescent="0.35">
      <c r="A50" s="449" t="s">
        <v>292</v>
      </c>
      <c r="B50" s="427">
        <v>0</v>
      </c>
      <c r="C50" s="427">
        <v>0</v>
      </c>
      <c r="D50" s="428">
        <v>0</v>
      </c>
      <c r="E50" s="429">
        <v>1</v>
      </c>
      <c r="F50" s="427">
        <v>0</v>
      </c>
      <c r="G50" s="428">
        <v>0</v>
      </c>
      <c r="H50" s="430">
        <v>0</v>
      </c>
      <c r="I50" s="427">
        <v>16.600000000000001</v>
      </c>
      <c r="J50" s="428">
        <v>16.600000000000001</v>
      </c>
      <c r="K50" s="438" t="s">
        <v>253</v>
      </c>
    </row>
    <row r="51" spans="1:11" ht="14.4" customHeight="1" thickBot="1" x14ac:dyDescent="0.35">
      <c r="A51" s="445" t="s">
        <v>293</v>
      </c>
      <c r="B51" s="427">
        <v>43</v>
      </c>
      <c r="C51" s="427">
        <v>37.899650000000001</v>
      </c>
      <c r="D51" s="428">
        <v>-5.1003499999999997</v>
      </c>
      <c r="E51" s="429">
        <v>0.88138720930199999</v>
      </c>
      <c r="F51" s="427">
        <v>0</v>
      </c>
      <c r="G51" s="428">
        <v>0</v>
      </c>
      <c r="H51" s="430">
        <v>0</v>
      </c>
      <c r="I51" s="427">
        <v>0</v>
      </c>
      <c r="J51" s="428">
        <v>0</v>
      </c>
      <c r="K51" s="438" t="s">
        <v>247</v>
      </c>
    </row>
    <row r="52" spans="1:11" ht="14.4" customHeight="1" thickBot="1" x14ac:dyDescent="0.35">
      <c r="A52" s="450" t="s">
        <v>294</v>
      </c>
      <c r="B52" s="432">
        <v>43</v>
      </c>
      <c r="C52" s="432">
        <v>37.899650000000001</v>
      </c>
      <c r="D52" s="433">
        <v>-5.1003499999999997</v>
      </c>
      <c r="E52" s="439">
        <v>0.88138720930199999</v>
      </c>
      <c r="F52" s="432">
        <v>0</v>
      </c>
      <c r="G52" s="433">
        <v>0</v>
      </c>
      <c r="H52" s="435">
        <v>0</v>
      </c>
      <c r="I52" s="432">
        <v>0</v>
      </c>
      <c r="J52" s="433">
        <v>0</v>
      </c>
      <c r="K52" s="436" t="s">
        <v>247</v>
      </c>
    </row>
    <row r="53" spans="1:11" ht="14.4" customHeight="1" thickBot="1" x14ac:dyDescent="0.35">
      <c r="A53" s="451" t="s">
        <v>53</v>
      </c>
      <c r="B53" s="432">
        <v>43</v>
      </c>
      <c r="C53" s="432">
        <v>37.899650000000001</v>
      </c>
      <c r="D53" s="433">
        <v>-5.1003499999999997</v>
      </c>
      <c r="E53" s="439">
        <v>0.88138720930199999</v>
      </c>
      <c r="F53" s="432">
        <v>0</v>
      </c>
      <c r="G53" s="433">
        <v>0</v>
      </c>
      <c r="H53" s="435">
        <v>0</v>
      </c>
      <c r="I53" s="432">
        <v>0</v>
      </c>
      <c r="J53" s="433">
        <v>0</v>
      </c>
      <c r="K53" s="436" t="s">
        <v>247</v>
      </c>
    </row>
    <row r="54" spans="1:11" ht="14.4" customHeight="1" thickBot="1" x14ac:dyDescent="0.35">
      <c r="A54" s="448" t="s">
        <v>295</v>
      </c>
      <c r="B54" s="432">
        <v>0</v>
      </c>
      <c r="C54" s="432">
        <v>0.31492999999999999</v>
      </c>
      <c r="D54" s="433">
        <v>0.31492999999999999</v>
      </c>
      <c r="E54" s="434" t="s">
        <v>253</v>
      </c>
      <c r="F54" s="432">
        <v>0</v>
      </c>
      <c r="G54" s="433">
        <v>0</v>
      </c>
      <c r="H54" s="435">
        <v>0</v>
      </c>
      <c r="I54" s="432">
        <v>0</v>
      </c>
      <c r="J54" s="433">
        <v>0</v>
      </c>
      <c r="K54" s="436" t="s">
        <v>247</v>
      </c>
    </row>
    <row r="55" spans="1:11" ht="14.4" customHeight="1" thickBot="1" x14ac:dyDescent="0.35">
      <c r="A55" s="449" t="s">
        <v>296</v>
      </c>
      <c r="B55" s="427">
        <v>0</v>
      </c>
      <c r="C55" s="427">
        <v>0.31492999999999999</v>
      </c>
      <c r="D55" s="428">
        <v>0.31492999999999999</v>
      </c>
      <c r="E55" s="437" t="s">
        <v>253</v>
      </c>
      <c r="F55" s="427">
        <v>0</v>
      </c>
      <c r="G55" s="428">
        <v>0</v>
      </c>
      <c r="H55" s="430">
        <v>0</v>
      </c>
      <c r="I55" s="427">
        <v>0</v>
      </c>
      <c r="J55" s="428">
        <v>0</v>
      </c>
      <c r="K55" s="438" t="s">
        <v>247</v>
      </c>
    </row>
    <row r="56" spans="1:11" ht="14.4" customHeight="1" thickBot="1" x14ac:dyDescent="0.35">
      <c r="A56" s="448" t="s">
        <v>297</v>
      </c>
      <c r="B56" s="432">
        <v>43</v>
      </c>
      <c r="C56" s="432">
        <v>37.584719999999997</v>
      </c>
      <c r="D56" s="433">
        <v>-5.4152800000000001</v>
      </c>
      <c r="E56" s="439">
        <v>0.87406325581300004</v>
      </c>
      <c r="F56" s="432">
        <v>0</v>
      </c>
      <c r="G56" s="433">
        <v>0</v>
      </c>
      <c r="H56" s="435">
        <v>0</v>
      </c>
      <c r="I56" s="432">
        <v>0</v>
      </c>
      <c r="J56" s="433">
        <v>0</v>
      </c>
      <c r="K56" s="436" t="s">
        <v>247</v>
      </c>
    </row>
    <row r="57" spans="1:11" ht="14.4" customHeight="1" thickBot="1" x14ac:dyDescent="0.35">
      <c r="A57" s="449" t="s">
        <v>298</v>
      </c>
      <c r="B57" s="427">
        <v>43</v>
      </c>
      <c r="C57" s="427">
        <v>37.584719999999997</v>
      </c>
      <c r="D57" s="428">
        <v>-5.4152800000000001</v>
      </c>
      <c r="E57" s="429">
        <v>0.87406325581300004</v>
      </c>
      <c r="F57" s="427">
        <v>0</v>
      </c>
      <c r="G57" s="428">
        <v>0</v>
      </c>
      <c r="H57" s="430">
        <v>0</v>
      </c>
      <c r="I57" s="427">
        <v>0</v>
      </c>
      <c r="J57" s="428">
        <v>0</v>
      </c>
      <c r="K57" s="438" t="s">
        <v>247</v>
      </c>
    </row>
    <row r="58" spans="1:11" ht="14.4" customHeight="1" thickBot="1" x14ac:dyDescent="0.35">
      <c r="A58" s="452" t="s">
        <v>299</v>
      </c>
      <c r="B58" s="432">
        <v>0</v>
      </c>
      <c r="C58" s="432">
        <v>0</v>
      </c>
      <c r="D58" s="433">
        <v>0</v>
      </c>
      <c r="E58" s="439">
        <v>1</v>
      </c>
      <c r="F58" s="432">
        <v>0</v>
      </c>
      <c r="G58" s="433">
        <v>0</v>
      </c>
      <c r="H58" s="435">
        <v>0</v>
      </c>
      <c r="I58" s="432">
        <v>0.93991999999999998</v>
      </c>
      <c r="J58" s="433">
        <v>0.93991999999999998</v>
      </c>
      <c r="K58" s="436" t="s">
        <v>253</v>
      </c>
    </row>
    <row r="59" spans="1:11" ht="14.4" customHeight="1" thickBot="1" x14ac:dyDescent="0.35">
      <c r="A59" s="450" t="s">
        <v>300</v>
      </c>
      <c r="B59" s="432">
        <v>0</v>
      </c>
      <c r="C59" s="432">
        <v>0</v>
      </c>
      <c r="D59" s="433">
        <v>0</v>
      </c>
      <c r="E59" s="439">
        <v>1</v>
      </c>
      <c r="F59" s="432">
        <v>0</v>
      </c>
      <c r="G59" s="433">
        <v>0</v>
      </c>
      <c r="H59" s="435">
        <v>0</v>
      </c>
      <c r="I59" s="432">
        <v>0.93991999999999998</v>
      </c>
      <c r="J59" s="433">
        <v>0.93991999999999998</v>
      </c>
      <c r="K59" s="436" t="s">
        <v>253</v>
      </c>
    </row>
    <row r="60" spans="1:11" ht="14.4" customHeight="1" thickBot="1" x14ac:dyDescent="0.35">
      <c r="A60" s="451" t="s">
        <v>301</v>
      </c>
      <c r="B60" s="432">
        <v>0</v>
      </c>
      <c r="C60" s="432">
        <v>0</v>
      </c>
      <c r="D60" s="433">
        <v>0</v>
      </c>
      <c r="E60" s="439">
        <v>1</v>
      </c>
      <c r="F60" s="432">
        <v>0</v>
      </c>
      <c r="G60" s="433">
        <v>0</v>
      </c>
      <c r="H60" s="435">
        <v>0</v>
      </c>
      <c r="I60" s="432">
        <v>0.93991999999999998</v>
      </c>
      <c r="J60" s="433">
        <v>0.93991999999999998</v>
      </c>
      <c r="K60" s="436" t="s">
        <v>253</v>
      </c>
    </row>
    <row r="61" spans="1:11" ht="14.4" customHeight="1" thickBot="1" x14ac:dyDescent="0.35">
      <c r="A61" s="448" t="s">
        <v>302</v>
      </c>
      <c r="B61" s="432">
        <v>0</v>
      </c>
      <c r="C61" s="432">
        <v>0</v>
      </c>
      <c r="D61" s="433">
        <v>0</v>
      </c>
      <c r="E61" s="439">
        <v>1</v>
      </c>
      <c r="F61" s="432">
        <v>0</v>
      </c>
      <c r="G61" s="433">
        <v>0</v>
      </c>
      <c r="H61" s="435">
        <v>0</v>
      </c>
      <c r="I61" s="432">
        <v>0.93991999999999998</v>
      </c>
      <c r="J61" s="433">
        <v>0.93991999999999998</v>
      </c>
      <c r="K61" s="436" t="s">
        <v>253</v>
      </c>
    </row>
    <row r="62" spans="1:11" ht="14.4" customHeight="1" thickBot="1" x14ac:dyDescent="0.35">
      <c r="A62" s="449" t="s">
        <v>303</v>
      </c>
      <c r="B62" s="427">
        <v>0</v>
      </c>
      <c r="C62" s="427">
        <v>0</v>
      </c>
      <c r="D62" s="428">
        <v>0</v>
      </c>
      <c r="E62" s="429">
        <v>1</v>
      </c>
      <c r="F62" s="427">
        <v>0</v>
      </c>
      <c r="G62" s="428">
        <v>0</v>
      </c>
      <c r="H62" s="430">
        <v>0</v>
      </c>
      <c r="I62" s="427">
        <v>0.93991999999999998</v>
      </c>
      <c r="J62" s="428">
        <v>0.93991999999999998</v>
      </c>
      <c r="K62" s="438" t="s">
        <v>253</v>
      </c>
    </row>
    <row r="63" spans="1:11" ht="14.4" customHeight="1" thickBot="1" x14ac:dyDescent="0.35">
      <c r="A63" s="453"/>
      <c r="B63" s="427">
        <v>-513.14179244643196</v>
      </c>
      <c r="C63" s="427">
        <v>869.71384999999998</v>
      </c>
      <c r="D63" s="428">
        <v>1382.85564244643</v>
      </c>
      <c r="E63" s="429">
        <v>-1.694880173087</v>
      </c>
      <c r="F63" s="427">
        <v>963.75416421513296</v>
      </c>
      <c r="G63" s="428">
        <v>321.25138807171101</v>
      </c>
      <c r="H63" s="430">
        <v>246.49306999999999</v>
      </c>
      <c r="I63" s="427">
        <v>278.42962999999997</v>
      </c>
      <c r="J63" s="428">
        <v>-42.821758071711002</v>
      </c>
      <c r="K63" s="431">
        <v>0.28890109152100002</v>
      </c>
    </row>
    <row r="64" spans="1:11" ht="14.4" customHeight="1" thickBot="1" x14ac:dyDescent="0.35">
      <c r="A64" s="454" t="s">
        <v>65</v>
      </c>
      <c r="B64" s="441">
        <v>-513.14179244643196</v>
      </c>
      <c r="C64" s="441">
        <v>869.71384999999998</v>
      </c>
      <c r="D64" s="442">
        <v>1382.85564244643</v>
      </c>
      <c r="E64" s="443" t="s">
        <v>253</v>
      </c>
      <c r="F64" s="441">
        <v>963.75416421513296</v>
      </c>
      <c r="G64" s="442">
        <v>321.25138807171101</v>
      </c>
      <c r="H64" s="441">
        <v>246.49306999999999</v>
      </c>
      <c r="I64" s="441">
        <v>278.42962999999997</v>
      </c>
      <c r="J64" s="442">
        <v>-42.821758071711002</v>
      </c>
      <c r="K64" s="444">
        <v>0.28890109152100002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5" t="s">
        <v>133</v>
      </c>
      <c r="B1" s="355"/>
      <c r="C1" s="355"/>
      <c r="D1" s="355"/>
      <c r="E1" s="355"/>
      <c r="F1" s="355"/>
      <c r="G1" s="355"/>
      <c r="H1" s="355"/>
      <c r="I1" s="320"/>
      <c r="J1" s="320"/>
      <c r="K1" s="320"/>
      <c r="L1" s="320"/>
    </row>
    <row r="2" spans="1:14" ht="14.4" customHeight="1" thickBot="1" x14ac:dyDescent="0.35">
      <c r="A2" s="231" t="s">
        <v>246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66" t="s">
        <v>14</v>
      </c>
      <c r="D3" s="365"/>
      <c r="E3" s="365" t="s">
        <v>15</v>
      </c>
      <c r="F3" s="365"/>
      <c r="G3" s="365"/>
      <c r="H3" s="365"/>
      <c r="I3" s="365" t="s">
        <v>140</v>
      </c>
      <c r="J3" s="365"/>
      <c r="K3" s="365"/>
      <c r="L3" s="367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55">
        <v>57</v>
      </c>
      <c r="B5" s="456" t="s">
        <v>304</v>
      </c>
      <c r="C5" s="457">
        <v>916897.99000000011</v>
      </c>
      <c r="D5" s="457">
        <v>204</v>
      </c>
      <c r="E5" s="457">
        <v>638902.27</v>
      </c>
      <c r="F5" s="458">
        <v>0.69680845303194516</v>
      </c>
      <c r="G5" s="457">
        <v>117</v>
      </c>
      <c r="H5" s="458">
        <v>0.57352941176470584</v>
      </c>
      <c r="I5" s="457">
        <v>277995.72000000009</v>
      </c>
      <c r="J5" s="458">
        <v>0.30319154696805484</v>
      </c>
      <c r="K5" s="457">
        <v>87</v>
      </c>
      <c r="L5" s="458">
        <v>0.4264705882352941</v>
      </c>
      <c r="M5" s="457" t="s">
        <v>67</v>
      </c>
      <c r="N5" s="151"/>
    </row>
    <row r="6" spans="1:14" ht="14.4" customHeight="1" x14ac:dyDescent="0.3">
      <c r="A6" s="455">
        <v>57</v>
      </c>
      <c r="B6" s="456" t="s">
        <v>305</v>
      </c>
      <c r="C6" s="457">
        <v>912897.99000000011</v>
      </c>
      <c r="D6" s="457">
        <v>193</v>
      </c>
      <c r="E6" s="457">
        <v>634902.27</v>
      </c>
      <c r="F6" s="458">
        <v>0.69547997361676739</v>
      </c>
      <c r="G6" s="457">
        <v>110</v>
      </c>
      <c r="H6" s="458">
        <v>0.56994818652849744</v>
      </c>
      <c r="I6" s="457">
        <v>277995.72000000009</v>
      </c>
      <c r="J6" s="458">
        <v>0.30452002638323267</v>
      </c>
      <c r="K6" s="457">
        <v>83</v>
      </c>
      <c r="L6" s="458">
        <v>0.43005181347150256</v>
      </c>
      <c r="M6" s="457" t="s">
        <v>1</v>
      </c>
      <c r="N6" s="151"/>
    </row>
    <row r="7" spans="1:14" ht="14.4" customHeight="1" x14ac:dyDescent="0.3">
      <c r="A7" s="455">
        <v>57</v>
      </c>
      <c r="B7" s="456" t="s">
        <v>306</v>
      </c>
      <c r="C7" s="457">
        <v>0</v>
      </c>
      <c r="D7" s="457">
        <v>7</v>
      </c>
      <c r="E7" s="457">
        <v>0</v>
      </c>
      <c r="F7" s="458" t="s">
        <v>307</v>
      </c>
      <c r="G7" s="457">
        <v>6</v>
      </c>
      <c r="H7" s="458">
        <v>0.8571428571428571</v>
      </c>
      <c r="I7" s="457">
        <v>0</v>
      </c>
      <c r="J7" s="458" t="s">
        <v>307</v>
      </c>
      <c r="K7" s="457">
        <v>1</v>
      </c>
      <c r="L7" s="458">
        <v>0.14285714285714285</v>
      </c>
      <c r="M7" s="457" t="s">
        <v>1</v>
      </c>
      <c r="N7" s="151"/>
    </row>
    <row r="8" spans="1:14" ht="14.4" customHeight="1" x14ac:dyDescent="0.3">
      <c r="A8" s="455">
        <v>57</v>
      </c>
      <c r="B8" s="456" t="s">
        <v>308</v>
      </c>
      <c r="C8" s="457">
        <v>4000</v>
      </c>
      <c r="D8" s="457">
        <v>4</v>
      </c>
      <c r="E8" s="457">
        <v>4000</v>
      </c>
      <c r="F8" s="458">
        <v>1</v>
      </c>
      <c r="G8" s="457">
        <v>1</v>
      </c>
      <c r="H8" s="458">
        <v>0.25</v>
      </c>
      <c r="I8" s="457">
        <v>0</v>
      </c>
      <c r="J8" s="458">
        <v>0</v>
      </c>
      <c r="K8" s="457">
        <v>3</v>
      </c>
      <c r="L8" s="458">
        <v>0.75</v>
      </c>
      <c r="M8" s="457" t="s">
        <v>1</v>
      </c>
      <c r="N8" s="151"/>
    </row>
    <row r="9" spans="1:14" ht="14.4" customHeight="1" x14ac:dyDescent="0.3">
      <c r="A9" s="455" t="s">
        <v>309</v>
      </c>
      <c r="B9" s="456" t="s">
        <v>3</v>
      </c>
      <c r="C9" s="457">
        <v>916897.99000000011</v>
      </c>
      <c r="D9" s="457">
        <v>204</v>
      </c>
      <c r="E9" s="457">
        <v>638902.27</v>
      </c>
      <c r="F9" s="458">
        <v>0.69680845303194516</v>
      </c>
      <c r="G9" s="457">
        <v>117</v>
      </c>
      <c r="H9" s="458">
        <v>0.57352941176470584</v>
      </c>
      <c r="I9" s="457">
        <v>277995.72000000009</v>
      </c>
      <c r="J9" s="458">
        <v>0.30319154696805484</v>
      </c>
      <c r="K9" s="457">
        <v>87</v>
      </c>
      <c r="L9" s="458">
        <v>0.4264705882352941</v>
      </c>
      <c r="M9" s="457" t="s">
        <v>310</v>
      </c>
      <c r="N9" s="151"/>
    </row>
    <row r="11" spans="1:14" ht="14.4" customHeight="1" x14ac:dyDescent="0.3">
      <c r="A11" s="455">
        <v>57</v>
      </c>
      <c r="B11" s="456" t="s">
        <v>304</v>
      </c>
      <c r="C11" s="457" t="s">
        <v>307</v>
      </c>
      <c r="D11" s="457" t="s">
        <v>307</v>
      </c>
      <c r="E11" s="457" t="s">
        <v>307</v>
      </c>
      <c r="F11" s="458" t="s">
        <v>307</v>
      </c>
      <c r="G11" s="457" t="s">
        <v>307</v>
      </c>
      <c r="H11" s="458" t="s">
        <v>307</v>
      </c>
      <c r="I11" s="457" t="s">
        <v>307</v>
      </c>
      <c r="J11" s="458" t="s">
        <v>307</v>
      </c>
      <c r="K11" s="457" t="s">
        <v>307</v>
      </c>
      <c r="L11" s="458" t="s">
        <v>307</v>
      </c>
      <c r="M11" s="457" t="s">
        <v>67</v>
      </c>
      <c r="N11" s="151"/>
    </row>
    <row r="12" spans="1:14" ht="14.4" customHeight="1" x14ac:dyDescent="0.3">
      <c r="A12" s="455" t="s">
        <v>311</v>
      </c>
      <c r="B12" s="456" t="s">
        <v>305</v>
      </c>
      <c r="C12" s="457">
        <v>912897.99000000011</v>
      </c>
      <c r="D12" s="457">
        <v>193</v>
      </c>
      <c r="E12" s="457">
        <v>634902.27</v>
      </c>
      <c r="F12" s="458">
        <v>0.69547997361676739</v>
      </c>
      <c r="G12" s="457">
        <v>110</v>
      </c>
      <c r="H12" s="458">
        <v>0.56994818652849744</v>
      </c>
      <c r="I12" s="457">
        <v>277995.72000000009</v>
      </c>
      <c r="J12" s="458">
        <v>0.30452002638323267</v>
      </c>
      <c r="K12" s="457">
        <v>83</v>
      </c>
      <c r="L12" s="458">
        <v>0.43005181347150256</v>
      </c>
      <c r="M12" s="457" t="s">
        <v>1</v>
      </c>
      <c r="N12" s="151"/>
    </row>
    <row r="13" spans="1:14" ht="14.4" customHeight="1" x14ac:dyDescent="0.3">
      <c r="A13" s="455" t="s">
        <v>311</v>
      </c>
      <c r="B13" s="456" t="s">
        <v>306</v>
      </c>
      <c r="C13" s="457">
        <v>0</v>
      </c>
      <c r="D13" s="457">
        <v>7</v>
      </c>
      <c r="E13" s="457">
        <v>0</v>
      </c>
      <c r="F13" s="458" t="s">
        <v>307</v>
      </c>
      <c r="G13" s="457">
        <v>6</v>
      </c>
      <c r="H13" s="458">
        <v>0.8571428571428571</v>
      </c>
      <c r="I13" s="457">
        <v>0</v>
      </c>
      <c r="J13" s="458" t="s">
        <v>307</v>
      </c>
      <c r="K13" s="457">
        <v>1</v>
      </c>
      <c r="L13" s="458">
        <v>0.14285714285714285</v>
      </c>
      <c r="M13" s="457" t="s">
        <v>1</v>
      </c>
      <c r="N13" s="151"/>
    </row>
    <row r="14" spans="1:14" ht="14.4" customHeight="1" x14ac:dyDescent="0.3">
      <c r="A14" s="455" t="s">
        <v>311</v>
      </c>
      <c r="B14" s="456" t="s">
        <v>308</v>
      </c>
      <c r="C14" s="457">
        <v>4000</v>
      </c>
      <c r="D14" s="457">
        <v>4</v>
      </c>
      <c r="E14" s="457">
        <v>4000</v>
      </c>
      <c r="F14" s="458">
        <v>1</v>
      </c>
      <c r="G14" s="457">
        <v>1</v>
      </c>
      <c r="H14" s="458">
        <v>0.25</v>
      </c>
      <c r="I14" s="457">
        <v>0</v>
      </c>
      <c r="J14" s="458">
        <v>0</v>
      </c>
      <c r="K14" s="457">
        <v>3</v>
      </c>
      <c r="L14" s="458">
        <v>0.75</v>
      </c>
      <c r="M14" s="457" t="s">
        <v>1</v>
      </c>
      <c r="N14" s="151"/>
    </row>
    <row r="15" spans="1:14" ht="14.4" customHeight="1" x14ac:dyDescent="0.3">
      <c r="A15" s="455" t="s">
        <v>311</v>
      </c>
      <c r="B15" s="456" t="s">
        <v>312</v>
      </c>
      <c r="C15" s="457">
        <v>916897.99000000011</v>
      </c>
      <c r="D15" s="457">
        <v>204</v>
      </c>
      <c r="E15" s="457">
        <v>638902.27</v>
      </c>
      <c r="F15" s="458">
        <v>0.69680845303194516</v>
      </c>
      <c r="G15" s="457">
        <v>117</v>
      </c>
      <c r="H15" s="458">
        <v>0.57352941176470584</v>
      </c>
      <c r="I15" s="457">
        <v>277995.72000000009</v>
      </c>
      <c r="J15" s="458">
        <v>0.30319154696805484</v>
      </c>
      <c r="K15" s="457">
        <v>87</v>
      </c>
      <c r="L15" s="458">
        <v>0.4264705882352941</v>
      </c>
      <c r="M15" s="457" t="s">
        <v>313</v>
      </c>
      <c r="N15" s="151"/>
    </row>
    <row r="16" spans="1:14" ht="14.4" customHeight="1" x14ac:dyDescent="0.3">
      <c r="A16" s="455" t="s">
        <v>307</v>
      </c>
      <c r="B16" s="456" t="s">
        <v>307</v>
      </c>
      <c r="C16" s="457" t="s">
        <v>307</v>
      </c>
      <c r="D16" s="457" t="s">
        <v>307</v>
      </c>
      <c r="E16" s="457" t="s">
        <v>307</v>
      </c>
      <c r="F16" s="458" t="s">
        <v>307</v>
      </c>
      <c r="G16" s="457" t="s">
        <v>307</v>
      </c>
      <c r="H16" s="458" t="s">
        <v>307</v>
      </c>
      <c r="I16" s="457" t="s">
        <v>307</v>
      </c>
      <c r="J16" s="458" t="s">
        <v>307</v>
      </c>
      <c r="K16" s="457" t="s">
        <v>307</v>
      </c>
      <c r="L16" s="458" t="s">
        <v>307</v>
      </c>
      <c r="M16" s="457" t="s">
        <v>314</v>
      </c>
      <c r="N16" s="151"/>
    </row>
    <row r="17" spans="1:14" ht="14.4" customHeight="1" x14ac:dyDescent="0.3">
      <c r="A17" s="455" t="s">
        <v>309</v>
      </c>
      <c r="B17" s="456" t="s">
        <v>312</v>
      </c>
      <c r="C17" s="457">
        <v>916897.99000000011</v>
      </c>
      <c r="D17" s="457">
        <v>204</v>
      </c>
      <c r="E17" s="457">
        <v>638902.27</v>
      </c>
      <c r="F17" s="458">
        <v>0.69680845303194516</v>
      </c>
      <c r="G17" s="457">
        <v>117</v>
      </c>
      <c r="H17" s="458">
        <v>0.57352941176470584</v>
      </c>
      <c r="I17" s="457">
        <v>277995.72000000009</v>
      </c>
      <c r="J17" s="458">
        <v>0.30319154696805484</v>
      </c>
      <c r="K17" s="457">
        <v>87</v>
      </c>
      <c r="L17" s="458">
        <v>0.4264705882352941</v>
      </c>
      <c r="M17" s="457" t="s">
        <v>310</v>
      </c>
      <c r="N17" s="151"/>
    </row>
    <row r="18" spans="1:14" ht="14.4" customHeight="1" x14ac:dyDescent="0.3">
      <c r="A18" s="459" t="s">
        <v>315</v>
      </c>
    </row>
    <row r="19" spans="1:14" ht="14.4" customHeight="1" x14ac:dyDescent="0.3">
      <c r="A19" s="460" t="s">
        <v>316</v>
      </c>
    </row>
    <row r="20" spans="1:14" ht="14.4" customHeight="1" x14ac:dyDescent="0.3">
      <c r="A20" s="459" t="s">
        <v>317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5" t="s">
        <v>141</v>
      </c>
      <c r="B1" s="355"/>
      <c r="C1" s="355"/>
      <c r="D1" s="355"/>
      <c r="E1" s="355"/>
      <c r="F1" s="355"/>
      <c r="G1" s="355"/>
      <c r="H1" s="355"/>
      <c r="I1" s="355"/>
      <c r="J1" s="320"/>
      <c r="K1" s="320"/>
      <c r="L1" s="320"/>
      <c r="M1" s="320"/>
    </row>
    <row r="2" spans="1:13" ht="14.4" customHeight="1" thickBot="1" x14ac:dyDescent="0.35">
      <c r="A2" s="231" t="s">
        <v>246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66" t="s">
        <v>14</v>
      </c>
      <c r="C3" s="368"/>
      <c r="D3" s="365"/>
      <c r="E3" s="143"/>
      <c r="F3" s="365" t="s">
        <v>15</v>
      </c>
      <c r="G3" s="365"/>
      <c r="H3" s="365"/>
      <c r="I3" s="365"/>
      <c r="J3" s="365" t="s">
        <v>140</v>
      </c>
      <c r="K3" s="365"/>
      <c r="L3" s="365"/>
      <c r="M3" s="367"/>
    </row>
    <row r="4" spans="1:13" ht="14.4" customHeight="1" thickBot="1" x14ac:dyDescent="0.35">
      <c r="A4" s="461" t="s">
        <v>131</v>
      </c>
      <c r="B4" s="465" t="s">
        <v>18</v>
      </c>
      <c r="C4" s="466"/>
      <c r="D4" s="465" t="s">
        <v>19</v>
      </c>
      <c r="E4" s="466"/>
      <c r="F4" s="465" t="s">
        <v>18</v>
      </c>
      <c r="G4" s="479" t="s">
        <v>2</v>
      </c>
      <c r="H4" s="465" t="s">
        <v>19</v>
      </c>
      <c r="I4" s="479" t="s">
        <v>2</v>
      </c>
      <c r="J4" s="465" t="s">
        <v>18</v>
      </c>
      <c r="K4" s="479" t="s">
        <v>2</v>
      </c>
      <c r="L4" s="465" t="s">
        <v>19</v>
      </c>
      <c r="M4" s="480" t="s">
        <v>2</v>
      </c>
    </row>
    <row r="5" spans="1:13" ht="14.4" customHeight="1" x14ac:dyDescent="0.3">
      <c r="A5" s="462" t="s">
        <v>318</v>
      </c>
      <c r="B5" s="467">
        <v>8846.0400000000009</v>
      </c>
      <c r="C5" s="468">
        <v>1</v>
      </c>
      <c r="D5" s="476">
        <v>1</v>
      </c>
      <c r="E5" s="489" t="s">
        <v>318</v>
      </c>
      <c r="F5" s="467">
        <v>8846.0400000000009</v>
      </c>
      <c r="G5" s="483">
        <v>1</v>
      </c>
      <c r="H5" s="469">
        <v>1</v>
      </c>
      <c r="I5" s="484">
        <v>1</v>
      </c>
      <c r="J5" s="492"/>
      <c r="K5" s="483">
        <v>0</v>
      </c>
      <c r="L5" s="469"/>
      <c r="M5" s="484">
        <v>0</v>
      </c>
    </row>
    <row r="6" spans="1:13" ht="14.4" customHeight="1" x14ac:dyDescent="0.3">
      <c r="A6" s="463" t="s">
        <v>319</v>
      </c>
      <c r="B6" s="470">
        <v>231431.9</v>
      </c>
      <c r="C6" s="471">
        <v>1</v>
      </c>
      <c r="D6" s="477">
        <v>66</v>
      </c>
      <c r="E6" s="490" t="s">
        <v>319</v>
      </c>
      <c r="F6" s="470">
        <v>135078.27000000002</v>
      </c>
      <c r="G6" s="485">
        <v>0.58366314237579187</v>
      </c>
      <c r="H6" s="472">
        <v>30</v>
      </c>
      <c r="I6" s="486">
        <v>0.45454545454545453</v>
      </c>
      <c r="J6" s="493">
        <v>96353.629999999976</v>
      </c>
      <c r="K6" s="485">
        <v>0.41633685762420813</v>
      </c>
      <c r="L6" s="472">
        <v>36</v>
      </c>
      <c r="M6" s="486">
        <v>0.54545454545454541</v>
      </c>
    </row>
    <row r="7" spans="1:13" ht="14.4" customHeight="1" x14ac:dyDescent="0.3">
      <c r="A7" s="463" t="s">
        <v>320</v>
      </c>
      <c r="B7" s="470">
        <v>1895.4</v>
      </c>
      <c r="C7" s="471">
        <v>1</v>
      </c>
      <c r="D7" s="477">
        <v>8</v>
      </c>
      <c r="E7" s="490" t="s">
        <v>320</v>
      </c>
      <c r="F7" s="470">
        <v>0</v>
      </c>
      <c r="G7" s="485">
        <v>0</v>
      </c>
      <c r="H7" s="472">
        <v>6</v>
      </c>
      <c r="I7" s="486">
        <v>0.75</v>
      </c>
      <c r="J7" s="493">
        <v>1895.4</v>
      </c>
      <c r="K7" s="485">
        <v>1</v>
      </c>
      <c r="L7" s="472">
        <v>2</v>
      </c>
      <c r="M7" s="486">
        <v>0.25</v>
      </c>
    </row>
    <row r="8" spans="1:13" ht="14.4" customHeight="1" thickBot="1" x14ac:dyDescent="0.35">
      <c r="A8" s="464" t="s">
        <v>321</v>
      </c>
      <c r="B8" s="473">
        <v>674724.65</v>
      </c>
      <c r="C8" s="474">
        <v>1</v>
      </c>
      <c r="D8" s="478">
        <v>129</v>
      </c>
      <c r="E8" s="491" t="s">
        <v>321</v>
      </c>
      <c r="F8" s="473">
        <v>494977.96</v>
      </c>
      <c r="G8" s="487">
        <v>0.7335999359145986</v>
      </c>
      <c r="H8" s="475">
        <v>80</v>
      </c>
      <c r="I8" s="488">
        <v>0.62015503875968991</v>
      </c>
      <c r="J8" s="494">
        <v>179746.68999999997</v>
      </c>
      <c r="K8" s="487">
        <v>0.26640006408540129</v>
      </c>
      <c r="L8" s="475">
        <v>49</v>
      </c>
      <c r="M8" s="488">
        <v>0.37984496124031009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48" t="s">
        <v>448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1" ht="14.4" customHeight="1" thickBot="1" x14ac:dyDescent="0.35">
      <c r="A2" s="231" t="s">
        <v>246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74" t="s">
        <v>124</v>
      </c>
      <c r="L3" s="375"/>
      <c r="M3" s="66">
        <f>SUBTOTAL(9,M7:M1048576)</f>
        <v>916897.99000000011</v>
      </c>
      <c r="N3" s="66">
        <f>SUBTOTAL(9,N7:N1048576)</f>
        <v>7243</v>
      </c>
      <c r="O3" s="66">
        <f>SUBTOTAL(9,O7:O1048576)</f>
        <v>204</v>
      </c>
      <c r="P3" s="66">
        <f>SUBTOTAL(9,P7:P1048576)</f>
        <v>638902.27</v>
      </c>
      <c r="Q3" s="67">
        <f>IF(M3=0,0,P3/M3)</f>
        <v>0.69680845303194516</v>
      </c>
      <c r="R3" s="66">
        <f>SUBTOTAL(9,R7:R1048576)</f>
        <v>4932</v>
      </c>
      <c r="S3" s="67">
        <f>IF(N3=0,0,R3/N3)</f>
        <v>0.68093331492475495</v>
      </c>
      <c r="T3" s="66">
        <f>SUBTOTAL(9,T7:T1048576)</f>
        <v>117</v>
      </c>
      <c r="U3" s="68">
        <f>IF(O3=0,0,T3/O3)</f>
        <v>0.57352941176470584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6" t="s">
        <v>14</v>
      </c>
      <c r="N4" s="377"/>
      <c r="O4" s="377"/>
      <c r="P4" s="378" t="s">
        <v>20</v>
      </c>
      <c r="Q4" s="377"/>
      <c r="R4" s="377"/>
      <c r="S4" s="377"/>
      <c r="T4" s="377"/>
      <c r="U4" s="379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69" t="s">
        <v>21</v>
      </c>
      <c r="Q5" s="370"/>
      <c r="R5" s="369" t="s">
        <v>12</v>
      </c>
      <c r="S5" s="370"/>
      <c r="T5" s="369" t="s">
        <v>19</v>
      </c>
      <c r="U5" s="371"/>
    </row>
    <row r="6" spans="1:21" s="209" customFormat="1" ht="14.4" customHeight="1" thickBot="1" x14ac:dyDescent="0.35">
      <c r="A6" s="495" t="s">
        <v>22</v>
      </c>
      <c r="B6" s="496" t="s">
        <v>5</v>
      </c>
      <c r="C6" s="495" t="s">
        <v>23</v>
      </c>
      <c r="D6" s="496" t="s">
        <v>6</v>
      </c>
      <c r="E6" s="496" t="s">
        <v>143</v>
      </c>
      <c r="F6" s="496" t="s">
        <v>24</v>
      </c>
      <c r="G6" s="496" t="s">
        <v>25</v>
      </c>
      <c r="H6" s="496" t="s">
        <v>8</v>
      </c>
      <c r="I6" s="496" t="s">
        <v>9</v>
      </c>
      <c r="J6" s="496" t="s">
        <v>10</v>
      </c>
      <c r="K6" s="496" t="s">
        <v>11</v>
      </c>
      <c r="L6" s="496" t="s">
        <v>26</v>
      </c>
      <c r="M6" s="497" t="s">
        <v>13</v>
      </c>
      <c r="N6" s="498" t="s">
        <v>27</v>
      </c>
      <c r="O6" s="498" t="s">
        <v>27</v>
      </c>
      <c r="P6" s="498" t="s">
        <v>13</v>
      </c>
      <c r="Q6" s="498" t="s">
        <v>2</v>
      </c>
      <c r="R6" s="498" t="s">
        <v>27</v>
      </c>
      <c r="S6" s="498" t="s">
        <v>2</v>
      </c>
      <c r="T6" s="498" t="s">
        <v>27</v>
      </c>
      <c r="U6" s="499" t="s">
        <v>2</v>
      </c>
    </row>
    <row r="7" spans="1:21" ht="14.4" customHeight="1" x14ac:dyDescent="0.3">
      <c r="A7" s="500">
        <v>57</v>
      </c>
      <c r="B7" s="501" t="s">
        <v>304</v>
      </c>
      <c r="C7" s="501" t="s">
        <v>311</v>
      </c>
      <c r="D7" s="502" t="s">
        <v>304</v>
      </c>
      <c r="E7" s="503" t="s">
        <v>318</v>
      </c>
      <c r="F7" s="501" t="s">
        <v>305</v>
      </c>
      <c r="G7" s="501" t="s">
        <v>322</v>
      </c>
      <c r="H7" s="501" t="s">
        <v>447</v>
      </c>
      <c r="I7" s="501" t="s">
        <v>323</v>
      </c>
      <c r="J7" s="501" t="s">
        <v>324</v>
      </c>
      <c r="K7" s="501" t="s">
        <v>325</v>
      </c>
      <c r="L7" s="504">
        <v>105.31</v>
      </c>
      <c r="M7" s="504">
        <v>8846.0400000000009</v>
      </c>
      <c r="N7" s="501">
        <v>84</v>
      </c>
      <c r="O7" s="505">
        <v>1</v>
      </c>
      <c r="P7" s="504">
        <v>8846.0400000000009</v>
      </c>
      <c r="Q7" s="506">
        <v>1</v>
      </c>
      <c r="R7" s="501">
        <v>84</v>
      </c>
      <c r="S7" s="506">
        <v>1</v>
      </c>
      <c r="T7" s="505">
        <v>1</v>
      </c>
      <c r="U7" s="122">
        <v>1</v>
      </c>
    </row>
    <row r="8" spans="1:21" ht="14.4" customHeight="1" x14ac:dyDescent="0.3">
      <c r="A8" s="481">
        <v>57</v>
      </c>
      <c r="B8" s="471" t="s">
        <v>304</v>
      </c>
      <c r="C8" s="471" t="s">
        <v>311</v>
      </c>
      <c r="D8" s="507" t="s">
        <v>304</v>
      </c>
      <c r="E8" s="508" t="s">
        <v>319</v>
      </c>
      <c r="F8" s="471" t="s">
        <v>305</v>
      </c>
      <c r="G8" s="471" t="s">
        <v>326</v>
      </c>
      <c r="H8" s="471" t="s">
        <v>307</v>
      </c>
      <c r="I8" s="471" t="s">
        <v>327</v>
      </c>
      <c r="J8" s="471" t="s">
        <v>328</v>
      </c>
      <c r="K8" s="471" t="s">
        <v>329</v>
      </c>
      <c r="L8" s="509">
        <v>100.11</v>
      </c>
      <c r="M8" s="509">
        <v>100.11</v>
      </c>
      <c r="N8" s="471">
        <v>1</v>
      </c>
      <c r="O8" s="510">
        <v>1</v>
      </c>
      <c r="P8" s="509">
        <v>100.11</v>
      </c>
      <c r="Q8" s="485">
        <v>1</v>
      </c>
      <c r="R8" s="471">
        <v>1</v>
      </c>
      <c r="S8" s="485">
        <v>1</v>
      </c>
      <c r="T8" s="510">
        <v>1</v>
      </c>
      <c r="U8" s="486">
        <v>1</v>
      </c>
    </row>
    <row r="9" spans="1:21" ht="14.4" customHeight="1" x14ac:dyDescent="0.3">
      <c r="A9" s="481">
        <v>57</v>
      </c>
      <c r="B9" s="471" t="s">
        <v>304</v>
      </c>
      <c r="C9" s="471" t="s">
        <v>311</v>
      </c>
      <c r="D9" s="507" t="s">
        <v>304</v>
      </c>
      <c r="E9" s="508" t="s">
        <v>319</v>
      </c>
      <c r="F9" s="471" t="s">
        <v>305</v>
      </c>
      <c r="G9" s="471" t="s">
        <v>322</v>
      </c>
      <c r="H9" s="471" t="s">
        <v>447</v>
      </c>
      <c r="I9" s="471" t="s">
        <v>330</v>
      </c>
      <c r="J9" s="471" t="s">
        <v>331</v>
      </c>
      <c r="K9" s="471" t="s">
        <v>332</v>
      </c>
      <c r="L9" s="509">
        <v>194.26</v>
      </c>
      <c r="M9" s="509">
        <v>29527.519999999997</v>
      </c>
      <c r="N9" s="471">
        <v>152</v>
      </c>
      <c r="O9" s="510">
        <v>17.5</v>
      </c>
      <c r="P9" s="509">
        <v>10684.300000000001</v>
      </c>
      <c r="Q9" s="485">
        <v>0.36184210526315796</v>
      </c>
      <c r="R9" s="471">
        <v>55</v>
      </c>
      <c r="S9" s="485">
        <v>0.36184210526315791</v>
      </c>
      <c r="T9" s="510">
        <v>6</v>
      </c>
      <c r="U9" s="486">
        <v>0.34285714285714286</v>
      </c>
    </row>
    <row r="10" spans="1:21" ht="14.4" customHeight="1" x14ac:dyDescent="0.3">
      <c r="A10" s="481">
        <v>57</v>
      </c>
      <c r="B10" s="471" t="s">
        <v>304</v>
      </c>
      <c r="C10" s="471" t="s">
        <v>311</v>
      </c>
      <c r="D10" s="507" t="s">
        <v>304</v>
      </c>
      <c r="E10" s="508" t="s">
        <v>319</v>
      </c>
      <c r="F10" s="471" t="s">
        <v>305</v>
      </c>
      <c r="G10" s="471" t="s">
        <v>322</v>
      </c>
      <c r="H10" s="471" t="s">
        <v>447</v>
      </c>
      <c r="I10" s="471" t="s">
        <v>333</v>
      </c>
      <c r="J10" s="471" t="s">
        <v>334</v>
      </c>
      <c r="K10" s="471" t="s">
        <v>335</v>
      </c>
      <c r="L10" s="509">
        <v>21.06</v>
      </c>
      <c r="M10" s="509">
        <v>1010.8799999999999</v>
      </c>
      <c r="N10" s="471">
        <v>48</v>
      </c>
      <c r="O10" s="510">
        <v>1.5</v>
      </c>
      <c r="P10" s="509">
        <v>294.83999999999997</v>
      </c>
      <c r="Q10" s="485">
        <v>0.29166666666666669</v>
      </c>
      <c r="R10" s="471">
        <v>14</v>
      </c>
      <c r="S10" s="485">
        <v>0.29166666666666669</v>
      </c>
      <c r="T10" s="510">
        <v>0.5</v>
      </c>
      <c r="U10" s="486">
        <v>0.33333333333333331</v>
      </c>
    </row>
    <row r="11" spans="1:21" ht="14.4" customHeight="1" x14ac:dyDescent="0.3">
      <c r="A11" s="481">
        <v>57</v>
      </c>
      <c r="B11" s="471" t="s">
        <v>304</v>
      </c>
      <c r="C11" s="471" t="s">
        <v>311</v>
      </c>
      <c r="D11" s="507" t="s">
        <v>304</v>
      </c>
      <c r="E11" s="508" t="s">
        <v>319</v>
      </c>
      <c r="F11" s="471" t="s">
        <v>305</v>
      </c>
      <c r="G11" s="471" t="s">
        <v>322</v>
      </c>
      <c r="H11" s="471" t="s">
        <v>447</v>
      </c>
      <c r="I11" s="471" t="s">
        <v>336</v>
      </c>
      <c r="J11" s="471" t="s">
        <v>337</v>
      </c>
      <c r="K11" s="471" t="s">
        <v>335</v>
      </c>
      <c r="L11" s="509">
        <v>21.06</v>
      </c>
      <c r="M11" s="509">
        <v>1221.48</v>
      </c>
      <c r="N11" s="471">
        <v>58</v>
      </c>
      <c r="O11" s="510">
        <v>2</v>
      </c>
      <c r="P11" s="509">
        <v>294.83999999999997</v>
      </c>
      <c r="Q11" s="485">
        <v>0.24137931034482757</v>
      </c>
      <c r="R11" s="471">
        <v>14</v>
      </c>
      <c r="S11" s="485">
        <v>0.2413793103448276</v>
      </c>
      <c r="T11" s="510">
        <v>0.5</v>
      </c>
      <c r="U11" s="486">
        <v>0.25</v>
      </c>
    </row>
    <row r="12" spans="1:21" ht="14.4" customHeight="1" x14ac:dyDescent="0.3">
      <c r="A12" s="481">
        <v>57</v>
      </c>
      <c r="B12" s="471" t="s">
        <v>304</v>
      </c>
      <c r="C12" s="471" t="s">
        <v>311</v>
      </c>
      <c r="D12" s="507" t="s">
        <v>304</v>
      </c>
      <c r="E12" s="508" t="s">
        <v>319</v>
      </c>
      <c r="F12" s="471" t="s">
        <v>305</v>
      </c>
      <c r="G12" s="471" t="s">
        <v>322</v>
      </c>
      <c r="H12" s="471" t="s">
        <v>447</v>
      </c>
      <c r="I12" s="471" t="s">
        <v>338</v>
      </c>
      <c r="J12" s="471" t="s">
        <v>339</v>
      </c>
      <c r="K12" s="471" t="s">
        <v>335</v>
      </c>
      <c r="L12" s="509">
        <v>26.33</v>
      </c>
      <c r="M12" s="509">
        <v>789.9</v>
      </c>
      <c r="N12" s="471">
        <v>30</v>
      </c>
      <c r="O12" s="510">
        <v>1</v>
      </c>
      <c r="P12" s="509">
        <v>789.9</v>
      </c>
      <c r="Q12" s="485">
        <v>1</v>
      </c>
      <c r="R12" s="471">
        <v>30</v>
      </c>
      <c r="S12" s="485">
        <v>1</v>
      </c>
      <c r="T12" s="510">
        <v>1</v>
      </c>
      <c r="U12" s="486">
        <v>1</v>
      </c>
    </row>
    <row r="13" spans="1:21" ht="14.4" customHeight="1" x14ac:dyDescent="0.3">
      <c r="A13" s="481">
        <v>57</v>
      </c>
      <c r="B13" s="471" t="s">
        <v>304</v>
      </c>
      <c r="C13" s="471" t="s">
        <v>311</v>
      </c>
      <c r="D13" s="507" t="s">
        <v>304</v>
      </c>
      <c r="E13" s="508" t="s">
        <v>319</v>
      </c>
      <c r="F13" s="471" t="s">
        <v>305</v>
      </c>
      <c r="G13" s="471" t="s">
        <v>322</v>
      </c>
      <c r="H13" s="471" t="s">
        <v>447</v>
      </c>
      <c r="I13" s="471" t="s">
        <v>340</v>
      </c>
      <c r="J13" s="471" t="s">
        <v>341</v>
      </c>
      <c r="K13" s="471" t="s">
        <v>335</v>
      </c>
      <c r="L13" s="509">
        <v>31.59</v>
      </c>
      <c r="M13" s="509">
        <v>473.85</v>
      </c>
      <c r="N13" s="471">
        <v>15</v>
      </c>
      <c r="O13" s="510">
        <v>0.5</v>
      </c>
      <c r="P13" s="509"/>
      <c r="Q13" s="485">
        <v>0</v>
      </c>
      <c r="R13" s="471"/>
      <c r="S13" s="485">
        <v>0</v>
      </c>
      <c r="T13" s="510"/>
      <c r="U13" s="486">
        <v>0</v>
      </c>
    </row>
    <row r="14" spans="1:21" ht="14.4" customHeight="1" x14ac:dyDescent="0.3">
      <c r="A14" s="481">
        <v>57</v>
      </c>
      <c r="B14" s="471" t="s">
        <v>304</v>
      </c>
      <c r="C14" s="471" t="s">
        <v>311</v>
      </c>
      <c r="D14" s="507" t="s">
        <v>304</v>
      </c>
      <c r="E14" s="508" t="s">
        <v>319</v>
      </c>
      <c r="F14" s="471" t="s">
        <v>305</v>
      </c>
      <c r="G14" s="471" t="s">
        <v>322</v>
      </c>
      <c r="H14" s="471" t="s">
        <v>447</v>
      </c>
      <c r="I14" s="471" t="s">
        <v>342</v>
      </c>
      <c r="J14" s="471" t="s">
        <v>343</v>
      </c>
      <c r="K14" s="471" t="s">
        <v>335</v>
      </c>
      <c r="L14" s="509">
        <v>31.59</v>
      </c>
      <c r="M14" s="509">
        <v>473.85</v>
      </c>
      <c r="N14" s="471">
        <v>15</v>
      </c>
      <c r="O14" s="510">
        <v>0.5</v>
      </c>
      <c r="P14" s="509"/>
      <c r="Q14" s="485">
        <v>0</v>
      </c>
      <c r="R14" s="471"/>
      <c r="S14" s="485">
        <v>0</v>
      </c>
      <c r="T14" s="510"/>
      <c r="U14" s="486">
        <v>0</v>
      </c>
    </row>
    <row r="15" spans="1:21" ht="14.4" customHeight="1" x14ac:dyDescent="0.3">
      <c r="A15" s="481">
        <v>57</v>
      </c>
      <c r="B15" s="471" t="s">
        <v>304</v>
      </c>
      <c r="C15" s="471" t="s">
        <v>311</v>
      </c>
      <c r="D15" s="507" t="s">
        <v>304</v>
      </c>
      <c r="E15" s="508" t="s">
        <v>319</v>
      </c>
      <c r="F15" s="471" t="s">
        <v>305</v>
      </c>
      <c r="G15" s="471" t="s">
        <v>322</v>
      </c>
      <c r="H15" s="471" t="s">
        <v>447</v>
      </c>
      <c r="I15" s="471" t="s">
        <v>323</v>
      </c>
      <c r="J15" s="471" t="s">
        <v>324</v>
      </c>
      <c r="K15" s="471" t="s">
        <v>325</v>
      </c>
      <c r="L15" s="509">
        <v>105.31</v>
      </c>
      <c r="M15" s="509">
        <v>18955.800000000003</v>
      </c>
      <c r="N15" s="471">
        <v>180</v>
      </c>
      <c r="O15" s="510">
        <v>2.5</v>
      </c>
      <c r="P15" s="509">
        <v>6318.6</v>
      </c>
      <c r="Q15" s="485">
        <v>0.33333333333333331</v>
      </c>
      <c r="R15" s="471">
        <v>60</v>
      </c>
      <c r="S15" s="485">
        <v>0.33333333333333331</v>
      </c>
      <c r="T15" s="510">
        <v>0.5</v>
      </c>
      <c r="U15" s="486">
        <v>0.2</v>
      </c>
    </row>
    <row r="16" spans="1:21" ht="14.4" customHeight="1" x14ac:dyDescent="0.3">
      <c r="A16" s="481">
        <v>57</v>
      </c>
      <c r="B16" s="471" t="s">
        <v>304</v>
      </c>
      <c r="C16" s="471" t="s">
        <v>311</v>
      </c>
      <c r="D16" s="507" t="s">
        <v>304</v>
      </c>
      <c r="E16" s="508" t="s">
        <v>319</v>
      </c>
      <c r="F16" s="471" t="s">
        <v>305</v>
      </c>
      <c r="G16" s="471" t="s">
        <v>322</v>
      </c>
      <c r="H16" s="471" t="s">
        <v>447</v>
      </c>
      <c r="I16" s="471" t="s">
        <v>344</v>
      </c>
      <c r="J16" s="471" t="s">
        <v>345</v>
      </c>
      <c r="K16" s="471" t="s">
        <v>325</v>
      </c>
      <c r="L16" s="509">
        <v>108.47</v>
      </c>
      <c r="M16" s="509">
        <v>8026.78</v>
      </c>
      <c r="N16" s="471">
        <v>74</v>
      </c>
      <c r="O16" s="510">
        <v>1.5</v>
      </c>
      <c r="P16" s="509">
        <v>8026.78</v>
      </c>
      <c r="Q16" s="485">
        <v>1</v>
      </c>
      <c r="R16" s="471">
        <v>74</v>
      </c>
      <c r="S16" s="485">
        <v>1</v>
      </c>
      <c r="T16" s="510">
        <v>1.5</v>
      </c>
      <c r="U16" s="486">
        <v>1</v>
      </c>
    </row>
    <row r="17" spans="1:21" ht="14.4" customHeight="1" x14ac:dyDescent="0.3">
      <c r="A17" s="481">
        <v>57</v>
      </c>
      <c r="B17" s="471" t="s">
        <v>304</v>
      </c>
      <c r="C17" s="471" t="s">
        <v>311</v>
      </c>
      <c r="D17" s="507" t="s">
        <v>304</v>
      </c>
      <c r="E17" s="508" t="s">
        <v>319</v>
      </c>
      <c r="F17" s="471" t="s">
        <v>305</v>
      </c>
      <c r="G17" s="471" t="s">
        <v>322</v>
      </c>
      <c r="H17" s="471" t="s">
        <v>447</v>
      </c>
      <c r="I17" s="471" t="s">
        <v>346</v>
      </c>
      <c r="J17" s="471" t="s">
        <v>347</v>
      </c>
      <c r="K17" s="471" t="s">
        <v>348</v>
      </c>
      <c r="L17" s="509">
        <v>127.34</v>
      </c>
      <c r="M17" s="509">
        <v>1782.76</v>
      </c>
      <c r="N17" s="471">
        <v>14</v>
      </c>
      <c r="O17" s="510">
        <v>1.5</v>
      </c>
      <c r="P17" s="509">
        <v>1782.76</v>
      </c>
      <c r="Q17" s="485">
        <v>1</v>
      </c>
      <c r="R17" s="471">
        <v>14</v>
      </c>
      <c r="S17" s="485">
        <v>1</v>
      </c>
      <c r="T17" s="510">
        <v>1.5</v>
      </c>
      <c r="U17" s="486">
        <v>1</v>
      </c>
    </row>
    <row r="18" spans="1:21" ht="14.4" customHeight="1" x14ac:dyDescent="0.3">
      <c r="A18" s="481">
        <v>57</v>
      </c>
      <c r="B18" s="471" t="s">
        <v>304</v>
      </c>
      <c r="C18" s="471" t="s">
        <v>311</v>
      </c>
      <c r="D18" s="507" t="s">
        <v>304</v>
      </c>
      <c r="E18" s="508" t="s">
        <v>319</v>
      </c>
      <c r="F18" s="471" t="s">
        <v>305</v>
      </c>
      <c r="G18" s="471" t="s">
        <v>322</v>
      </c>
      <c r="H18" s="471" t="s">
        <v>447</v>
      </c>
      <c r="I18" s="471" t="s">
        <v>349</v>
      </c>
      <c r="J18" s="471" t="s">
        <v>350</v>
      </c>
      <c r="K18" s="471" t="s">
        <v>348</v>
      </c>
      <c r="L18" s="509">
        <v>127.34</v>
      </c>
      <c r="M18" s="509">
        <v>1910.1</v>
      </c>
      <c r="N18" s="471">
        <v>15</v>
      </c>
      <c r="O18" s="510">
        <v>1.5</v>
      </c>
      <c r="P18" s="509">
        <v>1910.1</v>
      </c>
      <c r="Q18" s="485">
        <v>1</v>
      </c>
      <c r="R18" s="471">
        <v>15</v>
      </c>
      <c r="S18" s="485">
        <v>1</v>
      </c>
      <c r="T18" s="510">
        <v>1.5</v>
      </c>
      <c r="U18" s="486">
        <v>1</v>
      </c>
    </row>
    <row r="19" spans="1:21" ht="14.4" customHeight="1" x14ac:dyDescent="0.3">
      <c r="A19" s="481">
        <v>57</v>
      </c>
      <c r="B19" s="471" t="s">
        <v>304</v>
      </c>
      <c r="C19" s="471" t="s">
        <v>311</v>
      </c>
      <c r="D19" s="507" t="s">
        <v>304</v>
      </c>
      <c r="E19" s="508" t="s">
        <v>319</v>
      </c>
      <c r="F19" s="471" t="s">
        <v>305</v>
      </c>
      <c r="G19" s="471" t="s">
        <v>322</v>
      </c>
      <c r="H19" s="471" t="s">
        <v>447</v>
      </c>
      <c r="I19" s="471" t="s">
        <v>351</v>
      </c>
      <c r="J19" s="471" t="s">
        <v>352</v>
      </c>
      <c r="K19" s="471" t="s">
        <v>353</v>
      </c>
      <c r="L19" s="509">
        <v>84.89</v>
      </c>
      <c r="M19" s="509">
        <v>848.9</v>
      </c>
      <c r="N19" s="471">
        <v>10</v>
      </c>
      <c r="O19" s="510">
        <v>1</v>
      </c>
      <c r="P19" s="509"/>
      <c r="Q19" s="485">
        <v>0</v>
      </c>
      <c r="R19" s="471"/>
      <c r="S19" s="485">
        <v>0</v>
      </c>
      <c r="T19" s="510"/>
      <c r="U19" s="486">
        <v>0</v>
      </c>
    </row>
    <row r="20" spans="1:21" ht="14.4" customHeight="1" x14ac:dyDescent="0.3">
      <c r="A20" s="481">
        <v>57</v>
      </c>
      <c r="B20" s="471" t="s">
        <v>304</v>
      </c>
      <c r="C20" s="471" t="s">
        <v>311</v>
      </c>
      <c r="D20" s="507" t="s">
        <v>304</v>
      </c>
      <c r="E20" s="508" t="s">
        <v>319</v>
      </c>
      <c r="F20" s="471" t="s">
        <v>305</v>
      </c>
      <c r="G20" s="471" t="s">
        <v>322</v>
      </c>
      <c r="H20" s="471" t="s">
        <v>447</v>
      </c>
      <c r="I20" s="471" t="s">
        <v>354</v>
      </c>
      <c r="J20" s="471" t="s">
        <v>355</v>
      </c>
      <c r="K20" s="471" t="s">
        <v>353</v>
      </c>
      <c r="L20" s="509">
        <v>84.89</v>
      </c>
      <c r="M20" s="509">
        <v>4753.84</v>
      </c>
      <c r="N20" s="471">
        <v>56</v>
      </c>
      <c r="O20" s="510">
        <v>1</v>
      </c>
      <c r="P20" s="509"/>
      <c r="Q20" s="485">
        <v>0</v>
      </c>
      <c r="R20" s="471"/>
      <c r="S20" s="485">
        <v>0</v>
      </c>
      <c r="T20" s="510"/>
      <c r="U20" s="486">
        <v>0</v>
      </c>
    </row>
    <row r="21" spans="1:21" ht="14.4" customHeight="1" x14ac:dyDescent="0.3">
      <c r="A21" s="481">
        <v>57</v>
      </c>
      <c r="B21" s="471" t="s">
        <v>304</v>
      </c>
      <c r="C21" s="471" t="s">
        <v>311</v>
      </c>
      <c r="D21" s="507" t="s">
        <v>304</v>
      </c>
      <c r="E21" s="508" t="s">
        <v>319</v>
      </c>
      <c r="F21" s="471" t="s">
        <v>305</v>
      </c>
      <c r="G21" s="471" t="s">
        <v>322</v>
      </c>
      <c r="H21" s="471" t="s">
        <v>447</v>
      </c>
      <c r="I21" s="471" t="s">
        <v>356</v>
      </c>
      <c r="J21" s="471" t="s">
        <v>357</v>
      </c>
      <c r="K21" s="471" t="s">
        <v>348</v>
      </c>
      <c r="L21" s="509">
        <v>82.04</v>
      </c>
      <c r="M21" s="509">
        <v>574.28000000000009</v>
      </c>
      <c r="N21" s="471">
        <v>7</v>
      </c>
      <c r="O21" s="510">
        <v>1</v>
      </c>
      <c r="P21" s="509"/>
      <c r="Q21" s="485">
        <v>0</v>
      </c>
      <c r="R21" s="471"/>
      <c r="S21" s="485">
        <v>0</v>
      </c>
      <c r="T21" s="510"/>
      <c r="U21" s="486">
        <v>0</v>
      </c>
    </row>
    <row r="22" spans="1:21" ht="14.4" customHeight="1" x14ac:dyDescent="0.3">
      <c r="A22" s="481">
        <v>57</v>
      </c>
      <c r="B22" s="471" t="s">
        <v>304</v>
      </c>
      <c r="C22" s="471" t="s">
        <v>311</v>
      </c>
      <c r="D22" s="507" t="s">
        <v>304</v>
      </c>
      <c r="E22" s="508" t="s">
        <v>319</v>
      </c>
      <c r="F22" s="471" t="s">
        <v>305</v>
      </c>
      <c r="G22" s="471" t="s">
        <v>322</v>
      </c>
      <c r="H22" s="471" t="s">
        <v>447</v>
      </c>
      <c r="I22" s="471" t="s">
        <v>358</v>
      </c>
      <c r="J22" s="471" t="s">
        <v>359</v>
      </c>
      <c r="K22" s="471" t="s">
        <v>348</v>
      </c>
      <c r="L22" s="509">
        <v>127.34</v>
      </c>
      <c r="M22" s="509">
        <v>1782.76</v>
      </c>
      <c r="N22" s="471">
        <v>14</v>
      </c>
      <c r="O22" s="510">
        <v>1</v>
      </c>
      <c r="P22" s="509">
        <v>1782.76</v>
      </c>
      <c r="Q22" s="485">
        <v>1</v>
      </c>
      <c r="R22" s="471">
        <v>14</v>
      </c>
      <c r="S22" s="485">
        <v>1</v>
      </c>
      <c r="T22" s="510">
        <v>1</v>
      </c>
      <c r="U22" s="486">
        <v>1</v>
      </c>
    </row>
    <row r="23" spans="1:21" ht="14.4" customHeight="1" x14ac:dyDescent="0.3">
      <c r="A23" s="481">
        <v>57</v>
      </c>
      <c r="B23" s="471" t="s">
        <v>304</v>
      </c>
      <c r="C23" s="471" t="s">
        <v>311</v>
      </c>
      <c r="D23" s="507" t="s">
        <v>304</v>
      </c>
      <c r="E23" s="508" t="s">
        <v>319</v>
      </c>
      <c r="F23" s="471" t="s">
        <v>305</v>
      </c>
      <c r="G23" s="471" t="s">
        <v>322</v>
      </c>
      <c r="H23" s="471" t="s">
        <v>447</v>
      </c>
      <c r="I23" s="471" t="s">
        <v>360</v>
      </c>
      <c r="J23" s="471" t="s">
        <v>361</v>
      </c>
      <c r="K23" s="471" t="s">
        <v>362</v>
      </c>
      <c r="L23" s="509">
        <v>242.63</v>
      </c>
      <c r="M23" s="509">
        <v>148004.29999999999</v>
      </c>
      <c r="N23" s="471">
        <v>610</v>
      </c>
      <c r="O23" s="510">
        <v>22</v>
      </c>
      <c r="P23" s="509">
        <v>101419.34</v>
      </c>
      <c r="Q23" s="485">
        <v>0.68524590163934429</v>
      </c>
      <c r="R23" s="471">
        <v>418</v>
      </c>
      <c r="S23" s="485">
        <v>0.68524590163934429</v>
      </c>
      <c r="T23" s="510">
        <v>13.5</v>
      </c>
      <c r="U23" s="486">
        <v>0.61363636363636365</v>
      </c>
    </row>
    <row r="24" spans="1:21" ht="14.4" customHeight="1" x14ac:dyDescent="0.3">
      <c r="A24" s="481">
        <v>57</v>
      </c>
      <c r="B24" s="471" t="s">
        <v>304</v>
      </c>
      <c r="C24" s="471" t="s">
        <v>311</v>
      </c>
      <c r="D24" s="507" t="s">
        <v>304</v>
      </c>
      <c r="E24" s="508" t="s">
        <v>319</v>
      </c>
      <c r="F24" s="471" t="s">
        <v>305</v>
      </c>
      <c r="G24" s="471" t="s">
        <v>322</v>
      </c>
      <c r="H24" s="471" t="s">
        <v>447</v>
      </c>
      <c r="I24" s="471" t="s">
        <v>363</v>
      </c>
      <c r="J24" s="471" t="s">
        <v>364</v>
      </c>
      <c r="K24" s="471" t="s">
        <v>325</v>
      </c>
      <c r="L24" s="509">
        <v>78.989999999999995</v>
      </c>
      <c r="M24" s="509">
        <v>1263.8399999999997</v>
      </c>
      <c r="N24" s="471">
        <v>16</v>
      </c>
      <c r="O24" s="510">
        <v>2</v>
      </c>
      <c r="P24" s="509">
        <v>473.93999999999994</v>
      </c>
      <c r="Q24" s="485">
        <v>0.37500000000000006</v>
      </c>
      <c r="R24" s="471">
        <v>6</v>
      </c>
      <c r="S24" s="485">
        <v>0.375</v>
      </c>
      <c r="T24" s="510">
        <v>0.5</v>
      </c>
      <c r="U24" s="486">
        <v>0.25</v>
      </c>
    </row>
    <row r="25" spans="1:21" ht="14.4" customHeight="1" x14ac:dyDescent="0.3">
      <c r="A25" s="481">
        <v>57</v>
      </c>
      <c r="B25" s="471" t="s">
        <v>304</v>
      </c>
      <c r="C25" s="471" t="s">
        <v>311</v>
      </c>
      <c r="D25" s="507" t="s">
        <v>304</v>
      </c>
      <c r="E25" s="508" t="s">
        <v>319</v>
      </c>
      <c r="F25" s="471" t="s">
        <v>305</v>
      </c>
      <c r="G25" s="471" t="s">
        <v>322</v>
      </c>
      <c r="H25" s="471" t="s">
        <v>447</v>
      </c>
      <c r="I25" s="471" t="s">
        <v>365</v>
      </c>
      <c r="J25" s="471" t="s">
        <v>366</v>
      </c>
      <c r="K25" s="471" t="s">
        <v>348</v>
      </c>
      <c r="L25" s="509">
        <v>82.04</v>
      </c>
      <c r="M25" s="509">
        <v>574.28000000000009</v>
      </c>
      <c r="N25" s="471">
        <v>7</v>
      </c>
      <c r="O25" s="510">
        <v>0.5</v>
      </c>
      <c r="P25" s="509"/>
      <c r="Q25" s="485">
        <v>0</v>
      </c>
      <c r="R25" s="471"/>
      <c r="S25" s="485">
        <v>0</v>
      </c>
      <c r="T25" s="510"/>
      <c r="U25" s="486">
        <v>0</v>
      </c>
    </row>
    <row r="26" spans="1:21" ht="14.4" customHeight="1" x14ac:dyDescent="0.3">
      <c r="A26" s="481">
        <v>57</v>
      </c>
      <c r="B26" s="471" t="s">
        <v>304</v>
      </c>
      <c r="C26" s="471" t="s">
        <v>311</v>
      </c>
      <c r="D26" s="507" t="s">
        <v>304</v>
      </c>
      <c r="E26" s="508" t="s">
        <v>319</v>
      </c>
      <c r="F26" s="471" t="s">
        <v>305</v>
      </c>
      <c r="G26" s="471" t="s">
        <v>322</v>
      </c>
      <c r="H26" s="471" t="s">
        <v>447</v>
      </c>
      <c r="I26" s="471" t="s">
        <v>367</v>
      </c>
      <c r="J26" s="471" t="s">
        <v>368</v>
      </c>
      <c r="K26" s="471" t="s">
        <v>332</v>
      </c>
      <c r="L26" s="509">
        <v>194.26</v>
      </c>
      <c r="M26" s="509">
        <v>2331.12</v>
      </c>
      <c r="N26" s="471">
        <v>12</v>
      </c>
      <c r="O26" s="510">
        <v>1</v>
      </c>
      <c r="P26" s="509"/>
      <c r="Q26" s="485">
        <v>0</v>
      </c>
      <c r="R26" s="471"/>
      <c r="S26" s="485">
        <v>0</v>
      </c>
      <c r="T26" s="510"/>
      <c r="U26" s="486">
        <v>0</v>
      </c>
    </row>
    <row r="27" spans="1:21" ht="14.4" customHeight="1" x14ac:dyDescent="0.3">
      <c r="A27" s="481">
        <v>57</v>
      </c>
      <c r="B27" s="471" t="s">
        <v>304</v>
      </c>
      <c r="C27" s="471" t="s">
        <v>311</v>
      </c>
      <c r="D27" s="507" t="s">
        <v>304</v>
      </c>
      <c r="E27" s="508" t="s">
        <v>319</v>
      </c>
      <c r="F27" s="471" t="s">
        <v>305</v>
      </c>
      <c r="G27" s="471" t="s">
        <v>322</v>
      </c>
      <c r="H27" s="471" t="s">
        <v>307</v>
      </c>
      <c r="I27" s="471" t="s">
        <v>369</v>
      </c>
      <c r="J27" s="471" t="s">
        <v>370</v>
      </c>
      <c r="K27" s="471" t="s">
        <v>371</v>
      </c>
      <c r="L27" s="509">
        <v>35.619999999999997</v>
      </c>
      <c r="M27" s="509">
        <v>2849.6</v>
      </c>
      <c r="N27" s="471">
        <v>80</v>
      </c>
      <c r="O27" s="510">
        <v>2</v>
      </c>
      <c r="P27" s="509"/>
      <c r="Q27" s="485">
        <v>0</v>
      </c>
      <c r="R27" s="471"/>
      <c r="S27" s="485">
        <v>0</v>
      </c>
      <c r="T27" s="510"/>
      <c r="U27" s="486">
        <v>0</v>
      </c>
    </row>
    <row r="28" spans="1:21" ht="14.4" customHeight="1" x14ac:dyDescent="0.3">
      <c r="A28" s="481">
        <v>57</v>
      </c>
      <c r="B28" s="471" t="s">
        <v>304</v>
      </c>
      <c r="C28" s="471" t="s">
        <v>311</v>
      </c>
      <c r="D28" s="507" t="s">
        <v>304</v>
      </c>
      <c r="E28" s="508" t="s">
        <v>319</v>
      </c>
      <c r="F28" s="471" t="s">
        <v>305</v>
      </c>
      <c r="G28" s="471" t="s">
        <v>322</v>
      </c>
      <c r="H28" s="471" t="s">
        <v>307</v>
      </c>
      <c r="I28" s="471" t="s">
        <v>372</v>
      </c>
      <c r="J28" s="471" t="s">
        <v>373</v>
      </c>
      <c r="K28" s="471" t="s">
        <v>371</v>
      </c>
      <c r="L28" s="509">
        <v>35.619999999999997</v>
      </c>
      <c r="M28" s="509">
        <v>2849.6</v>
      </c>
      <c r="N28" s="471">
        <v>80</v>
      </c>
      <c r="O28" s="510">
        <v>2</v>
      </c>
      <c r="P28" s="509"/>
      <c r="Q28" s="485">
        <v>0</v>
      </c>
      <c r="R28" s="471"/>
      <c r="S28" s="485">
        <v>0</v>
      </c>
      <c r="T28" s="510"/>
      <c r="U28" s="486">
        <v>0</v>
      </c>
    </row>
    <row r="29" spans="1:21" ht="14.4" customHeight="1" x14ac:dyDescent="0.3">
      <c r="A29" s="481">
        <v>57</v>
      </c>
      <c r="B29" s="471" t="s">
        <v>304</v>
      </c>
      <c r="C29" s="471" t="s">
        <v>311</v>
      </c>
      <c r="D29" s="507" t="s">
        <v>304</v>
      </c>
      <c r="E29" s="508" t="s">
        <v>319</v>
      </c>
      <c r="F29" s="471" t="s">
        <v>305</v>
      </c>
      <c r="G29" s="471" t="s">
        <v>322</v>
      </c>
      <c r="H29" s="471" t="s">
        <v>447</v>
      </c>
      <c r="I29" s="471" t="s">
        <v>374</v>
      </c>
      <c r="J29" s="471" t="s">
        <v>375</v>
      </c>
      <c r="K29" s="471" t="s">
        <v>325</v>
      </c>
      <c r="L29" s="509">
        <v>100</v>
      </c>
      <c r="M29" s="509">
        <v>1200</v>
      </c>
      <c r="N29" s="471">
        <v>12</v>
      </c>
      <c r="O29" s="510">
        <v>1</v>
      </c>
      <c r="P29" s="509">
        <v>1200</v>
      </c>
      <c r="Q29" s="485">
        <v>1</v>
      </c>
      <c r="R29" s="471">
        <v>12</v>
      </c>
      <c r="S29" s="485">
        <v>1</v>
      </c>
      <c r="T29" s="510">
        <v>1</v>
      </c>
      <c r="U29" s="486">
        <v>1</v>
      </c>
    </row>
    <row r="30" spans="1:21" ht="14.4" customHeight="1" x14ac:dyDescent="0.3">
      <c r="A30" s="481">
        <v>57</v>
      </c>
      <c r="B30" s="471" t="s">
        <v>304</v>
      </c>
      <c r="C30" s="471" t="s">
        <v>311</v>
      </c>
      <c r="D30" s="507" t="s">
        <v>304</v>
      </c>
      <c r="E30" s="508" t="s">
        <v>319</v>
      </c>
      <c r="F30" s="471" t="s">
        <v>305</v>
      </c>
      <c r="G30" s="471" t="s">
        <v>322</v>
      </c>
      <c r="H30" s="471" t="s">
        <v>447</v>
      </c>
      <c r="I30" s="471" t="s">
        <v>376</v>
      </c>
      <c r="J30" s="471" t="s">
        <v>343</v>
      </c>
      <c r="K30" s="471" t="s">
        <v>377</v>
      </c>
      <c r="L30" s="509">
        <v>126.35</v>
      </c>
      <c r="M30" s="509">
        <v>126.35</v>
      </c>
      <c r="N30" s="471">
        <v>1</v>
      </c>
      <c r="O30" s="510">
        <v>0.5</v>
      </c>
      <c r="P30" s="509"/>
      <c r="Q30" s="485">
        <v>0</v>
      </c>
      <c r="R30" s="471"/>
      <c r="S30" s="485">
        <v>0</v>
      </c>
      <c r="T30" s="510"/>
      <c r="U30" s="486">
        <v>0</v>
      </c>
    </row>
    <row r="31" spans="1:21" ht="14.4" customHeight="1" x14ac:dyDescent="0.3">
      <c r="A31" s="481">
        <v>57</v>
      </c>
      <c r="B31" s="471" t="s">
        <v>304</v>
      </c>
      <c r="C31" s="471" t="s">
        <v>311</v>
      </c>
      <c r="D31" s="507" t="s">
        <v>304</v>
      </c>
      <c r="E31" s="508" t="s">
        <v>320</v>
      </c>
      <c r="F31" s="471" t="s">
        <v>305</v>
      </c>
      <c r="G31" s="471" t="s">
        <v>322</v>
      </c>
      <c r="H31" s="471" t="s">
        <v>447</v>
      </c>
      <c r="I31" s="471" t="s">
        <v>378</v>
      </c>
      <c r="J31" s="471" t="s">
        <v>379</v>
      </c>
      <c r="K31" s="471" t="s">
        <v>335</v>
      </c>
      <c r="L31" s="509">
        <v>31.59</v>
      </c>
      <c r="M31" s="509">
        <v>947.7</v>
      </c>
      <c r="N31" s="471">
        <v>30</v>
      </c>
      <c r="O31" s="510">
        <v>0.5</v>
      </c>
      <c r="P31" s="509"/>
      <c r="Q31" s="485">
        <v>0</v>
      </c>
      <c r="R31" s="471"/>
      <c r="S31" s="485">
        <v>0</v>
      </c>
      <c r="T31" s="510"/>
      <c r="U31" s="486">
        <v>0</v>
      </c>
    </row>
    <row r="32" spans="1:21" ht="14.4" customHeight="1" x14ac:dyDescent="0.3">
      <c r="A32" s="481">
        <v>57</v>
      </c>
      <c r="B32" s="471" t="s">
        <v>304</v>
      </c>
      <c r="C32" s="471" t="s">
        <v>311</v>
      </c>
      <c r="D32" s="507" t="s">
        <v>304</v>
      </c>
      <c r="E32" s="508" t="s">
        <v>320</v>
      </c>
      <c r="F32" s="471" t="s">
        <v>305</v>
      </c>
      <c r="G32" s="471" t="s">
        <v>322</v>
      </c>
      <c r="H32" s="471" t="s">
        <v>447</v>
      </c>
      <c r="I32" s="471" t="s">
        <v>342</v>
      </c>
      <c r="J32" s="471" t="s">
        <v>343</v>
      </c>
      <c r="K32" s="471" t="s">
        <v>335</v>
      </c>
      <c r="L32" s="509">
        <v>31.59</v>
      </c>
      <c r="M32" s="509">
        <v>947.7</v>
      </c>
      <c r="N32" s="471">
        <v>30</v>
      </c>
      <c r="O32" s="510">
        <v>0.5</v>
      </c>
      <c r="P32" s="509"/>
      <c r="Q32" s="485">
        <v>0</v>
      </c>
      <c r="R32" s="471"/>
      <c r="S32" s="485">
        <v>0</v>
      </c>
      <c r="T32" s="510"/>
      <c r="U32" s="486">
        <v>0</v>
      </c>
    </row>
    <row r="33" spans="1:21" ht="14.4" customHeight="1" x14ac:dyDescent="0.3">
      <c r="A33" s="481">
        <v>57</v>
      </c>
      <c r="B33" s="471" t="s">
        <v>304</v>
      </c>
      <c r="C33" s="471" t="s">
        <v>311</v>
      </c>
      <c r="D33" s="507" t="s">
        <v>304</v>
      </c>
      <c r="E33" s="508" t="s">
        <v>320</v>
      </c>
      <c r="F33" s="471" t="s">
        <v>306</v>
      </c>
      <c r="G33" s="471" t="s">
        <v>380</v>
      </c>
      <c r="H33" s="471" t="s">
        <v>307</v>
      </c>
      <c r="I33" s="471" t="s">
        <v>381</v>
      </c>
      <c r="J33" s="471" t="s">
        <v>382</v>
      </c>
      <c r="K33" s="471"/>
      <c r="L33" s="509">
        <v>0</v>
      </c>
      <c r="M33" s="509">
        <v>0</v>
      </c>
      <c r="N33" s="471">
        <v>1</v>
      </c>
      <c r="O33" s="510">
        <v>1</v>
      </c>
      <c r="P33" s="509"/>
      <c r="Q33" s="485"/>
      <c r="R33" s="471"/>
      <c r="S33" s="485">
        <v>0</v>
      </c>
      <c r="T33" s="510"/>
      <c r="U33" s="486">
        <v>0</v>
      </c>
    </row>
    <row r="34" spans="1:21" ht="14.4" customHeight="1" x14ac:dyDescent="0.3">
      <c r="A34" s="481">
        <v>57</v>
      </c>
      <c r="B34" s="471" t="s">
        <v>304</v>
      </c>
      <c r="C34" s="471" t="s">
        <v>311</v>
      </c>
      <c r="D34" s="507" t="s">
        <v>304</v>
      </c>
      <c r="E34" s="508" t="s">
        <v>320</v>
      </c>
      <c r="F34" s="471" t="s">
        <v>306</v>
      </c>
      <c r="G34" s="471" t="s">
        <v>380</v>
      </c>
      <c r="H34" s="471" t="s">
        <v>307</v>
      </c>
      <c r="I34" s="471" t="s">
        <v>383</v>
      </c>
      <c r="J34" s="471" t="s">
        <v>382</v>
      </c>
      <c r="K34" s="471"/>
      <c r="L34" s="509">
        <v>0</v>
      </c>
      <c r="M34" s="509">
        <v>0</v>
      </c>
      <c r="N34" s="471">
        <v>5</v>
      </c>
      <c r="O34" s="510">
        <v>5</v>
      </c>
      <c r="P34" s="509">
        <v>0</v>
      </c>
      <c r="Q34" s="485"/>
      <c r="R34" s="471">
        <v>5</v>
      </c>
      <c r="S34" s="485">
        <v>1</v>
      </c>
      <c r="T34" s="510">
        <v>5</v>
      </c>
      <c r="U34" s="486">
        <v>1</v>
      </c>
    </row>
    <row r="35" spans="1:21" ht="14.4" customHeight="1" x14ac:dyDescent="0.3">
      <c r="A35" s="481">
        <v>57</v>
      </c>
      <c r="B35" s="471" t="s">
        <v>304</v>
      </c>
      <c r="C35" s="471" t="s">
        <v>311</v>
      </c>
      <c r="D35" s="507" t="s">
        <v>304</v>
      </c>
      <c r="E35" s="508" t="s">
        <v>320</v>
      </c>
      <c r="F35" s="471" t="s">
        <v>306</v>
      </c>
      <c r="G35" s="471" t="s">
        <v>380</v>
      </c>
      <c r="H35" s="471" t="s">
        <v>307</v>
      </c>
      <c r="I35" s="471" t="s">
        <v>384</v>
      </c>
      <c r="J35" s="471" t="s">
        <v>382</v>
      </c>
      <c r="K35" s="471"/>
      <c r="L35" s="509">
        <v>0</v>
      </c>
      <c r="M35" s="509">
        <v>0</v>
      </c>
      <c r="N35" s="471">
        <v>1</v>
      </c>
      <c r="O35" s="510">
        <v>1</v>
      </c>
      <c r="P35" s="509">
        <v>0</v>
      </c>
      <c r="Q35" s="485"/>
      <c r="R35" s="471">
        <v>1</v>
      </c>
      <c r="S35" s="485">
        <v>1</v>
      </c>
      <c r="T35" s="510">
        <v>1</v>
      </c>
      <c r="U35" s="486">
        <v>1</v>
      </c>
    </row>
    <row r="36" spans="1:21" ht="14.4" customHeight="1" x14ac:dyDescent="0.3">
      <c r="A36" s="481">
        <v>57</v>
      </c>
      <c r="B36" s="471" t="s">
        <v>304</v>
      </c>
      <c r="C36" s="471" t="s">
        <v>311</v>
      </c>
      <c r="D36" s="507" t="s">
        <v>304</v>
      </c>
      <c r="E36" s="508" t="s">
        <v>321</v>
      </c>
      <c r="F36" s="471" t="s">
        <v>305</v>
      </c>
      <c r="G36" s="471" t="s">
        <v>385</v>
      </c>
      <c r="H36" s="471" t="s">
        <v>307</v>
      </c>
      <c r="I36" s="471" t="s">
        <v>386</v>
      </c>
      <c r="J36" s="471" t="s">
        <v>387</v>
      </c>
      <c r="K36" s="471" t="s">
        <v>388</v>
      </c>
      <c r="L36" s="509">
        <v>11.21</v>
      </c>
      <c r="M36" s="509">
        <v>11.21</v>
      </c>
      <c r="N36" s="471">
        <v>1</v>
      </c>
      <c r="O36" s="510">
        <v>0.5</v>
      </c>
      <c r="P36" s="509">
        <v>11.21</v>
      </c>
      <c r="Q36" s="485">
        <v>1</v>
      </c>
      <c r="R36" s="471">
        <v>1</v>
      </c>
      <c r="S36" s="485">
        <v>1</v>
      </c>
      <c r="T36" s="510">
        <v>0.5</v>
      </c>
      <c r="U36" s="486">
        <v>1</v>
      </c>
    </row>
    <row r="37" spans="1:21" ht="14.4" customHeight="1" x14ac:dyDescent="0.3">
      <c r="A37" s="481">
        <v>57</v>
      </c>
      <c r="B37" s="471" t="s">
        <v>304</v>
      </c>
      <c r="C37" s="471" t="s">
        <v>311</v>
      </c>
      <c r="D37" s="507" t="s">
        <v>304</v>
      </c>
      <c r="E37" s="508" t="s">
        <v>321</v>
      </c>
      <c r="F37" s="471" t="s">
        <v>305</v>
      </c>
      <c r="G37" s="471" t="s">
        <v>380</v>
      </c>
      <c r="H37" s="471" t="s">
        <v>307</v>
      </c>
      <c r="I37" s="471" t="s">
        <v>389</v>
      </c>
      <c r="J37" s="471" t="s">
        <v>382</v>
      </c>
      <c r="K37" s="471"/>
      <c r="L37" s="509">
        <v>0</v>
      </c>
      <c r="M37" s="509">
        <v>0</v>
      </c>
      <c r="N37" s="471">
        <v>698</v>
      </c>
      <c r="O37" s="510">
        <v>14.5</v>
      </c>
      <c r="P37" s="509">
        <v>0</v>
      </c>
      <c r="Q37" s="485"/>
      <c r="R37" s="471">
        <v>664</v>
      </c>
      <c r="S37" s="485">
        <v>0.95128939828080228</v>
      </c>
      <c r="T37" s="510">
        <v>12</v>
      </c>
      <c r="U37" s="486">
        <v>0.82758620689655171</v>
      </c>
    </row>
    <row r="38" spans="1:21" ht="14.4" customHeight="1" x14ac:dyDescent="0.3">
      <c r="A38" s="481">
        <v>57</v>
      </c>
      <c r="B38" s="471" t="s">
        <v>304</v>
      </c>
      <c r="C38" s="471" t="s">
        <v>311</v>
      </c>
      <c r="D38" s="507" t="s">
        <v>304</v>
      </c>
      <c r="E38" s="508" t="s">
        <v>321</v>
      </c>
      <c r="F38" s="471" t="s">
        <v>305</v>
      </c>
      <c r="G38" s="471" t="s">
        <v>390</v>
      </c>
      <c r="H38" s="471" t="s">
        <v>307</v>
      </c>
      <c r="I38" s="471" t="s">
        <v>391</v>
      </c>
      <c r="J38" s="471" t="s">
        <v>392</v>
      </c>
      <c r="K38" s="471" t="s">
        <v>393</v>
      </c>
      <c r="L38" s="509">
        <v>733.55</v>
      </c>
      <c r="M38" s="509">
        <v>1467.1</v>
      </c>
      <c r="N38" s="471">
        <v>2</v>
      </c>
      <c r="O38" s="510">
        <v>1</v>
      </c>
      <c r="P38" s="509"/>
      <c r="Q38" s="485">
        <v>0</v>
      </c>
      <c r="R38" s="471"/>
      <c r="S38" s="485">
        <v>0</v>
      </c>
      <c r="T38" s="510"/>
      <c r="U38" s="486">
        <v>0</v>
      </c>
    </row>
    <row r="39" spans="1:21" ht="14.4" customHeight="1" x14ac:dyDescent="0.3">
      <c r="A39" s="481">
        <v>57</v>
      </c>
      <c r="B39" s="471" t="s">
        <v>304</v>
      </c>
      <c r="C39" s="471" t="s">
        <v>311</v>
      </c>
      <c r="D39" s="507" t="s">
        <v>304</v>
      </c>
      <c r="E39" s="508" t="s">
        <v>321</v>
      </c>
      <c r="F39" s="471" t="s">
        <v>305</v>
      </c>
      <c r="G39" s="471" t="s">
        <v>394</v>
      </c>
      <c r="H39" s="471" t="s">
        <v>447</v>
      </c>
      <c r="I39" s="471" t="s">
        <v>395</v>
      </c>
      <c r="J39" s="471" t="s">
        <v>396</v>
      </c>
      <c r="K39" s="471" t="s">
        <v>397</v>
      </c>
      <c r="L39" s="509">
        <v>0</v>
      </c>
      <c r="M39" s="509">
        <v>0</v>
      </c>
      <c r="N39" s="471">
        <v>1</v>
      </c>
      <c r="O39" s="510">
        <v>1</v>
      </c>
      <c r="P39" s="509"/>
      <c r="Q39" s="485"/>
      <c r="R39" s="471"/>
      <c r="S39" s="485">
        <v>0</v>
      </c>
      <c r="T39" s="510"/>
      <c r="U39" s="486">
        <v>0</v>
      </c>
    </row>
    <row r="40" spans="1:21" ht="14.4" customHeight="1" x14ac:dyDescent="0.3">
      <c r="A40" s="481">
        <v>57</v>
      </c>
      <c r="B40" s="471" t="s">
        <v>304</v>
      </c>
      <c r="C40" s="471" t="s">
        <v>311</v>
      </c>
      <c r="D40" s="507" t="s">
        <v>304</v>
      </c>
      <c r="E40" s="508" t="s">
        <v>321</v>
      </c>
      <c r="F40" s="471" t="s">
        <v>305</v>
      </c>
      <c r="G40" s="471" t="s">
        <v>398</v>
      </c>
      <c r="H40" s="471" t="s">
        <v>307</v>
      </c>
      <c r="I40" s="471" t="s">
        <v>399</v>
      </c>
      <c r="J40" s="471" t="s">
        <v>400</v>
      </c>
      <c r="K40" s="471" t="s">
        <v>401</v>
      </c>
      <c r="L40" s="509">
        <v>301.2</v>
      </c>
      <c r="M40" s="509">
        <v>602.4</v>
      </c>
      <c r="N40" s="471">
        <v>2</v>
      </c>
      <c r="O40" s="510">
        <v>0.5</v>
      </c>
      <c r="P40" s="509"/>
      <c r="Q40" s="485">
        <v>0</v>
      </c>
      <c r="R40" s="471"/>
      <c r="S40" s="485">
        <v>0</v>
      </c>
      <c r="T40" s="510"/>
      <c r="U40" s="486">
        <v>0</v>
      </c>
    </row>
    <row r="41" spans="1:21" ht="14.4" customHeight="1" x14ac:dyDescent="0.3">
      <c r="A41" s="481">
        <v>57</v>
      </c>
      <c r="B41" s="471" t="s">
        <v>304</v>
      </c>
      <c r="C41" s="471" t="s">
        <v>311</v>
      </c>
      <c r="D41" s="507" t="s">
        <v>304</v>
      </c>
      <c r="E41" s="508" t="s">
        <v>321</v>
      </c>
      <c r="F41" s="471" t="s">
        <v>305</v>
      </c>
      <c r="G41" s="471" t="s">
        <v>322</v>
      </c>
      <c r="H41" s="471" t="s">
        <v>447</v>
      </c>
      <c r="I41" s="471" t="s">
        <v>402</v>
      </c>
      <c r="J41" s="471" t="s">
        <v>403</v>
      </c>
      <c r="K41" s="471" t="s">
        <v>335</v>
      </c>
      <c r="L41" s="509">
        <v>32.6</v>
      </c>
      <c r="M41" s="509">
        <v>3129.6000000000004</v>
      </c>
      <c r="N41" s="471">
        <v>96</v>
      </c>
      <c r="O41" s="510">
        <v>1</v>
      </c>
      <c r="P41" s="509"/>
      <c r="Q41" s="485">
        <v>0</v>
      </c>
      <c r="R41" s="471"/>
      <c r="S41" s="485">
        <v>0</v>
      </c>
      <c r="T41" s="510"/>
      <c r="U41" s="486">
        <v>0</v>
      </c>
    </row>
    <row r="42" spans="1:21" ht="14.4" customHeight="1" x14ac:dyDescent="0.3">
      <c r="A42" s="481">
        <v>57</v>
      </c>
      <c r="B42" s="471" t="s">
        <v>304</v>
      </c>
      <c r="C42" s="471" t="s">
        <v>311</v>
      </c>
      <c r="D42" s="507" t="s">
        <v>304</v>
      </c>
      <c r="E42" s="508" t="s">
        <v>321</v>
      </c>
      <c r="F42" s="471" t="s">
        <v>305</v>
      </c>
      <c r="G42" s="471" t="s">
        <v>322</v>
      </c>
      <c r="H42" s="471" t="s">
        <v>447</v>
      </c>
      <c r="I42" s="471" t="s">
        <v>404</v>
      </c>
      <c r="J42" s="471" t="s">
        <v>405</v>
      </c>
      <c r="K42" s="471" t="s">
        <v>335</v>
      </c>
      <c r="L42" s="509">
        <v>32.380000000000003</v>
      </c>
      <c r="M42" s="509">
        <v>2266.6000000000004</v>
      </c>
      <c r="N42" s="471">
        <v>70</v>
      </c>
      <c r="O42" s="510">
        <v>1.5</v>
      </c>
      <c r="P42" s="509"/>
      <c r="Q42" s="485">
        <v>0</v>
      </c>
      <c r="R42" s="471"/>
      <c r="S42" s="485">
        <v>0</v>
      </c>
      <c r="T42" s="510"/>
      <c r="U42" s="486">
        <v>0</v>
      </c>
    </row>
    <row r="43" spans="1:21" ht="14.4" customHeight="1" x14ac:dyDescent="0.3">
      <c r="A43" s="481">
        <v>57</v>
      </c>
      <c r="B43" s="471" t="s">
        <v>304</v>
      </c>
      <c r="C43" s="471" t="s">
        <v>311</v>
      </c>
      <c r="D43" s="507" t="s">
        <v>304</v>
      </c>
      <c r="E43" s="508" t="s">
        <v>321</v>
      </c>
      <c r="F43" s="471" t="s">
        <v>305</v>
      </c>
      <c r="G43" s="471" t="s">
        <v>322</v>
      </c>
      <c r="H43" s="471" t="s">
        <v>447</v>
      </c>
      <c r="I43" s="471" t="s">
        <v>406</v>
      </c>
      <c r="J43" s="471" t="s">
        <v>407</v>
      </c>
      <c r="K43" s="471" t="s">
        <v>335</v>
      </c>
      <c r="L43" s="509">
        <v>32.380000000000003</v>
      </c>
      <c r="M43" s="509">
        <v>1554.2400000000002</v>
      </c>
      <c r="N43" s="471">
        <v>48</v>
      </c>
      <c r="O43" s="510">
        <v>1</v>
      </c>
      <c r="P43" s="509">
        <v>1554.2400000000002</v>
      </c>
      <c r="Q43" s="485">
        <v>1</v>
      </c>
      <c r="R43" s="471">
        <v>48</v>
      </c>
      <c r="S43" s="485">
        <v>1</v>
      </c>
      <c r="T43" s="510">
        <v>1</v>
      </c>
      <c r="U43" s="486">
        <v>1</v>
      </c>
    </row>
    <row r="44" spans="1:21" ht="14.4" customHeight="1" x14ac:dyDescent="0.3">
      <c r="A44" s="481">
        <v>57</v>
      </c>
      <c r="B44" s="471" t="s">
        <v>304</v>
      </c>
      <c r="C44" s="471" t="s">
        <v>311</v>
      </c>
      <c r="D44" s="507" t="s">
        <v>304</v>
      </c>
      <c r="E44" s="508" t="s">
        <v>321</v>
      </c>
      <c r="F44" s="471" t="s">
        <v>305</v>
      </c>
      <c r="G44" s="471" t="s">
        <v>322</v>
      </c>
      <c r="H44" s="471" t="s">
        <v>447</v>
      </c>
      <c r="I44" s="471" t="s">
        <v>378</v>
      </c>
      <c r="J44" s="471" t="s">
        <v>379</v>
      </c>
      <c r="K44" s="471" t="s">
        <v>335</v>
      </c>
      <c r="L44" s="509">
        <v>31.59</v>
      </c>
      <c r="M44" s="509">
        <v>3790.8</v>
      </c>
      <c r="N44" s="471">
        <v>120</v>
      </c>
      <c r="O44" s="510">
        <v>1</v>
      </c>
      <c r="P44" s="509"/>
      <c r="Q44" s="485">
        <v>0</v>
      </c>
      <c r="R44" s="471"/>
      <c r="S44" s="485">
        <v>0</v>
      </c>
      <c r="T44" s="510"/>
      <c r="U44" s="486">
        <v>0</v>
      </c>
    </row>
    <row r="45" spans="1:21" ht="14.4" customHeight="1" x14ac:dyDescent="0.3">
      <c r="A45" s="481">
        <v>57</v>
      </c>
      <c r="B45" s="471" t="s">
        <v>304</v>
      </c>
      <c r="C45" s="471" t="s">
        <v>311</v>
      </c>
      <c r="D45" s="507" t="s">
        <v>304</v>
      </c>
      <c r="E45" s="508" t="s">
        <v>321</v>
      </c>
      <c r="F45" s="471" t="s">
        <v>305</v>
      </c>
      <c r="G45" s="471" t="s">
        <v>322</v>
      </c>
      <c r="H45" s="471" t="s">
        <v>447</v>
      </c>
      <c r="I45" s="471" t="s">
        <v>330</v>
      </c>
      <c r="J45" s="471" t="s">
        <v>331</v>
      </c>
      <c r="K45" s="471" t="s">
        <v>332</v>
      </c>
      <c r="L45" s="509">
        <v>194.26</v>
      </c>
      <c r="M45" s="509">
        <v>177165.12</v>
      </c>
      <c r="N45" s="471">
        <v>912</v>
      </c>
      <c r="O45" s="510">
        <v>48.5</v>
      </c>
      <c r="P45" s="509">
        <v>88194.04</v>
      </c>
      <c r="Q45" s="485">
        <v>0.49780701754385964</v>
      </c>
      <c r="R45" s="471">
        <v>454</v>
      </c>
      <c r="S45" s="485">
        <v>0.49780701754385964</v>
      </c>
      <c r="T45" s="510">
        <v>23</v>
      </c>
      <c r="U45" s="486">
        <v>0.47422680412371132</v>
      </c>
    </row>
    <row r="46" spans="1:21" ht="14.4" customHeight="1" x14ac:dyDescent="0.3">
      <c r="A46" s="481">
        <v>57</v>
      </c>
      <c r="B46" s="471" t="s">
        <v>304</v>
      </c>
      <c r="C46" s="471" t="s">
        <v>311</v>
      </c>
      <c r="D46" s="507" t="s">
        <v>304</v>
      </c>
      <c r="E46" s="508" t="s">
        <v>321</v>
      </c>
      <c r="F46" s="471" t="s">
        <v>305</v>
      </c>
      <c r="G46" s="471" t="s">
        <v>322</v>
      </c>
      <c r="H46" s="471" t="s">
        <v>447</v>
      </c>
      <c r="I46" s="471" t="s">
        <v>336</v>
      </c>
      <c r="J46" s="471" t="s">
        <v>337</v>
      </c>
      <c r="K46" s="471" t="s">
        <v>335</v>
      </c>
      <c r="L46" s="509">
        <v>21.06</v>
      </c>
      <c r="M46" s="509">
        <v>631.79999999999995</v>
      </c>
      <c r="N46" s="471">
        <v>30</v>
      </c>
      <c r="O46" s="510">
        <v>0.5</v>
      </c>
      <c r="P46" s="509">
        <v>631.79999999999995</v>
      </c>
      <c r="Q46" s="485">
        <v>1</v>
      </c>
      <c r="R46" s="471">
        <v>30</v>
      </c>
      <c r="S46" s="485">
        <v>1</v>
      </c>
      <c r="T46" s="510">
        <v>0.5</v>
      </c>
      <c r="U46" s="486">
        <v>1</v>
      </c>
    </row>
    <row r="47" spans="1:21" ht="14.4" customHeight="1" x14ac:dyDescent="0.3">
      <c r="A47" s="481">
        <v>57</v>
      </c>
      <c r="B47" s="471" t="s">
        <v>304</v>
      </c>
      <c r="C47" s="471" t="s">
        <v>311</v>
      </c>
      <c r="D47" s="507" t="s">
        <v>304</v>
      </c>
      <c r="E47" s="508" t="s">
        <v>321</v>
      </c>
      <c r="F47" s="471" t="s">
        <v>305</v>
      </c>
      <c r="G47" s="471" t="s">
        <v>322</v>
      </c>
      <c r="H47" s="471" t="s">
        <v>447</v>
      </c>
      <c r="I47" s="471" t="s">
        <v>408</v>
      </c>
      <c r="J47" s="471" t="s">
        <v>409</v>
      </c>
      <c r="K47" s="471" t="s">
        <v>335</v>
      </c>
      <c r="L47" s="509">
        <v>26.33</v>
      </c>
      <c r="M47" s="509">
        <v>14481.499999999996</v>
      </c>
      <c r="N47" s="471">
        <v>550</v>
      </c>
      <c r="O47" s="510">
        <v>10.5</v>
      </c>
      <c r="P47" s="509">
        <v>12375.099999999997</v>
      </c>
      <c r="Q47" s="485">
        <v>0.8545454545454545</v>
      </c>
      <c r="R47" s="471">
        <v>470</v>
      </c>
      <c r="S47" s="485">
        <v>0.8545454545454545</v>
      </c>
      <c r="T47" s="510">
        <v>8.5</v>
      </c>
      <c r="U47" s="486">
        <v>0.80952380952380953</v>
      </c>
    </row>
    <row r="48" spans="1:21" ht="14.4" customHeight="1" x14ac:dyDescent="0.3">
      <c r="A48" s="481">
        <v>57</v>
      </c>
      <c r="B48" s="471" t="s">
        <v>304</v>
      </c>
      <c r="C48" s="471" t="s">
        <v>311</v>
      </c>
      <c r="D48" s="507" t="s">
        <v>304</v>
      </c>
      <c r="E48" s="508" t="s">
        <v>321</v>
      </c>
      <c r="F48" s="471" t="s">
        <v>305</v>
      </c>
      <c r="G48" s="471" t="s">
        <v>322</v>
      </c>
      <c r="H48" s="471" t="s">
        <v>447</v>
      </c>
      <c r="I48" s="471" t="s">
        <v>338</v>
      </c>
      <c r="J48" s="471" t="s">
        <v>339</v>
      </c>
      <c r="K48" s="471" t="s">
        <v>335</v>
      </c>
      <c r="L48" s="509">
        <v>26.33</v>
      </c>
      <c r="M48" s="509">
        <v>3686.2</v>
      </c>
      <c r="N48" s="471">
        <v>140</v>
      </c>
      <c r="O48" s="510">
        <v>2.5</v>
      </c>
      <c r="P48" s="509">
        <v>1843.1</v>
      </c>
      <c r="Q48" s="485">
        <v>0.5</v>
      </c>
      <c r="R48" s="471">
        <v>70</v>
      </c>
      <c r="S48" s="485">
        <v>0.5</v>
      </c>
      <c r="T48" s="510">
        <v>1.5</v>
      </c>
      <c r="U48" s="486">
        <v>0.6</v>
      </c>
    </row>
    <row r="49" spans="1:21" ht="14.4" customHeight="1" x14ac:dyDescent="0.3">
      <c r="A49" s="481">
        <v>57</v>
      </c>
      <c r="B49" s="471" t="s">
        <v>304</v>
      </c>
      <c r="C49" s="471" t="s">
        <v>311</v>
      </c>
      <c r="D49" s="507" t="s">
        <v>304</v>
      </c>
      <c r="E49" s="508" t="s">
        <v>321</v>
      </c>
      <c r="F49" s="471" t="s">
        <v>305</v>
      </c>
      <c r="G49" s="471" t="s">
        <v>322</v>
      </c>
      <c r="H49" s="471" t="s">
        <v>447</v>
      </c>
      <c r="I49" s="471" t="s">
        <v>410</v>
      </c>
      <c r="J49" s="471" t="s">
        <v>411</v>
      </c>
      <c r="K49" s="471" t="s">
        <v>335</v>
      </c>
      <c r="L49" s="509">
        <v>26.33</v>
      </c>
      <c r="M49" s="509">
        <v>2632.9999999999995</v>
      </c>
      <c r="N49" s="471">
        <v>100</v>
      </c>
      <c r="O49" s="510">
        <v>1.5</v>
      </c>
      <c r="P49" s="509">
        <v>2632.9999999999995</v>
      </c>
      <c r="Q49" s="485">
        <v>1</v>
      </c>
      <c r="R49" s="471">
        <v>100</v>
      </c>
      <c r="S49" s="485">
        <v>1</v>
      </c>
      <c r="T49" s="510">
        <v>1.5</v>
      </c>
      <c r="U49" s="486">
        <v>1</v>
      </c>
    </row>
    <row r="50" spans="1:21" ht="14.4" customHeight="1" x14ac:dyDescent="0.3">
      <c r="A50" s="481">
        <v>57</v>
      </c>
      <c r="B50" s="471" t="s">
        <v>304</v>
      </c>
      <c r="C50" s="471" t="s">
        <v>311</v>
      </c>
      <c r="D50" s="507" t="s">
        <v>304</v>
      </c>
      <c r="E50" s="508" t="s">
        <v>321</v>
      </c>
      <c r="F50" s="471" t="s">
        <v>305</v>
      </c>
      <c r="G50" s="471" t="s">
        <v>322</v>
      </c>
      <c r="H50" s="471" t="s">
        <v>447</v>
      </c>
      <c r="I50" s="471" t="s">
        <v>342</v>
      </c>
      <c r="J50" s="471" t="s">
        <v>343</v>
      </c>
      <c r="K50" s="471" t="s">
        <v>335</v>
      </c>
      <c r="L50" s="509">
        <v>31.59</v>
      </c>
      <c r="M50" s="509">
        <v>315.89999999999998</v>
      </c>
      <c r="N50" s="471">
        <v>10</v>
      </c>
      <c r="O50" s="510">
        <v>0.5</v>
      </c>
      <c r="P50" s="509"/>
      <c r="Q50" s="485">
        <v>0</v>
      </c>
      <c r="R50" s="471"/>
      <c r="S50" s="485">
        <v>0</v>
      </c>
      <c r="T50" s="510"/>
      <c r="U50" s="486">
        <v>0</v>
      </c>
    </row>
    <row r="51" spans="1:21" ht="14.4" customHeight="1" x14ac:dyDescent="0.3">
      <c r="A51" s="481">
        <v>57</v>
      </c>
      <c r="B51" s="471" t="s">
        <v>304</v>
      </c>
      <c r="C51" s="471" t="s">
        <v>311</v>
      </c>
      <c r="D51" s="507" t="s">
        <v>304</v>
      </c>
      <c r="E51" s="508" t="s">
        <v>321</v>
      </c>
      <c r="F51" s="471" t="s">
        <v>305</v>
      </c>
      <c r="G51" s="471" t="s">
        <v>322</v>
      </c>
      <c r="H51" s="471" t="s">
        <v>447</v>
      </c>
      <c r="I51" s="471" t="s">
        <v>412</v>
      </c>
      <c r="J51" s="471" t="s">
        <v>413</v>
      </c>
      <c r="K51" s="471" t="s">
        <v>335</v>
      </c>
      <c r="L51" s="509">
        <v>32.99</v>
      </c>
      <c r="M51" s="509">
        <v>1979.4</v>
      </c>
      <c r="N51" s="471">
        <v>60</v>
      </c>
      <c r="O51" s="510">
        <v>0.5</v>
      </c>
      <c r="P51" s="509">
        <v>1979.4</v>
      </c>
      <c r="Q51" s="485">
        <v>1</v>
      </c>
      <c r="R51" s="471">
        <v>60</v>
      </c>
      <c r="S51" s="485">
        <v>1</v>
      </c>
      <c r="T51" s="510">
        <v>0.5</v>
      </c>
      <c r="U51" s="486">
        <v>1</v>
      </c>
    </row>
    <row r="52" spans="1:21" ht="14.4" customHeight="1" x14ac:dyDescent="0.3">
      <c r="A52" s="481">
        <v>57</v>
      </c>
      <c r="B52" s="471" t="s">
        <v>304</v>
      </c>
      <c r="C52" s="471" t="s">
        <v>311</v>
      </c>
      <c r="D52" s="507" t="s">
        <v>304</v>
      </c>
      <c r="E52" s="508" t="s">
        <v>321</v>
      </c>
      <c r="F52" s="471" t="s">
        <v>305</v>
      </c>
      <c r="G52" s="471" t="s">
        <v>322</v>
      </c>
      <c r="H52" s="471" t="s">
        <v>447</v>
      </c>
      <c r="I52" s="471" t="s">
        <v>414</v>
      </c>
      <c r="J52" s="471" t="s">
        <v>415</v>
      </c>
      <c r="K52" s="471" t="s">
        <v>335</v>
      </c>
      <c r="L52" s="509">
        <v>32.99</v>
      </c>
      <c r="M52" s="509">
        <v>989.7</v>
      </c>
      <c r="N52" s="471">
        <v>30</v>
      </c>
      <c r="O52" s="510">
        <v>0.5</v>
      </c>
      <c r="P52" s="509">
        <v>989.7</v>
      </c>
      <c r="Q52" s="485">
        <v>1</v>
      </c>
      <c r="R52" s="471">
        <v>30</v>
      </c>
      <c r="S52" s="485">
        <v>1</v>
      </c>
      <c r="T52" s="510">
        <v>0.5</v>
      </c>
      <c r="U52" s="486">
        <v>1</v>
      </c>
    </row>
    <row r="53" spans="1:21" ht="14.4" customHeight="1" x14ac:dyDescent="0.3">
      <c r="A53" s="481">
        <v>57</v>
      </c>
      <c r="B53" s="471" t="s">
        <v>304</v>
      </c>
      <c r="C53" s="471" t="s">
        <v>311</v>
      </c>
      <c r="D53" s="507" t="s">
        <v>304</v>
      </c>
      <c r="E53" s="508" t="s">
        <v>321</v>
      </c>
      <c r="F53" s="471" t="s">
        <v>305</v>
      </c>
      <c r="G53" s="471" t="s">
        <v>322</v>
      </c>
      <c r="H53" s="471" t="s">
        <v>447</v>
      </c>
      <c r="I53" s="471" t="s">
        <v>323</v>
      </c>
      <c r="J53" s="471" t="s">
        <v>324</v>
      </c>
      <c r="K53" s="471" t="s">
        <v>325</v>
      </c>
      <c r="L53" s="509">
        <v>105.31</v>
      </c>
      <c r="M53" s="509">
        <v>25274.400000000001</v>
      </c>
      <c r="N53" s="471">
        <v>240</v>
      </c>
      <c r="O53" s="510">
        <v>3.5</v>
      </c>
      <c r="P53" s="509">
        <v>25274.400000000001</v>
      </c>
      <c r="Q53" s="485">
        <v>1</v>
      </c>
      <c r="R53" s="471">
        <v>240</v>
      </c>
      <c r="S53" s="485">
        <v>1</v>
      </c>
      <c r="T53" s="510">
        <v>3.5</v>
      </c>
      <c r="U53" s="486">
        <v>1</v>
      </c>
    </row>
    <row r="54" spans="1:21" ht="14.4" customHeight="1" x14ac:dyDescent="0.3">
      <c r="A54" s="481">
        <v>57</v>
      </c>
      <c r="B54" s="471" t="s">
        <v>304</v>
      </c>
      <c r="C54" s="471" t="s">
        <v>311</v>
      </c>
      <c r="D54" s="507" t="s">
        <v>304</v>
      </c>
      <c r="E54" s="508" t="s">
        <v>321</v>
      </c>
      <c r="F54" s="471" t="s">
        <v>305</v>
      </c>
      <c r="G54" s="471" t="s">
        <v>322</v>
      </c>
      <c r="H54" s="471" t="s">
        <v>447</v>
      </c>
      <c r="I54" s="471" t="s">
        <v>416</v>
      </c>
      <c r="J54" s="471" t="s">
        <v>324</v>
      </c>
      <c r="K54" s="471" t="s">
        <v>417</v>
      </c>
      <c r="L54" s="509">
        <v>52.66</v>
      </c>
      <c r="M54" s="509">
        <v>8214.9599999999991</v>
      </c>
      <c r="N54" s="471">
        <v>156</v>
      </c>
      <c r="O54" s="510">
        <v>2</v>
      </c>
      <c r="P54" s="509">
        <v>1895.7599999999998</v>
      </c>
      <c r="Q54" s="485">
        <v>0.23076923076923075</v>
      </c>
      <c r="R54" s="471">
        <v>36</v>
      </c>
      <c r="S54" s="485">
        <v>0.23076923076923078</v>
      </c>
      <c r="T54" s="510">
        <v>1</v>
      </c>
      <c r="U54" s="486">
        <v>0.5</v>
      </c>
    </row>
    <row r="55" spans="1:21" ht="14.4" customHeight="1" x14ac:dyDescent="0.3">
      <c r="A55" s="481">
        <v>57</v>
      </c>
      <c r="B55" s="471" t="s">
        <v>304</v>
      </c>
      <c r="C55" s="471" t="s">
        <v>311</v>
      </c>
      <c r="D55" s="507" t="s">
        <v>304</v>
      </c>
      <c r="E55" s="508" t="s">
        <v>321</v>
      </c>
      <c r="F55" s="471" t="s">
        <v>305</v>
      </c>
      <c r="G55" s="471" t="s">
        <v>322</v>
      </c>
      <c r="H55" s="471" t="s">
        <v>447</v>
      </c>
      <c r="I55" s="471" t="s">
        <v>344</v>
      </c>
      <c r="J55" s="471" t="s">
        <v>345</v>
      </c>
      <c r="K55" s="471" t="s">
        <v>325</v>
      </c>
      <c r="L55" s="509">
        <v>108.47</v>
      </c>
      <c r="M55" s="509">
        <v>58573.8</v>
      </c>
      <c r="N55" s="471">
        <v>540</v>
      </c>
      <c r="O55" s="510">
        <v>4.5</v>
      </c>
      <c r="P55" s="509">
        <v>58573.8</v>
      </c>
      <c r="Q55" s="485">
        <v>1</v>
      </c>
      <c r="R55" s="471">
        <v>540</v>
      </c>
      <c r="S55" s="485">
        <v>1</v>
      </c>
      <c r="T55" s="510">
        <v>4.5</v>
      </c>
      <c r="U55" s="486">
        <v>1</v>
      </c>
    </row>
    <row r="56" spans="1:21" ht="14.4" customHeight="1" x14ac:dyDescent="0.3">
      <c r="A56" s="481">
        <v>57</v>
      </c>
      <c r="B56" s="471" t="s">
        <v>304</v>
      </c>
      <c r="C56" s="471" t="s">
        <v>311</v>
      </c>
      <c r="D56" s="507" t="s">
        <v>304</v>
      </c>
      <c r="E56" s="508" t="s">
        <v>321</v>
      </c>
      <c r="F56" s="471" t="s">
        <v>305</v>
      </c>
      <c r="G56" s="471" t="s">
        <v>322</v>
      </c>
      <c r="H56" s="471" t="s">
        <v>447</v>
      </c>
      <c r="I56" s="471" t="s">
        <v>418</v>
      </c>
      <c r="J56" s="471" t="s">
        <v>361</v>
      </c>
      <c r="K56" s="471" t="s">
        <v>325</v>
      </c>
      <c r="L56" s="509">
        <v>162.28</v>
      </c>
      <c r="M56" s="509">
        <v>29210.400000000001</v>
      </c>
      <c r="N56" s="471">
        <v>180</v>
      </c>
      <c r="O56" s="510">
        <v>2</v>
      </c>
      <c r="P56" s="509">
        <v>29210.400000000001</v>
      </c>
      <c r="Q56" s="485">
        <v>1</v>
      </c>
      <c r="R56" s="471">
        <v>180</v>
      </c>
      <c r="S56" s="485">
        <v>1</v>
      </c>
      <c r="T56" s="510">
        <v>2</v>
      </c>
      <c r="U56" s="486">
        <v>1</v>
      </c>
    </row>
    <row r="57" spans="1:21" ht="14.4" customHeight="1" x14ac:dyDescent="0.3">
      <c r="A57" s="481">
        <v>57</v>
      </c>
      <c r="B57" s="471" t="s">
        <v>304</v>
      </c>
      <c r="C57" s="471" t="s">
        <v>311</v>
      </c>
      <c r="D57" s="507" t="s">
        <v>304</v>
      </c>
      <c r="E57" s="508" t="s">
        <v>321</v>
      </c>
      <c r="F57" s="471" t="s">
        <v>305</v>
      </c>
      <c r="G57" s="471" t="s">
        <v>322</v>
      </c>
      <c r="H57" s="471" t="s">
        <v>447</v>
      </c>
      <c r="I57" s="471" t="s">
        <v>419</v>
      </c>
      <c r="J57" s="471" t="s">
        <v>420</v>
      </c>
      <c r="K57" s="471" t="s">
        <v>335</v>
      </c>
      <c r="L57" s="509">
        <v>21.91</v>
      </c>
      <c r="M57" s="509">
        <v>657.3</v>
      </c>
      <c r="N57" s="471">
        <v>30</v>
      </c>
      <c r="O57" s="510">
        <v>0.5</v>
      </c>
      <c r="P57" s="509">
        <v>657.3</v>
      </c>
      <c r="Q57" s="485">
        <v>1</v>
      </c>
      <c r="R57" s="471">
        <v>30</v>
      </c>
      <c r="S57" s="485">
        <v>1</v>
      </c>
      <c r="T57" s="510">
        <v>0.5</v>
      </c>
      <c r="U57" s="486">
        <v>1</v>
      </c>
    </row>
    <row r="58" spans="1:21" ht="14.4" customHeight="1" x14ac:dyDescent="0.3">
      <c r="A58" s="481">
        <v>57</v>
      </c>
      <c r="B58" s="471" t="s">
        <v>304</v>
      </c>
      <c r="C58" s="471" t="s">
        <v>311</v>
      </c>
      <c r="D58" s="507" t="s">
        <v>304</v>
      </c>
      <c r="E58" s="508" t="s">
        <v>321</v>
      </c>
      <c r="F58" s="471" t="s">
        <v>305</v>
      </c>
      <c r="G58" s="471" t="s">
        <v>322</v>
      </c>
      <c r="H58" s="471" t="s">
        <v>447</v>
      </c>
      <c r="I58" s="471" t="s">
        <v>346</v>
      </c>
      <c r="J58" s="471" t="s">
        <v>347</v>
      </c>
      <c r="K58" s="471" t="s">
        <v>348</v>
      </c>
      <c r="L58" s="509">
        <v>127.34</v>
      </c>
      <c r="M58" s="509">
        <v>5093.6000000000004</v>
      </c>
      <c r="N58" s="471">
        <v>40</v>
      </c>
      <c r="O58" s="510">
        <v>0.5</v>
      </c>
      <c r="P58" s="509">
        <v>5093.6000000000004</v>
      </c>
      <c r="Q58" s="485">
        <v>1</v>
      </c>
      <c r="R58" s="471">
        <v>40</v>
      </c>
      <c r="S58" s="485">
        <v>1</v>
      </c>
      <c r="T58" s="510">
        <v>0.5</v>
      </c>
      <c r="U58" s="486">
        <v>1</v>
      </c>
    </row>
    <row r="59" spans="1:21" ht="14.4" customHeight="1" x14ac:dyDescent="0.3">
      <c r="A59" s="481">
        <v>57</v>
      </c>
      <c r="B59" s="471" t="s">
        <v>304</v>
      </c>
      <c r="C59" s="471" t="s">
        <v>311</v>
      </c>
      <c r="D59" s="507" t="s">
        <v>304</v>
      </c>
      <c r="E59" s="508" t="s">
        <v>321</v>
      </c>
      <c r="F59" s="471" t="s">
        <v>305</v>
      </c>
      <c r="G59" s="471" t="s">
        <v>322</v>
      </c>
      <c r="H59" s="471" t="s">
        <v>447</v>
      </c>
      <c r="I59" s="471" t="s">
        <v>349</v>
      </c>
      <c r="J59" s="471" t="s">
        <v>350</v>
      </c>
      <c r="K59" s="471" t="s">
        <v>348</v>
      </c>
      <c r="L59" s="509">
        <v>127.34</v>
      </c>
      <c r="M59" s="509">
        <v>1273.4000000000001</v>
      </c>
      <c r="N59" s="471">
        <v>10</v>
      </c>
      <c r="O59" s="510">
        <v>0.5</v>
      </c>
      <c r="P59" s="509">
        <v>1273.4000000000001</v>
      </c>
      <c r="Q59" s="485">
        <v>1</v>
      </c>
      <c r="R59" s="471">
        <v>10</v>
      </c>
      <c r="S59" s="485">
        <v>1</v>
      </c>
      <c r="T59" s="510">
        <v>0.5</v>
      </c>
      <c r="U59" s="486">
        <v>1</v>
      </c>
    </row>
    <row r="60" spans="1:21" ht="14.4" customHeight="1" x14ac:dyDescent="0.3">
      <c r="A60" s="481">
        <v>57</v>
      </c>
      <c r="B60" s="471" t="s">
        <v>304</v>
      </c>
      <c r="C60" s="471" t="s">
        <v>311</v>
      </c>
      <c r="D60" s="507" t="s">
        <v>304</v>
      </c>
      <c r="E60" s="508" t="s">
        <v>321</v>
      </c>
      <c r="F60" s="471" t="s">
        <v>305</v>
      </c>
      <c r="G60" s="471" t="s">
        <v>322</v>
      </c>
      <c r="H60" s="471" t="s">
        <v>447</v>
      </c>
      <c r="I60" s="471" t="s">
        <v>358</v>
      </c>
      <c r="J60" s="471" t="s">
        <v>359</v>
      </c>
      <c r="K60" s="471" t="s">
        <v>348</v>
      </c>
      <c r="L60" s="509">
        <v>127.34</v>
      </c>
      <c r="M60" s="509">
        <v>1273.4000000000001</v>
      </c>
      <c r="N60" s="471">
        <v>10</v>
      </c>
      <c r="O60" s="510">
        <v>0.5</v>
      </c>
      <c r="P60" s="509">
        <v>1273.4000000000001</v>
      </c>
      <c r="Q60" s="485">
        <v>1</v>
      </c>
      <c r="R60" s="471">
        <v>10</v>
      </c>
      <c r="S60" s="485">
        <v>1</v>
      </c>
      <c r="T60" s="510">
        <v>0.5</v>
      </c>
      <c r="U60" s="486">
        <v>1</v>
      </c>
    </row>
    <row r="61" spans="1:21" ht="14.4" customHeight="1" x14ac:dyDescent="0.3">
      <c r="A61" s="481">
        <v>57</v>
      </c>
      <c r="B61" s="471" t="s">
        <v>304</v>
      </c>
      <c r="C61" s="471" t="s">
        <v>311</v>
      </c>
      <c r="D61" s="507" t="s">
        <v>304</v>
      </c>
      <c r="E61" s="508" t="s">
        <v>321</v>
      </c>
      <c r="F61" s="471" t="s">
        <v>305</v>
      </c>
      <c r="G61" s="471" t="s">
        <v>322</v>
      </c>
      <c r="H61" s="471" t="s">
        <v>447</v>
      </c>
      <c r="I61" s="471" t="s">
        <v>360</v>
      </c>
      <c r="J61" s="471" t="s">
        <v>361</v>
      </c>
      <c r="K61" s="471" t="s">
        <v>362</v>
      </c>
      <c r="L61" s="509">
        <v>242.63</v>
      </c>
      <c r="M61" s="509">
        <v>302802.24000000005</v>
      </c>
      <c r="N61" s="471">
        <v>1248</v>
      </c>
      <c r="O61" s="510">
        <v>16</v>
      </c>
      <c r="P61" s="509">
        <v>254761.50000000003</v>
      </c>
      <c r="Q61" s="485">
        <v>0.84134615384615385</v>
      </c>
      <c r="R61" s="471">
        <v>1050</v>
      </c>
      <c r="S61" s="485">
        <v>0.84134615384615385</v>
      </c>
      <c r="T61" s="510">
        <v>13</v>
      </c>
      <c r="U61" s="486">
        <v>0.8125</v>
      </c>
    </row>
    <row r="62" spans="1:21" ht="14.4" customHeight="1" x14ac:dyDescent="0.3">
      <c r="A62" s="481">
        <v>57</v>
      </c>
      <c r="B62" s="471" t="s">
        <v>304</v>
      </c>
      <c r="C62" s="471" t="s">
        <v>311</v>
      </c>
      <c r="D62" s="507" t="s">
        <v>304</v>
      </c>
      <c r="E62" s="508" t="s">
        <v>321</v>
      </c>
      <c r="F62" s="471" t="s">
        <v>305</v>
      </c>
      <c r="G62" s="471" t="s">
        <v>322</v>
      </c>
      <c r="H62" s="471" t="s">
        <v>447</v>
      </c>
      <c r="I62" s="471" t="s">
        <v>363</v>
      </c>
      <c r="J62" s="471" t="s">
        <v>364</v>
      </c>
      <c r="K62" s="471" t="s">
        <v>325</v>
      </c>
      <c r="L62" s="509">
        <v>78.989999999999995</v>
      </c>
      <c r="M62" s="509">
        <v>4739.3999999999996</v>
      </c>
      <c r="N62" s="471">
        <v>60</v>
      </c>
      <c r="O62" s="510">
        <v>1</v>
      </c>
      <c r="P62" s="509"/>
      <c r="Q62" s="485">
        <v>0</v>
      </c>
      <c r="R62" s="471"/>
      <c r="S62" s="485">
        <v>0</v>
      </c>
      <c r="T62" s="510"/>
      <c r="U62" s="486">
        <v>0</v>
      </c>
    </row>
    <row r="63" spans="1:21" ht="14.4" customHeight="1" x14ac:dyDescent="0.3">
      <c r="A63" s="481">
        <v>57</v>
      </c>
      <c r="B63" s="471" t="s">
        <v>304</v>
      </c>
      <c r="C63" s="471" t="s">
        <v>311</v>
      </c>
      <c r="D63" s="507" t="s">
        <v>304</v>
      </c>
      <c r="E63" s="508" t="s">
        <v>321</v>
      </c>
      <c r="F63" s="471" t="s">
        <v>305</v>
      </c>
      <c r="G63" s="471" t="s">
        <v>322</v>
      </c>
      <c r="H63" s="471" t="s">
        <v>447</v>
      </c>
      <c r="I63" s="471" t="s">
        <v>421</v>
      </c>
      <c r="J63" s="471" t="s">
        <v>422</v>
      </c>
      <c r="K63" s="471" t="s">
        <v>377</v>
      </c>
      <c r="L63" s="509">
        <v>129.51</v>
      </c>
      <c r="M63" s="509">
        <v>3237.75</v>
      </c>
      <c r="N63" s="471">
        <v>25</v>
      </c>
      <c r="O63" s="510">
        <v>1</v>
      </c>
      <c r="P63" s="509"/>
      <c r="Q63" s="485">
        <v>0</v>
      </c>
      <c r="R63" s="471"/>
      <c r="S63" s="485">
        <v>0</v>
      </c>
      <c r="T63" s="510"/>
      <c r="U63" s="486">
        <v>0</v>
      </c>
    </row>
    <row r="64" spans="1:21" ht="14.4" customHeight="1" x14ac:dyDescent="0.3">
      <c r="A64" s="481">
        <v>57</v>
      </c>
      <c r="B64" s="471" t="s">
        <v>304</v>
      </c>
      <c r="C64" s="471" t="s">
        <v>311</v>
      </c>
      <c r="D64" s="507" t="s">
        <v>304</v>
      </c>
      <c r="E64" s="508" t="s">
        <v>321</v>
      </c>
      <c r="F64" s="471" t="s">
        <v>305</v>
      </c>
      <c r="G64" s="471" t="s">
        <v>322</v>
      </c>
      <c r="H64" s="471" t="s">
        <v>447</v>
      </c>
      <c r="I64" s="471" t="s">
        <v>423</v>
      </c>
      <c r="J64" s="471" t="s">
        <v>424</v>
      </c>
      <c r="K64" s="471" t="s">
        <v>377</v>
      </c>
      <c r="L64" s="509">
        <v>129.51</v>
      </c>
      <c r="M64" s="509">
        <v>3885.2999999999997</v>
      </c>
      <c r="N64" s="471">
        <v>30</v>
      </c>
      <c r="O64" s="510">
        <v>1</v>
      </c>
      <c r="P64" s="509"/>
      <c r="Q64" s="485">
        <v>0</v>
      </c>
      <c r="R64" s="471"/>
      <c r="S64" s="485">
        <v>0</v>
      </c>
      <c r="T64" s="510"/>
      <c r="U64" s="486">
        <v>0</v>
      </c>
    </row>
    <row r="65" spans="1:21" ht="14.4" customHeight="1" x14ac:dyDescent="0.3">
      <c r="A65" s="481">
        <v>57</v>
      </c>
      <c r="B65" s="471" t="s">
        <v>304</v>
      </c>
      <c r="C65" s="471" t="s">
        <v>311</v>
      </c>
      <c r="D65" s="507" t="s">
        <v>304</v>
      </c>
      <c r="E65" s="508" t="s">
        <v>321</v>
      </c>
      <c r="F65" s="471" t="s">
        <v>305</v>
      </c>
      <c r="G65" s="471" t="s">
        <v>322</v>
      </c>
      <c r="H65" s="471" t="s">
        <v>447</v>
      </c>
      <c r="I65" s="471" t="s">
        <v>374</v>
      </c>
      <c r="J65" s="471" t="s">
        <v>375</v>
      </c>
      <c r="K65" s="471" t="s">
        <v>325</v>
      </c>
      <c r="L65" s="509">
        <v>100</v>
      </c>
      <c r="M65" s="509">
        <v>9000</v>
      </c>
      <c r="N65" s="471">
        <v>90</v>
      </c>
      <c r="O65" s="510">
        <v>1</v>
      </c>
      <c r="P65" s="509"/>
      <c r="Q65" s="485">
        <v>0</v>
      </c>
      <c r="R65" s="471"/>
      <c r="S65" s="485">
        <v>0</v>
      </c>
      <c r="T65" s="510"/>
      <c r="U65" s="486">
        <v>0</v>
      </c>
    </row>
    <row r="66" spans="1:21" ht="14.4" customHeight="1" x14ac:dyDescent="0.3">
      <c r="A66" s="481">
        <v>57</v>
      </c>
      <c r="B66" s="471" t="s">
        <v>304</v>
      </c>
      <c r="C66" s="471" t="s">
        <v>311</v>
      </c>
      <c r="D66" s="507" t="s">
        <v>304</v>
      </c>
      <c r="E66" s="508" t="s">
        <v>321</v>
      </c>
      <c r="F66" s="471" t="s">
        <v>305</v>
      </c>
      <c r="G66" s="471" t="s">
        <v>322</v>
      </c>
      <c r="H66" s="471" t="s">
        <v>447</v>
      </c>
      <c r="I66" s="471" t="s">
        <v>425</v>
      </c>
      <c r="J66" s="471" t="s">
        <v>426</v>
      </c>
      <c r="K66" s="471" t="s">
        <v>335</v>
      </c>
      <c r="L66" s="509">
        <v>33.090000000000003</v>
      </c>
      <c r="M66" s="509">
        <v>992.7</v>
      </c>
      <c r="N66" s="471">
        <v>30</v>
      </c>
      <c r="O66" s="510">
        <v>1</v>
      </c>
      <c r="P66" s="509">
        <v>992.7</v>
      </c>
      <c r="Q66" s="485">
        <v>1</v>
      </c>
      <c r="R66" s="471">
        <v>30</v>
      </c>
      <c r="S66" s="485">
        <v>1</v>
      </c>
      <c r="T66" s="510">
        <v>1</v>
      </c>
      <c r="U66" s="486">
        <v>1</v>
      </c>
    </row>
    <row r="67" spans="1:21" ht="14.4" customHeight="1" x14ac:dyDescent="0.3">
      <c r="A67" s="481">
        <v>57</v>
      </c>
      <c r="B67" s="471" t="s">
        <v>304</v>
      </c>
      <c r="C67" s="471" t="s">
        <v>311</v>
      </c>
      <c r="D67" s="507" t="s">
        <v>304</v>
      </c>
      <c r="E67" s="508" t="s">
        <v>321</v>
      </c>
      <c r="F67" s="471" t="s">
        <v>305</v>
      </c>
      <c r="G67" s="471" t="s">
        <v>322</v>
      </c>
      <c r="H67" s="471" t="s">
        <v>447</v>
      </c>
      <c r="I67" s="471" t="s">
        <v>427</v>
      </c>
      <c r="J67" s="471" t="s">
        <v>420</v>
      </c>
      <c r="K67" s="471" t="s">
        <v>377</v>
      </c>
      <c r="L67" s="509">
        <v>87.6</v>
      </c>
      <c r="M67" s="509">
        <v>1314</v>
      </c>
      <c r="N67" s="471">
        <v>15</v>
      </c>
      <c r="O67" s="510">
        <v>1</v>
      </c>
      <c r="P67" s="509">
        <v>1314</v>
      </c>
      <c r="Q67" s="485">
        <v>1</v>
      </c>
      <c r="R67" s="471">
        <v>15</v>
      </c>
      <c r="S67" s="485">
        <v>1</v>
      </c>
      <c r="T67" s="510">
        <v>1</v>
      </c>
      <c r="U67" s="486">
        <v>1</v>
      </c>
    </row>
    <row r="68" spans="1:21" ht="14.4" customHeight="1" x14ac:dyDescent="0.3">
      <c r="A68" s="481">
        <v>57</v>
      </c>
      <c r="B68" s="471" t="s">
        <v>304</v>
      </c>
      <c r="C68" s="471" t="s">
        <v>311</v>
      </c>
      <c r="D68" s="507" t="s">
        <v>304</v>
      </c>
      <c r="E68" s="508" t="s">
        <v>321</v>
      </c>
      <c r="F68" s="471" t="s">
        <v>305</v>
      </c>
      <c r="G68" s="471" t="s">
        <v>428</v>
      </c>
      <c r="H68" s="471" t="s">
        <v>307</v>
      </c>
      <c r="I68" s="471" t="s">
        <v>429</v>
      </c>
      <c r="J68" s="471" t="s">
        <v>430</v>
      </c>
      <c r="K68" s="471" t="s">
        <v>431</v>
      </c>
      <c r="L68" s="509">
        <v>334.66</v>
      </c>
      <c r="M68" s="509">
        <v>334.66</v>
      </c>
      <c r="N68" s="471">
        <v>1</v>
      </c>
      <c r="O68" s="510">
        <v>1</v>
      </c>
      <c r="P68" s="509">
        <v>334.66</v>
      </c>
      <c r="Q68" s="485">
        <v>1</v>
      </c>
      <c r="R68" s="471">
        <v>1</v>
      </c>
      <c r="S68" s="485">
        <v>1</v>
      </c>
      <c r="T68" s="510">
        <v>1</v>
      </c>
      <c r="U68" s="486">
        <v>1</v>
      </c>
    </row>
    <row r="69" spans="1:21" ht="14.4" customHeight="1" x14ac:dyDescent="0.3">
      <c r="A69" s="481">
        <v>57</v>
      </c>
      <c r="B69" s="471" t="s">
        <v>304</v>
      </c>
      <c r="C69" s="471" t="s">
        <v>311</v>
      </c>
      <c r="D69" s="507" t="s">
        <v>304</v>
      </c>
      <c r="E69" s="508" t="s">
        <v>321</v>
      </c>
      <c r="F69" s="471" t="s">
        <v>305</v>
      </c>
      <c r="G69" s="471" t="s">
        <v>432</v>
      </c>
      <c r="H69" s="471" t="s">
        <v>307</v>
      </c>
      <c r="I69" s="471" t="s">
        <v>433</v>
      </c>
      <c r="J69" s="471" t="s">
        <v>434</v>
      </c>
      <c r="K69" s="471" t="s">
        <v>435</v>
      </c>
      <c r="L69" s="509">
        <v>111.45</v>
      </c>
      <c r="M69" s="509">
        <v>111.45</v>
      </c>
      <c r="N69" s="471">
        <v>1</v>
      </c>
      <c r="O69" s="510">
        <v>0.5</v>
      </c>
      <c r="P69" s="509">
        <v>111.45</v>
      </c>
      <c r="Q69" s="485">
        <v>1</v>
      </c>
      <c r="R69" s="471">
        <v>1</v>
      </c>
      <c r="S69" s="485">
        <v>1</v>
      </c>
      <c r="T69" s="510">
        <v>0.5</v>
      </c>
      <c r="U69" s="486">
        <v>1</v>
      </c>
    </row>
    <row r="70" spans="1:21" ht="14.4" customHeight="1" x14ac:dyDescent="0.3">
      <c r="A70" s="481">
        <v>57</v>
      </c>
      <c r="B70" s="471" t="s">
        <v>304</v>
      </c>
      <c r="C70" s="471" t="s">
        <v>311</v>
      </c>
      <c r="D70" s="507" t="s">
        <v>304</v>
      </c>
      <c r="E70" s="508" t="s">
        <v>321</v>
      </c>
      <c r="F70" s="471" t="s">
        <v>305</v>
      </c>
      <c r="G70" s="471" t="s">
        <v>436</v>
      </c>
      <c r="H70" s="471" t="s">
        <v>447</v>
      </c>
      <c r="I70" s="471" t="s">
        <v>437</v>
      </c>
      <c r="J70" s="471" t="s">
        <v>438</v>
      </c>
      <c r="K70" s="471" t="s">
        <v>439</v>
      </c>
      <c r="L70" s="509">
        <v>31.32</v>
      </c>
      <c r="M70" s="509">
        <v>31.32</v>
      </c>
      <c r="N70" s="471">
        <v>1</v>
      </c>
      <c r="O70" s="510">
        <v>0.5</v>
      </c>
      <c r="P70" s="509"/>
      <c r="Q70" s="485">
        <v>0</v>
      </c>
      <c r="R70" s="471"/>
      <c r="S70" s="485">
        <v>0</v>
      </c>
      <c r="T70" s="510"/>
      <c r="U70" s="486">
        <v>0</v>
      </c>
    </row>
    <row r="71" spans="1:21" ht="14.4" customHeight="1" x14ac:dyDescent="0.3">
      <c r="A71" s="481">
        <v>57</v>
      </c>
      <c r="B71" s="471" t="s">
        <v>304</v>
      </c>
      <c r="C71" s="471" t="s">
        <v>311</v>
      </c>
      <c r="D71" s="507" t="s">
        <v>304</v>
      </c>
      <c r="E71" s="508" t="s">
        <v>321</v>
      </c>
      <c r="F71" s="471" t="s">
        <v>308</v>
      </c>
      <c r="G71" s="471" t="s">
        <v>380</v>
      </c>
      <c r="H71" s="471" t="s">
        <v>307</v>
      </c>
      <c r="I71" s="471" t="s">
        <v>389</v>
      </c>
      <c r="J71" s="471" t="s">
        <v>382</v>
      </c>
      <c r="K71" s="471"/>
      <c r="L71" s="509">
        <v>0</v>
      </c>
      <c r="M71" s="509">
        <v>0</v>
      </c>
      <c r="N71" s="471">
        <v>2</v>
      </c>
      <c r="O71" s="510">
        <v>2</v>
      </c>
      <c r="P71" s="509"/>
      <c r="Q71" s="485"/>
      <c r="R71" s="471"/>
      <c r="S71" s="485">
        <v>0</v>
      </c>
      <c r="T71" s="510"/>
      <c r="U71" s="486">
        <v>0</v>
      </c>
    </row>
    <row r="72" spans="1:21" ht="14.4" customHeight="1" x14ac:dyDescent="0.3">
      <c r="A72" s="481">
        <v>57</v>
      </c>
      <c r="B72" s="471" t="s">
        <v>304</v>
      </c>
      <c r="C72" s="471" t="s">
        <v>311</v>
      </c>
      <c r="D72" s="507" t="s">
        <v>304</v>
      </c>
      <c r="E72" s="508" t="s">
        <v>321</v>
      </c>
      <c r="F72" s="471" t="s">
        <v>308</v>
      </c>
      <c r="G72" s="471" t="s">
        <v>440</v>
      </c>
      <c r="H72" s="471" t="s">
        <v>307</v>
      </c>
      <c r="I72" s="471" t="s">
        <v>441</v>
      </c>
      <c r="J72" s="471" t="s">
        <v>442</v>
      </c>
      <c r="K72" s="471" t="s">
        <v>443</v>
      </c>
      <c r="L72" s="509">
        <v>0</v>
      </c>
      <c r="M72" s="509">
        <v>0</v>
      </c>
      <c r="N72" s="471">
        <v>1</v>
      </c>
      <c r="O72" s="510">
        <v>1</v>
      </c>
      <c r="P72" s="509"/>
      <c r="Q72" s="485"/>
      <c r="R72" s="471"/>
      <c r="S72" s="485">
        <v>0</v>
      </c>
      <c r="T72" s="510"/>
      <c r="U72" s="486">
        <v>0</v>
      </c>
    </row>
    <row r="73" spans="1:21" ht="14.4" customHeight="1" thickBot="1" x14ac:dyDescent="0.35">
      <c r="A73" s="482">
        <v>57</v>
      </c>
      <c r="B73" s="474" t="s">
        <v>304</v>
      </c>
      <c r="C73" s="474" t="s">
        <v>311</v>
      </c>
      <c r="D73" s="511" t="s">
        <v>304</v>
      </c>
      <c r="E73" s="512" t="s">
        <v>321</v>
      </c>
      <c r="F73" s="474" t="s">
        <v>308</v>
      </c>
      <c r="G73" s="474" t="s">
        <v>440</v>
      </c>
      <c r="H73" s="474" t="s">
        <v>307</v>
      </c>
      <c r="I73" s="474" t="s">
        <v>444</v>
      </c>
      <c r="J73" s="474" t="s">
        <v>445</v>
      </c>
      <c r="K73" s="474" t="s">
        <v>446</v>
      </c>
      <c r="L73" s="513">
        <v>800</v>
      </c>
      <c r="M73" s="513">
        <v>4000</v>
      </c>
      <c r="N73" s="474">
        <v>5</v>
      </c>
      <c r="O73" s="514">
        <v>1</v>
      </c>
      <c r="P73" s="513">
        <v>4000</v>
      </c>
      <c r="Q73" s="487">
        <v>1</v>
      </c>
      <c r="R73" s="474">
        <v>5</v>
      </c>
      <c r="S73" s="487">
        <v>1</v>
      </c>
      <c r="T73" s="514">
        <v>1</v>
      </c>
      <c r="U73" s="48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2015-05-21T19:54:50Z</dcterms:modified>
</cp:coreProperties>
</file>