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19" r:id="rId14"/>
    <sheet name="ZV Vykáz.-A" sheetId="344" r:id="rId15"/>
    <sheet name="ZV Vykáz.-A Lékaři" sheetId="429" r:id="rId16"/>
    <sheet name="ZV Vykáz.-A Detail" sheetId="345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6" hidden="1">'ZV Vykáz.-A Detail'!$A$5:$Q$5</definedName>
    <definedName name="_xlnm._FilterDatabase" localSheetId="15" hidden="1">'ZV Vykáz.-A Lékaři'!$A$4:$A$5</definedName>
    <definedName name="_xlnm._FilterDatabase" localSheetId="18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AS26" i="419" l="1"/>
  <c r="AS25" i="419"/>
  <c r="K26" i="419"/>
  <c r="AS28" i="419" l="1"/>
  <c r="AS27" i="419"/>
  <c r="K25" i="419"/>
  <c r="C25" i="419"/>
  <c r="AS20" i="419"/>
  <c r="AR20" i="419"/>
  <c r="AQ20" i="419"/>
  <c r="AP20" i="419"/>
  <c r="AO20" i="419"/>
  <c r="AN20" i="419"/>
  <c r="AM20" i="419"/>
  <c r="AL20" i="419"/>
  <c r="AK20" i="419"/>
  <c r="AJ20" i="419"/>
  <c r="AS19" i="419"/>
  <c r="AR19" i="419"/>
  <c r="AQ19" i="419"/>
  <c r="AP19" i="419"/>
  <c r="AO19" i="419"/>
  <c r="AN19" i="419"/>
  <c r="AM19" i="419"/>
  <c r="AL19" i="419"/>
  <c r="AK19" i="419"/>
  <c r="AJ19" i="419"/>
  <c r="AS17" i="419"/>
  <c r="AR17" i="419"/>
  <c r="AQ17" i="419"/>
  <c r="AP17" i="419"/>
  <c r="AO17" i="419"/>
  <c r="AN17" i="419"/>
  <c r="AM17" i="419"/>
  <c r="AL17" i="419"/>
  <c r="AK17" i="419"/>
  <c r="AJ17" i="419"/>
  <c r="AS16" i="419"/>
  <c r="AR16" i="419"/>
  <c r="AQ16" i="419"/>
  <c r="AP16" i="419"/>
  <c r="AO16" i="419"/>
  <c r="AN16" i="419"/>
  <c r="AM16" i="419"/>
  <c r="AL16" i="419"/>
  <c r="AK16" i="419"/>
  <c r="AJ16" i="419"/>
  <c r="AS14" i="419"/>
  <c r="AR14" i="419"/>
  <c r="AQ14" i="419"/>
  <c r="AP14" i="419"/>
  <c r="AO14" i="419"/>
  <c r="AN14" i="419"/>
  <c r="AM14" i="419"/>
  <c r="AL14" i="419"/>
  <c r="AK14" i="419"/>
  <c r="AJ14" i="419"/>
  <c r="AS13" i="419"/>
  <c r="AR13" i="419"/>
  <c r="AQ13" i="419"/>
  <c r="AP13" i="419"/>
  <c r="AO13" i="419"/>
  <c r="AN13" i="419"/>
  <c r="AM13" i="419"/>
  <c r="AL13" i="419"/>
  <c r="AK13" i="419"/>
  <c r="AJ13" i="419"/>
  <c r="AS12" i="419"/>
  <c r="AR12" i="419"/>
  <c r="AQ12" i="419"/>
  <c r="AP12" i="419"/>
  <c r="AO12" i="419"/>
  <c r="AN12" i="419"/>
  <c r="AM12" i="419"/>
  <c r="AL12" i="419"/>
  <c r="AK12" i="419"/>
  <c r="AJ12" i="419"/>
  <c r="AS11" i="419"/>
  <c r="AR11" i="419"/>
  <c r="AQ11" i="419"/>
  <c r="AP11" i="419"/>
  <c r="AO11" i="419"/>
  <c r="AN11" i="419"/>
  <c r="AM11" i="419"/>
  <c r="AL11" i="419"/>
  <c r="AK11" i="419"/>
  <c r="AJ11" i="419"/>
  <c r="AS6" i="419"/>
  <c r="AR6" i="419"/>
  <c r="AQ6" i="419"/>
  <c r="AP6" i="419"/>
  <c r="AO6" i="419"/>
  <c r="AN6" i="419"/>
  <c r="AM6" i="419"/>
  <c r="AL6" i="419"/>
  <c r="AK6" i="419"/>
  <c r="AJ6" i="419"/>
  <c r="AM18" i="419" l="1"/>
  <c r="AQ18" i="419"/>
  <c r="AJ18" i="419"/>
  <c r="AN18" i="419"/>
  <c r="AR18" i="419"/>
  <c r="AK18" i="419"/>
  <c r="AO18" i="419"/>
  <c r="AS18" i="419"/>
  <c r="AL18" i="419"/>
  <c r="AP18" i="419"/>
  <c r="B25" i="419"/>
  <c r="K27" i="419" l="1"/>
  <c r="B26" i="419"/>
  <c r="B27" i="419" s="1"/>
  <c r="K28" i="419"/>
  <c r="A10" i="414"/>
  <c r="A9" i="414"/>
  <c r="A7" i="414"/>
  <c r="F3" i="344" l="1"/>
  <c r="D3" i="344"/>
  <c r="B3" i="344"/>
  <c r="AK21" i="419" l="1"/>
  <c r="AJ21" i="419"/>
  <c r="AJ22" i="419" s="1"/>
  <c r="AI21" i="419"/>
  <c r="AH21" i="419"/>
  <c r="AH22" i="419" s="1"/>
  <c r="AG21" i="419"/>
  <c r="AF21" i="419"/>
  <c r="AE21" i="419"/>
  <c r="AD21" i="419"/>
  <c r="AD22" i="419" s="1"/>
  <c r="AC21" i="419"/>
  <c r="AB21" i="419"/>
  <c r="AA21" i="419"/>
  <c r="Z21" i="419"/>
  <c r="Z22" i="419" s="1"/>
  <c r="Y21" i="419"/>
  <c r="X21" i="419"/>
  <c r="X22" i="419" s="1"/>
  <c r="W21" i="419"/>
  <c r="W22" i="419" s="1"/>
  <c r="V21" i="419"/>
  <c r="V22" i="419" s="1"/>
  <c r="U21" i="419"/>
  <c r="T21" i="419"/>
  <c r="S21" i="419"/>
  <c r="R21" i="419"/>
  <c r="R22" i="419" s="1"/>
  <c r="Q21" i="419"/>
  <c r="P21" i="419"/>
  <c r="P22" i="419" s="1"/>
  <c r="O21" i="419"/>
  <c r="N21" i="419"/>
  <c r="N22" i="419" s="1"/>
  <c r="M21" i="419"/>
  <c r="L21" i="419"/>
  <c r="K21" i="419"/>
  <c r="J21" i="419"/>
  <c r="J22" i="419" s="1"/>
  <c r="I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AI16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K18" i="419" l="1"/>
  <c r="O18" i="419"/>
  <c r="S18" i="419"/>
  <c r="AA18" i="419"/>
  <c r="AE18" i="419"/>
  <c r="AI18" i="419"/>
  <c r="K23" i="419"/>
  <c r="O23" i="419"/>
  <c r="S23" i="419"/>
  <c r="AA23" i="419"/>
  <c r="AE23" i="419"/>
  <c r="AI23" i="419"/>
  <c r="I18" i="419"/>
  <c r="M18" i="419"/>
  <c r="Q18" i="419"/>
  <c r="U18" i="419"/>
  <c r="Y18" i="419"/>
  <c r="AC18" i="419"/>
  <c r="AG18" i="419"/>
  <c r="W18" i="419"/>
  <c r="O22" i="419"/>
  <c r="AE22" i="419"/>
  <c r="N23" i="419"/>
  <c r="V23" i="419"/>
  <c r="AD23" i="419"/>
  <c r="J18" i="419"/>
  <c r="N18" i="419"/>
  <c r="R18" i="419"/>
  <c r="V18" i="419"/>
  <c r="Z18" i="419"/>
  <c r="AD18" i="419"/>
  <c r="AH18" i="419"/>
  <c r="L23" i="419"/>
  <c r="T23" i="419"/>
  <c r="AB23" i="419"/>
  <c r="AF23" i="419"/>
  <c r="S22" i="419"/>
  <c r="AI22" i="419"/>
  <c r="W23" i="419"/>
  <c r="I23" i="419"/>
  <c r="M23" i="419"/>
  <c r="Q23" i="419"/>
  <c r="U23" i="419"/>
  <c r="Y23" i="419"/>
  <c r="AC23" i="419"/>
  <c r="AG23" i="419"/>
  <c r="AK23" i="419"/>
  <c r="J23" i="419"/>
  <c r="R23" i="419"/>
  <c r="Z23" i="419"/>
  <c r="AH23" i="419"/>
  <c r="L18" i="419"/>
  <c r="P18" i="419"/>
  <c r="T18" i="419"/>
  <c r="X18" i="419"/>
  <c r="AB18" i="419"/>
  <c r="AF18" i="419"/>
  <c r="K22" i="419"/>
  <c r="AA22" i="419"/>
  <c r="L22" i="419"/>
  <c r="T22" i="419"/>
  <c r="AB22" i="419"/>
  <c r="AF22" i="419"/>
  <c r="I22" i="419"/>
  <c r="M22" i="419"/>
  <c r="Q22" i="419"/>
  <c r="U22" i="419"/>
  <c r="Y22" i="419"/>
  <c r="AC22" i="419"/>
  <c r="AG22" i="419"/>
  <c r="AK22" i="419"/>
  <c r="P23" i="419"/>
  <c r="X23" i="419"/>
  <c r="AJ23" i="419"/>
  <c r="H21" i="419" l="1"/>
  <c r="H22" i="419" s="1"/>
  <c r="G21" i="419"/>
  <c r="G22" i="419" s="1"/>
  <c r="F21" i="419"/>
  <c r="F22" i="419" s="1"/>
  <c r="E21" i="419"/>
  <c r="D21" i="419"/>
  <c r="D22" i="419" s="1"/>
  <c r="C21" i="419"/>
  <c r="C22" i="419" s="1"/>
  <c r="H20" i="419"/>
  <c r="G20" i="419"/>
  <c r="F20" i="419"/>
  <c r="E20" i="419"/>
  <c r="D20" i="419"/>
  <c r="C20" i="419"/>
  <c r="H19" i="419"/>
  <c r="G19" i="419"/>
  <c r="F19" i="419"/>
  <c r="E19" i="419"/>
  <c r="D19" i="419"/>
  <c r="C19" i="419"/>
  <c r="H17" i="419"/>
  <c r="G17" i="419"/>
  <c r="F17" i="419"/>
  <c r="E17" i="419"/>
  <c r="D17" i="419"/>
  <c r="C17" i="419"/>
  <c r="H16" i="419"/>
  <c r="G16" i="419"/>
  <c r="F16" i="419"/>
  <c r="E16" i="419"/>
  <c r="D16" i="419"/>
  <c r="C16" i="419"/>
  <c r="H14" i="419"/>
  <c r="G14" i="419"/>
  <c r="F14" i="419"/>
  <c r="E14" i="419"/>
  <c r="D14" i="419"/>
  <c r="C14" i="419"/>
  <c r="H13" i="419"/>
  <c r="G13" i="419"/>
  <c r="F13" i="419"/>
  <c r="E13" i="419"/>
  <c r="D13" i="419"/>
  <c r="C13" i="419"/>
  <c r="H12" i="419"/>
  <c r="G12" i="419"/>
  <c r="F12" i="419"/>
  <c r="E12" i="419"/>
  <c r="D12" i="419"/>
  <c r="C12" i="419"/>
  <c r="H11" i="419"/>
  <c r="G11" i="419"/>
  <c r="F11" i="419"/>
  <c r="E11" i="419"/>
  <c r="D11" i="419"/>
  <c r="C11" i="419"/>
  <c r="E18" i="419" l="1"/>
  <c r="E23" i="419"/>
  <c r="F18" i="419"/>
  <c r="D18" i="419"/>
  <c r="H18" i="419"/>
  <c r="C18" i="419"/>
  <c r="G18" i="419"/>
  <c r="C23" i="419"/>
  <c r="G23" i="419"/>
  <c r="E22" i="419"/>
  <c r="F23" i="419"/>
  <c r="D23" i="419"/>
  <c r="H23" i="419"/>
  <c r="B21" i="419"/>
  <c r="B22" i="419" l="1"/>
  <c r="A22" i="383"/>
  <c r="G3" i="429"/>
  <c r="F3" i="429"/>
  <c r="E3" i="429"/>
  <c r="D3" i="429"/>
  <c r="C3" i="429"/>
  <c r="B3" i="429"/>
  <c r="C11" i="340" l="1"/>
  <c r="A16" i="383" l="1"/>
  <c r="C28" i="419" l="1"/>
  <c r="B28" i="419" s="1"/>
  <c r="C27" i="419"/>
  <c r="A7" i="339" l="1"/>
  <c r="AH6" i="419" l="1"/>
  <c r="Z6" i="419"/>
  <c r="N6" i="419"/>
  <c r="AG6" i="419"/>
  <c r="AC6" i="419"/>
  <c r="Y6" i="419"/>
  <c r="U6" i="419"/>
  <c r="Q6" i="419"/>
  <c r="M6" i="419"/>
  <c r="I6" i="419"/>
  <c r="AF6" i="419"/>
  <c r="AB6" i="419"/>
  <c r="X6" i="419"/>
  <c r="T6" i="419"/>
  <c r="P6" i="419"/>
  <c r="L6" i="419"/>
  <c r="AI6" i="419"/>
  <c r="AE6" i="419"/>
  <c r="AA6" i="419"/>
  <c r="W6" i="419"/>
  <c r="S6" i="419"/>
  <c r="O6" i="419"/>
  <c r="K6" i="419"/>
  <c r="AD6" i="419"/>
  <c r="V6" i="419"/>
  <c r="R6" i="419"/>
  <c r="J6" i="419"/>
  <c r="E6" i="419"/>
  <c r="H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C17" i="414"/>
  <c r="C14" i="414"/>
  <c r="D17" i="414"/>
  <c r="D14" i="414"/>
  <c r="D10" i="414" l="1"/>
  <c r="C13" i="414" l="1"/>
  <c r="C7" i="414"/>
  <c r="D9" i="414" l="1"/>
  <c r="E9" i="414" s="1"/>
  <c r="E19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C20" i="414"/>
  <c r="D20" i="414"/>
  <c r="H3" i="390" l="1"/>
  <c r="U3" i="347"/>
  <c r="Q3" i="347"/>
  <c r="F13" i="339"/>
  <c r="E13" i="339"/>
  <c r="E15" i="339" s="1"/>
  <c r="H12" i="339"/>
  <c r="G12" i="339"/>
  <c r="K3" i="390"/>
  <c r="A4" i="383"/>
  <c r="A25" i="383"/>
  <c r="A24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<sst xmlns="http://schemas.openxmlformats.org/spreadsheetml/2006/main" count="1518" uniqueCount="557">
  <si>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</si>
  <si>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</si>
  <si>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</si>
  <si>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</si>
  <si>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</si>
  <si>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</si>
  <si>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</si>
  <si>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</si>
  <si>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</si>
  <si>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</si>
  <si>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</si>
  <si>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</si>
  <si>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</si>
  <si>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</si>
  <si>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</si>
  <si>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</si>
  <si>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</si>
  <si>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</si>
  <si>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</si>
  <si>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</si>
  <si>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</si>
  <si>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</si>
  <si>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</si>
  <si>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</si>
  <si>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</si>
  <si>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</si>
  <si>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</si>
  <si>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</si>
  <si>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</si>
  <si>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</si>
  <si>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</si>
  <si>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</si>
  <si>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</si>
  <si>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</si>
  <si>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</si>
  <si>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</si>
  <si>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</si>
  <si>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</si>
  <si>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</si>
  <si>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</si>
  <si>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</si>
  <si>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</si>
  <si>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</si>
  <si>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</si>
  <si>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</si>
  <si>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</si>
  <si>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</si>
  <si>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</si>
  <si>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</si>
  <si>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</si>
  <si>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</si>
  <si>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</si>
  <si>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</si>
  <si>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</si>
  <si>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</si>
  <si>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</si>
  <si>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</si>
  <si>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</si>
  <si>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</si>
  <si>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</si>
  <si>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</si>
  <si>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</si>
  <si>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</si>
  <si>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</si>
  <si>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</si>
  <si>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</si>
  <si>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</si>
  <si>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</si>
  <si>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</si>
  <si>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</si>
  <si>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</si>
  <si>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</si>
  <si>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</si>
  <si>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</si>
  <si>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</si>
  <si>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</si>
  <si>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</si>
  <si>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</si>
  <si>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</si>
  <si>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</si>
  <si>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</si>
  <si>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</si>
  <si>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</si>
  <si>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</si>
  <si>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</si>
  <si>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</si>
  <si>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</si>
  <si>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</si>
  <si>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</si>
  <si>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</si>
  <si>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</si>
  <si>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</si>
  <si>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</si>
  <si>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</si>
  <si>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</si>
  <si>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</si>
  <si>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</si>
  <si>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</si>
  <si>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</si>
  <si>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</si>
  <si>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</si>
  <si>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</si>
  <si>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</si>
  <si>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</si>
  <si>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</si>
  <si>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</si>
  <si>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</si>
  <si>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</si>
  <si>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</si>
  <si>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</si>
  <si>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</si>
  <si>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</si>
  <si>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</si>
  <si>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</si>
  <si>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</si>
  <si>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</si>
  <si>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</si>
  <si>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</si>
  <si>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</si>
  <si>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</si>
  <si>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</si>
  <si>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</si>
  <si>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</si>
  <si>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</si>
  <si>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</si>
  <si>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</si>
  <si>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</si>
  <si>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</si>
  <si>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</si>
  <si>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</si>
  <si>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</si>
  <si>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</si>
  <si>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</si>
  <si>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</si>
  <si>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</si>
  <si>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</si>
  <si>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</si>
  <si>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</si>
  <si>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</si>
  <si>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</si>
  <si>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</si>
  <si>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</si>
  <si>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</si>
  <si>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</si>
  <si>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</si>
  <si>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</si>
  <si>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</si>
  <si>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</si>
  <si>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</si>
  <si>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</si>
  <si>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</si>
  <si>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</si>
  <si>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</si>
  <si>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</si>
  <si>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</si>
  <si>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</si>
  <si>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</si>
  <si>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</si>
  <si>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</si>
  <si>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</si>
  <si>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</si>
  <si>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</si>
  <si>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</si>
  <si>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</si>
  <si>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</si>
  <si>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</si>
  <si>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</si>
  <si>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</si>
  <si>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</si>
  <si>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</si>
  <si>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</si>
  <si>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</si>
  <si>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</si>
  <si>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</si>
  <si>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</si>
  <si>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</si>
  <si>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</si>
  <si>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</si>
  <si>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</si>
  <si>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</si>
  <si>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</si>
  <si>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</si>
  <si>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</si>
  <si>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</si>
  <si>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</si>
  <si>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</si>
  <si>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</si>
  <si>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</si>
  <si>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</si>
  <si>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</si>
  <si>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</si>
  <si>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</si>
  <si>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</si>
  <si>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</si>
  <si>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</si>
  <si>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</si>
  <si>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</si>
  <si>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</si>
  <si>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</si>
  <si>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</si>
  <si>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</si>
  <si>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</si>
  <si>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</si>
  <si>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</si>
  <si>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</si>
  <si>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</si>
  <si>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</si>
  <si>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</si>
  <si>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</si>
  <si>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abs. stud. oboru elektro zaměření</t>
  </si>
  <si>
    <t>odb. pracovníci v ochraně veřejného zdraví</t>
  </si>
  <si>
    <t>laboratorní asistenti</t>
  </si>
  <si>
    <t>Pracoviště/účet</t>
  </si>
  <si>
    <t>Ambulance = vykázané výkony (body)</t>
  </si>
  <si>
    <t>Počet výkonů</t>
  </si>
  <si>
    <t>ZV Vykáz.-A Lékaři</t>
  </si>
  <si>
    <t>ROZDÍL (Sk.do data - Rozp.do data 2015)</t>
  </si>
  <si>
    <t>ergoterapeuti</t>
  </si>
  <si>
    <t>Sml.odb./NS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</si>
  <si>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</si>
  <si>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</si>
  <si>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</si>
  <si>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</si>
  <si>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</si>
  <si>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</si>
  <si>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</si>
  <si>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</si>
  <si>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</si>
  <si>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</si>
  <si>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</si>
  <si>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</si>
  <si>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</si>
  <si>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</si>
  <si>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</si>
  <si>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</si>
  <si>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</si>
  <si>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</si>
  <si>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</si>
  <si>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</si>
  <si>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</si>
  <si>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</si>
  <si>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</si>
  <si>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</si>
  <si>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</si>
  <si>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</si>
  <si>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</si>
  <si>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</si>
  <si>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</si>
  <si>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</si>
  <si>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</si>
  <si>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</si>
  <si>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</si>
  <si>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</si>
  <si>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</si>
  <si>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</si>
  <si>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</si>
  <si>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</si>
  <si>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</si>
  <si>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</si>
  <si>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</si>
  <si>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</si>
  <si>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</si>
  <si>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</si>
  <si>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</si>
  <si>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</si>
  <si>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</si>
  <si>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</si>
  <si>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</si>
  <si>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50119     DDHM a textil</t>
  </si>
  <si>
    <t>50119100     jednorázové ochranné pomůcky (sk.T18A)</t>
  </si>
  <si>
    <t>--</t>
  </si>
  <si>
    <t>50119101     jednorázový operační materiál (sk.T18B)</t>
  </si>
  <si>
    <t>50180     Materiál z darů, FKSP</t>
  </si>
  <si>
    <t>50180001     věcné dary</t>
  </si>
  <si>
    <t>50210     Spotřeba energie</t>
  </si>
  <si>
    <t>50210071     elektřina</t>
  </si>
  <si>
    <t>50210073     pára</t>
  </si>
  <si>
    <t>51     Služby</t>
  </si>
  <si>
    <t>51801     Přepravné</t>
  </si>
  <si>
    <t>51801000     přepravné-lab. vzorky,...</t>
  </si>
  <si>
    <t>51808     Revize a smluvní servisy majetku</t>
  </si>
  <si>
    <t>51808008     revize, tech.kontroly, prev.prohl.- OHM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</si>
  <si>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</si>
  <si>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</si>
  <si>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</si>
  <si>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</si>
  <si>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</si>
  <si>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</si>
  <si>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</si>
  <si>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</si>
  <si>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</si>
  <si>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</si>
  <si>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</si>
  <si>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</si>
  <si>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</si>
  <si>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</si>
  <si>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</si>
  <si>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</si>
  <si>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</si>
  <si>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</si>
  <si>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</si>
  <si>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</si>
  <si>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</si>
  <si>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</si>
  <si>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79920     VPN - mezistřediskové převody</t>
  </si>
  <si>
    <t>79920001     převody - agregované výkony laboratoří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</si>
  <si>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</si>
  <si>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</si>
  <si>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</si>
  <si>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</si>
  <si>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</si>
  <si>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Nutriční ambulance</t>
  </si>
  <si>
    <t/>
  </si>
  <si>
    <t>HVLP</t>
  </si>
  <si>
    <t>57</t>
  </si>
  <si>
    <t>SumaKL</t>
  </si>
  <si>
    <t>89301594</t>
  </si>
  <si>
    <t>Nutriční ambulance Celkem</t>
  </si>
  <si>
    <t>SumaNS</t>
  </si>
  <si>
    <t>mezeraNS</t>
  </si>
  <si>
    <t xml:space="preserve"> </t>
  </si>
  <si>
    <t>* Legenda</t>
  </si>
  <si>
    <t>DIAPZT = Pomůcky pro diabetiky, jejichž název začíná slovem "Pumpa"</t>
  </si>
  <si>
    <t>Hrabalová Monika</t>
  </si>
  <si>
    <t>Potraviny pro zvláštní lékařské účely (PZLÚ)</t>
  </si>
  <si>
    <t>33855</t>
  </si>
  <si>
    <t>NUTRIDRINK BALÍČEK 5 + 1</t>
  </si>
  <si>
    <t>POR SOL 6X200ML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</si>
  <si>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</si>
  <si>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</si>
  <si>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</si>
  <si>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</t>
  </si>
  <si>
    <t>V06XX</t>
  </si>
  <si>
    <t>Přehled plnění PL - Preskripce léčivých přípravků - orientační přehled</t>
  </si>
  <si>
    <t>5721</t>
  </si>
  <si>
    <t>nutriční ambulance</t>
  </si>
  <si>
    <t>nutriční ambulance Celkem</t>
  </si>
  <si>
    <t>ZA314</t>
  </si>
  <si>
    <t>Obinadlo idealast-haft 8 cm x   4 m 9311113</t>
  </si>
  <si>
    <t>ZA318</t>
  </si>
  <si>
    <t>Náplast transpore 1,25 cm x 9,14 m 1527-0</t>
  </si>
  <si>
    <t>ZA464</t>
  </si>
  <si>
    <t>Kompresa NT 10 x 10 cm/2 ks sterilní 26520</t>
  </si>
  <si>
    <t>ZA593</t>
  </si>
  <si>
    <t>Tampon sterilní stáčený 20 x 20 cm / 5 ks 28003+</t>
  </si>
  <si>
    <t>ZA603</t>
  </si>
  <si>
    <t>Kompresa gáza 7,5 x 7,5 cm/2 ks sterilní karton á 1000 ks 26005</t>
  </si>
  <si>
    <t>ZC854</t>
  </si>
  <si>
    <t>Kompresa NT 7,5 x 7,5 cm/2 ks sterilní 26510</t>
  </si>
  <si>
    <t>ZD740</t>
  </si>
  <si>
    <t>Kompresa gáza sterilkompres 7,5 x 7,5 cm/5 ks sterilní 1325019265(1230119225)</t>
  </si>
  <si>
    <t>ZH403</t>
  </si>
  <si>
    <t>Krytí excilon 5 x 5 cm NT i.v. s nástřihem do kříže antiseptický bal. á 70 ks 7089</t>
  </si>
  <si>
    <t>ZI558</t>
  </si>
  <si>
    <t>Náplast curapor   7 x   5 cm 22120 ( náhrada za cosmopor )</t>
  </si>
  <si>
    <t>ZI599</t>
  </si>
  <si>
    <t>Náplast curapor 10 x   8 cm 22121 ( náhrada za cosmopor )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</si>
  <si>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</si>
  <si>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</si>
  <si>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</si>
  <si>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</si>
  <si>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</si>
  <si>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ZK760</t>
  </si>
  <si>
    <t>Krytí tegaderm + PAD na i. v. vstupy bal. á 25 ks 9 x 10 cm 3586</t>
  </si>
  <si>
    <t>ZA602</t>
  </si>
  <si>
    <t>Kompresa gáza 5 x 5 cm/2 ks sterilní karton á 1000 ks 26001</t>
  </si>
  <si>
    <t>ZK646</t>
  </si>
  <si>
    <t>Náplast tegaderm CHG 8,5 cm x 11,5 cm na CŽK-antibakt. bal. á 25 ks 1657R</t>
  </si>
  <si>
    <t>ZL669</t>
  </si>
  <si>
    <t>Náplast tegaderm diamond 10,0 cm x 12,0 cm bal. á 50 ks 1686</t>
  </si>
  <si>
    <t>ZM985</t>
  </si>
  <si>
    <t>Fixace atraumatická GripLock k CVC bal. á 100 ks 3601CVC</t>
  </si>
  <si>
    <t>ZN091</t>
  </si>
  <si>
    <t>Obvaz elastický síťový CareFix Tube k zajištění a ochraně fixace IV kanyl vel. M bal. á 15 ks 0151 M</t>
  </si>
  <si>
    <t>ZN246</t>
  </si>
  <si>
    <t>Obvaz elastický síťový CareFix Tube StomaSafe Classic M bal. á 3 ks 5000 M</t>
  </si>
  <si>
    <t>ZN247</t>
  </si>
  <si>
    <t>Obvaz elastický síťový CareFix Tube StomaSafe Classic L bal. á 3 ks 5000 L</t>
  </si>
  <si>
    <t>ZN248</t>
  </si>
  <si>
    <t>Obvaz elastický síťový CareFix Tube StomaSafe Classic XL bal. á 3 ks 5000 XL</t>
  </si>
  <si>
    <t>ZN470</t>
  </si>
  <si>
    <t>Obvaz elastický síťový pruban č. 5 ramena, hlava, podpaží 1323300250</t>
  </si>
  <si>
    <t>ZN469</t>
  </si>
  <si>
    <t>Obvaz elastický síťový pruban č. 4 paže, noha, loket 1323300240</t>
  </si>
  <si>
    <t>ZN468</t>
  </si>
  <si>
    <t>Obvaz elastický síťový pruban č. 3 chodidlo, holeň, loket 1323300230</t>
  </si>
  <si>
    <t>ZN090</t>
  </si>
  <si>
    <t>Obvaz elastický síťový CareFix Tube k zajištění a ochraně fixace IV kanyl vel. S bal. á 15 ks 0151 S</t>
  </si>
  <si>
    <t>ZN996</t>
  </si>
  <si>
    <t>Fixace k CVC a PICC 3303MCS-TA-1</t>
  </si>
  <si>
    <t>ZA727</t>
  </si>
  <si>
    <t>Kontejner 30 ml sterilní uchovávání pevných i kapalných vzorků FLME25175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</si>
  <si>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</si>
  <si>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</si>
  <si>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</si>
  <si>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</si>
  <si>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</si>
  <si>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</si>
  <si>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</si>
  <si>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</si>
  <si>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ZB501</t>
  </si>
  <si>
    <t>Přerušovač sání fingertip sterilní bal. á 100 ks 07.031.00.000</t>
  </si>
  <si>
    <t>ZF159</t>
  </si>
  <si>
    <t>Nádoba na kontaminovaný odpad 1 l 15-0002</t>
  </si>
  <si>
    <t>ZH168</t>
  </si>
  <si>
    <t>Stříkačka injekční 3-dílná 1 ml L tuberculin s jehlou KD-JECT III 831786</t>
  </si>
  <si>
    <t>ZH546</t>
  </si>
  <si>
    <t>Flocare infinity pack set mobile W/O MP Transition (APA 3227163) pro domácí péči 586521</t>
  </si>
  <si>
    <t>ZK798</t>
  </si>
  <si>
    <t>Zátka combi modrá 4495152</t>
  </si>
  <si>
    <t>ZN296</t>
  </si>
  <si>
    <t>Hadička spojovací Gamaplus 1,8 x 450 UNIV NO DOP 606306-ND</t>
  </si>
  <si>
    <t>ZN297</t>
  </si>
  <si>
    <t>Hadička spojovací Gamaplus 1,8 x 450 LL NO DOP (606301) 686401</t>
  </si>
  <si>
    <t>ZN298</t>
  </si>
  <si>
    <t>Hadička spojovací Gamaplus 1,8 x 1800 LL NO DOP (606304) 686403</t>
  </si>
  <si>
    <t>ZN367</t>
  </si>
  <si>
    <t>Konektor bezjehlový gama modrý NO PVC V696420</t>
  </si>
  <si>
    <t>ZF973</t>
  </si>
  <si>
    <t>Hadička tlaková spojovací unicath 1,5 mm x   25 cm LL na obou koncích male-male bal. á 40 ks PN 1202</t>
  </si>
  <si>
    <t>ZN906</t>
  </si>
  <si>
    <t>Flocare infinity pack set transition (APA 3227148) pro nemocniční péči 586513</t>
  </si>
  <si>
    <t>ZO086</t>
  </si>
  <si>
    <t>Flocare konektor na sondu Luer NOVÝ 30 ks 589733</t>
  </si>
  <si>
    <t>ZO087</t>
  </si>
  <si>
    <t>Flocare konektor na aplikační set s konektorem Luer NOVÝ 30 ks 589735</t>
  </si>
  <si>
    <t>ZO372</t>
  </si>
  <si>
    <t>Konektor bezjehlový OptiSyte JIM:JSM4001</t>
  </si>
  <si>
    <t>ZK735</t>
  </si>
  <si>
    <t>Konektor bezjehlový caresite bal. á 200 ks dohodnutá cena 10,- Kč bez DPH 415122</t>
  </si>
  <si>
    <t>ZA240</t>
  </si>
  <si>
    <t>Katetr broviak 1 lumen 6,6 Fr x 90 cm 0600540CE</t>
  </si>
  <si>
    <t>ZO096</t>
  </si>
  <si>
    <t>Katetr CVC 2 lumen 5 Fr x 50 cm PICC MSB set. EU-025052-HPMSB</t>
  </si>
  <si>
    <t>ZA715</t>
  </si>
  <si>
    <t>Set infuzní intrafix primeline classic 150 cm 4062957</t>
  </si>
  <si>
    <t>ZB715</t>
  </si>
  <si>
    <t>Set kangaro univ. pro enterální výživu bal. á 30 ks  S777403</t>
  </si>
  <si>
    <t>ZE973</t>
  </si>
  <si>
    <t>Set pro parenterenterální výživu á 100 ks 8701148SP</t>
  </si>
  <si>
    <t>ZB556</t>
  </si>
  <si>
    <t>Jehla injekční 1,2 x 40 mm růžová 4665120</t>
  </si>
  <si>
    <t>ZC634</t>
  </si>
  <si>
    <t>Jehla gripper portacath bez Y protu 22G x 16 mm á 12 ks 21-2737-24</t>
  </si>
  <si>
    <t>ZM733</t>
  </si>
  <si>
    <t>Jehla surecan safety II portová bezpečnostní 20G 20 mm bal. á 20 ks 4447006</t>
  </si>
  <si>
    <t>ZK475</t>
  </si>
  <si>
    <t>Rukavice operační latexové s pudrem ansell medigrip plus vel. 7,0 303504EU (303364)</t>
  </si>
  <si>
    <t>Rukavice operační latexové s pudrem ansell, vasco surgical powderet vel. 7 6035526 (303504EU)</t>
  </si>
  <si>
    <t>ZK476</t>
  </si>
  <si>
    <t>Rukavice operační latexové s pudrem ansell medigrip plus vel. 7,5 303505EU (302925)</t>
  </si>
  <si>
    <t>Rukavice operační latexové s pudrem ansell medigrip plus vel. 7,5 6035534</t>
  </si>
  <si>
    <t>Nutriční ambulance: Nutriční ambulance</t>
  </si>
  <si>
    <t>50115050</t>
  </si>
  <si>
    <t>502 SZM obvazový (112 02 040)</t>
  </si>
  <si>
    <t>50115060</t>
  </si>
  <si>
    <t>503 SZM ostatní zdravotnický (112 02 100)</t>
  </si>
  <si>
    <t>50115070</t>
  </si>
  <si>
    <t>513 SZM katetry (112 02 101)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</si>
  <si>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</si>
  <si>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</si>
  <si>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</si>
  <si>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</si>
  <si>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</si>
  <si>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</si>
  <si>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</si>
  <si>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101 - Pracoviště interního lékařství</t>
  </si>
  <si>
    <t>501 - Pracoviště chirurgie</t>
  </si>
  <si>
    <t>708 - Pracoviště anesteziologicko - resuscitační</t>
  </si>
  <si>
    <t>Zdravotní výkony vykázané na pracovišti v rámci ambulantní péče *</t>
  </si>
  <si>
    <t>Ambulantní péče znamená, že pacient v den poskytnutí zdravotní péče není hospitalizován ve FNOL</t>
  </si>
  <si>
    <t>Aiglová Květoslava</t>
  </si>
  <si>
    <t>Bawadekjiová Diana</t>
  </si>
  <si>
    <t>Berka Zdeněk</t>
  </si>
  <si>
    <t>beze jména</t>
  </si>
  <si>
    <t>Bohanes Tomáš</t>
  </si>
  <si>
    <t>Carbolová Jaroslava</t>
  </si>
  <si>
    <t>Dvořák Jakub</t>
  </si>
  <si>
    <t>Ehrmann Jiří</t>
  </si>
  <si>
    <t>Gregar Jan</t>
  </si>
  <si>
    <t>Homolová Zuzana</t>
  </si>
  <si>
    <t>Karásková Eva</t>
  </si>
  <si>
    <t>Konečný Michal</t>
  </si>
  <si>
    <t>Koudelková Gabriela</t>
  </si>
  <si>
    <t>Sovová Markéta</t>
  </si>
  <si>
    <t>Sychra Pavel</t>
  </si>
  <si>
    <t>Vrzalová Drahomíra</t>
  </si>
  <si>
    <t>Zarivnijová Lea</t>
  </si>
  <si>
    <t>Zborovjanová Veronika</t>
  </si>
  <si>
    <t>Zdravotní výkony vykázané na pracovišti v rámci ambulantní péče dle lékařů *</t>
  </si>
  <si>
    <t>101</t>
  </si>
  <si>
    <t>V</t>
  </si>
  <si>
    <t>09511</t>
  </si>
  <si>
    <t>MINIMÁLNÍ KONTAKT LÉKAŘE S PACIENTEM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</si>
  <si>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</si>
  <si>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</si>
  <si>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</si>
  <si>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</si>
  <si>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</si>
  <si>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</si>
  <si>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</si>
  <si>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</si>
  <si>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11021</t>
  </si>
  <si>
    <t>KOMPLEXNÍ VYŠETŘENÍ INTERNISTOU</t>
  </si>
  <si>
    <t>11023</t>
  </si>
  <si>
    <t>KONTROLNÍ VYŠETŘENÍ INTERNISTOU</t>
  </si>
  <si>
    <t>09513</t>
  </si>
  <si>
    <t>TELEFONICKÁ KONZULTACE OŠETŘUJÍCÍHO LÉKAŘE PACIENT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</si>
  <si>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</si>
  <si>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</si>
  <si>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</si>
  <si>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</si>
  <si>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</si>
  <si>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</si>
  <si>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</si>
  <si>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501</t>
  </si>
  <si>
    <t>51022</t>
  </si>
  <si>
    <t>CÍLENÉ VYŠETŘENÍ CHIRURGEM</t>
  </si>
  <si>
    <t>708</t>
  </si>
  <si>
    <t>06415</t>
  </si>
  <si>
    <t>EDUKACE NUTRIČNÍM TERAPEUTEM</t>
  </si>
  <si>
    <t>78022</t>
  </si>
  <si>
    <t>CÍLENÉ VYŠETŘENÍ ANESTEZIOLOGEM</t>
  </si>
  <si>
    <t>06419</t>
  </si>
  <si>
    <t>PROPOČET NUTRIČNÍ BILANCE (SW NÁSTROJEM)</t>
  </si>
  <si>
    <t>06417</t>
  </si>
  <si>
    <t>REEDUKACE NUTRIČNÍM TERAPEUTEM</t>
  </si>
  <si>
    <t>Zdravotní výkony + ZUM + ZULP vykázané na pracovišti v rámci ambulantní péče - orientační přehled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</si>
  <si>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</si>
  <si>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</si>
  <si>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</si>
  <si>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</si>
  <si>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</si>
  <si>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</si>
  <si>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</si>
  <si>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</si>
  <si>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</si>
  <si>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</si>
  <si>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</si>
  <si>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ústní,čelistní a obličejové chirurgie</t>
  </si>
  <si>
    <t>26 - Oddělení rehabilitace</t>
  </si>
  <si>
    <t>31 - Traumatologické oddělení</t>
  </si>
  <si>
    <t>02</t>
  </si>
  <si>
    <t>03</t>
  </si>
  <si>
    <t>04</t>
  </si>
  <si>
    <t>10</t>
  </si>
  <si>
    <t>11</t>
  </si>
  <si>
    <t>12</t>
  </si>
  <si>
    <t>13</t>
  </si>
  <si>
    <t>16</t>
  </si>
  <si>
    <t>17</t>
  </si>
  <si>
    <t>18</t>
  </si>
  <si>
    <t>21</t>
  </si>
  <si>
    <t>25</t>
  </si>
  <si>
    <t>26</t>
  </si>
  <si>
    <t>31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</si>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</sst>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68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1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1" fontId="29" fillId="3" borderId="26" xfId="81" applyNumberFormat="1" applyFont="1" applyFill="1" applyBorder="1"/>
    <xf numFmtId="171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2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60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5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6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7" fillId="4" borderId="32" xfId="1" applyFont="1" applyFill="1" applyBorder="1"/>
    <xf numFmtId="0" fontId="47" fillId="4" borderId="16" xfId="1" applyFont="1" applyFill="1" applyBorder="1"/>
    <xf numFmtId="0" fontId="47" fillId="3" borderId="17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4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7" xfId="1" applyFont="1" applyFill="1" applyBorder="1"/>
    <xf numFmtId="0" fontId="47" fillId="3" borderId="3" xfId="1" applyFont="1" applyFill="1" applyBorder="1"/>
    <xf numFmtId="0" fontId="47" fillId="6" borderId="3" xfId="1" applyFont="1" applyFill="1" applyBorder="1"/>
    <xf numFmtId="0" fontId="47" fillId="6" borderId="58" xfId="1" applyFont="1" applyFill="1" applyBorder="1"/>
    <xf numFmtId="0" fontId="47" fillId="2" borderId="3" xfId="1" applyFont="1" applyFill="1" applyBorder="1"/>
    <xf numFmtId="0" fontId="47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59" xfId="0" applyNumberFormat="1" applyFont="1" applyFill="1" applyBorder="1"/>
    <xf numFmtId="0" fontId="51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7" fillId="2" borderId="33" xfId="1" applyFont="1" applyFill="1" applyBorder="1" applyAlignment="1">
      <alignment horizontal="left" indent="2"/>
    </xf>
    <xf numFmtId="0" fontId="51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1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1" fillId="4" borderId="56" xfId="1" applyFont="1" applyFill="1" applyBorder="1" applyAlignment="1">
      <alignment horizontal="left"/>
    </xf>
    <xf numFmtId="0" fontId="47" fillId="4" borderId="33" xfId="1" applyFont="1" applyFill="1" applyBorder="1" applyAlignment="1">
      <alignment horizontal="left" indent="2"/>
    </xf>
    <xf numFmtId="0" fontId="51" fillId="4" borderId="33" xfId="1" applyFont="1" applyFill="1" applyBorder="1" applyAlignment="1">
      <alignment horizontal="left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69" fontId="40" fillId="0" borderId="18" xfId="0" applyNumberFormat="1" applyFont="1" applyFill="1" applyBorder="1" applyAlignment="1"/>
    <xf numFmtId="169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0" fontId="54" fillId="0" borderId="0" xfId="1" applyFont="1" applyFill="1"/>
    <xf numFmtId="3" fontId="53" fillId="0" borderId="0" xfId="26" applyNumberFormat="1" applyFont="1" applyFill="1" applyBorder="1" applyAlignment="1"/>
    <xf numFmtId="3" fontId="40" fillId="2" borderId="74" xfId="0" applyNumberFormat="1" applyFont="1" applyFill="1" applyBorder="1" applyAlignment="1">
      <alignment horizontal="center" vertical="center"/>
    </xf>
    <xf numFmtId="0" fontId="40" fillId="2" borderId="75" xfId="0" applyFont="1" applyFill="1" applyBorder="1" applyAlignment="1">
      <alignment horizontal="center" vertical="center"/>
    </xf>
    <xf numFmtId="0" fontId="40" fillId="2" borderId="76" xfId="0" applyFont="1" applyFill="1" applyBorder="1" applyAlignment="1">
      <alignment horizontal="center" vertical="center"/>
    </xf>
    <xf numFmtId="3" fontId="55" fillId="2" borderId="77" xfId="0" applyNumberFormat="1" applyFont="1" applyFill="1" applyBorder="1" applyAlignment="1">
      <alignment horizontal="center" vertical="center" wrapText="1"/>
    </xf>
    <xf numFmtId="0" fontId="55" fillId="2" borderId="78" xfId="0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40" fillId="2" borderId="80" xfId="0" applyFont="1" applyFill="1" applyBorder="1" applyAlignment="1"/>
    <xf numFmtId="0" fontId="40" fillId="2" borderId="82" xfId="0" applyFont="1" applyFill="1" applyBorder="1" applyAlignment="1">
      <alignment horizontal="left" indent="1"/>
    </xf>
    <xf numFmtId="0" fontId="40" fillId="2" borderId="88" xfId="0" applyFont="1" applyFill="1" applyBorder="1" applyAlignment="1">
      <alignment horizontal="left" indent="1"/>
    </xf>
    <xf numFmtId="0" fontId="40" fillId="4" borderId="80" xfId="0" applyFont="1" applyFill="1" applyBorder="1" applyAlignment="1"/>
    <xf numFmtId="0" fontId="40" fillId="4" borderId="82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2" borderId="82" xfId="0" quotePrefix="1" applyFont="1" applyFill="1" applyBorder="1" applyAlignment="1">
      <alignment horizontal="left" indent="2"/>
    </xf>
    <xf numFmtId="0" fontId="33" fillId="2" borderId="88" xfId="0" quotePrefix="1" applyFont="1" applyFill="1" applyBorder="1" applyAlignment="1">
      <alignment horizontal="left" indent="2"/>
    </xf>
    <xf numFmtId="0" fontId="40" fillId="2" borderId="80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8" xfId="0" applyFont="1" applyFill="1" applyBorder="1" applyAlignment="1">
      <alignment horizontal="left" indent="1"/>
    </xf>
    <xf numFmtId="0" fontId="33" fillId="0" borderId="98" xfId="0" applyFont="1" applyBorder="1"/>
    <xf numFmtId="3" fontId="33" fillId="0" borderId="98" xfId="0" applyNumberFormat="1" applyFont="1" applyBorder="1"/>
    <xf numFmtId="0" fontId="40" fillId="4" borderId="72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3" fontId="40" fillId="2" borderId="97" xfId="0" applyNumberFormat="1" applyFont="1" applyFill="1" applyBorder="1" applyAlignment="1">
      <alignment horizontal="center" vertical="center"/>
    </xf>
    <xf numFmtId="3" fontId="55" fillId="2" borderId="95" xfId="0" applyNumberFormat="1" applyFont="1" applyFill="1" applyBorder="1" applyAlignment="1">
      <alignment horizontal="center" vertical="center" wrapText="1"/>
    </xf>
    <xf numFmtId="173" fontId="40" fillId="4" borderId="81" xfId="0" applyNumberFormat="1" applyFont="1" applyFill="1" applyBorder="1" applyAlignment="1"/>
    <xf numFmtId="173" fontId="40" fillId="4" borderId="74" xfId="0" applyNumberFormat="1" applyFont="1" applyFill="1" applyBorder="1" applyAlignment="1"/>
    <xf numFmtId="173" fontId="40" fillId="4" borderId="75" xfId="0" applyNumberFormat="1" applyFont="1" applyFill="1" applyBorder="1" applyAlignment="1"/>
    <xf numFmtId="173" fontId="40" fillId="4" borderId="76" xfId="0" applyNumberFormat="1" applyFont="1" applyFill="1" applyBorder="1" applyAlignment="1"/>
    <xf numFmtId="173" fontId="40" fillId="0" borderId="83" xfId="0" applyNumberFormat="1" applyFont="1" applyBorder="1"/>
    <xf numFmtId="173" fontId="33" fillId="0" borderId="87" xfId="0" applyNumberFormat="1" applyFont="1" applyBorder="1"/>
    <xf numFmtId="173" fontId="33" fillId="0" borderId="85" xfId="0" applyNumberFormat="1" applyFont="1" applyBorder="1"/>
    <xf numFmtId="173" fontId="33" fillId="0" borderId="86" xfId="0" applyNumberFormat="1" applyFont="1" applyBorder="1"/>
    <xf numFmtId="173" fontId="40" fillId="0" borderId="94" xfId="0" applyNumberFormat="1" applyFont="1" applyBorder="1"/>
    <xf numFmtId="173" fontId="33" fillId="0" borderId="95" xfId="0" applyNumberFormat="1" applyFont="1" applyBorder="1"/>
    <xf numFmtId="173" fontId="33" fillId="0" borderId="78" xfId="0" applyNumberFormat="1" applyFont="1" applyBorder="1"/>
    <xf numFmtId="173" fontId="33" fillId="0" borderId="79" xfId="0" applyNumberFormat="1" applyFont="1" applyBorder="1"/>
    <xf numFmtId="173" fontId="40" fillId="2" borderId="96" xfId="0" applyNumberFormat="1" applyFont="1" applyFill="1" applyBorder="1" applyAlignment="1"/>
    <xf numFmtId="173" fontId="40" fillId="2" borderId="74" xfId="0" applyNumberFormat="1" applyFont="1" applyFill="1" applyBorder="1" applyAlignment="1"/>
    <xf numFmtId="173" fontId="40" fillId="2" borderId="75" xfId="0" applyNumberFormat="1" applyFont="1" applyFill="1" applyBorder="1" applyAlignment="1"/>
    <xf numFmtId="173" fontId="40" fillId="2" borderId="76" xfId="0" applyNumberFormat="1" applyFont="1" applyFill="1" applyBorder="1" applyAlignment="1"/>
    <xf numFmtId="173" fontId="40" fillId="0" borderId="89" xfId="0" applyNumberFormat="1" applyFont="1" applyBorder="1"/>
    <xf numFmtId="173" fontId="33" fillId="0" borderId="90" xfId="0" applyNumberFormat="1" applyFont="1" applyBorder="1"/>
    <xf numFmtId="173" fontId="33" fillId="0" borderId="91" xfId="0" applyNumberFormat="1" applyFont="1" applyBorder="1"/>
    <xf numFmtId="173" fontId="33" fillId="0" borderId="92" xfId="0" applyNumberFormat="1" applyFont="1" applyBorder="1"/>
    <xf numFmtId="173" fontId="40" fillId="0" borderId="81" xfId="0" applyNumberFormat="1" applyFont="1" applyBorder="1"/>
    <xf numFmtId="173" fontId="33" fillId="0" borderId="97" xfId="0" applyNumberFormat="1" applyFont="1" applyBorder="1"/>
    <xf numFmtId="173" fontId="33" fillId="0" borderId="75" xfId="0" applyNumberFormat="1" applyFont="1" applyBorder="1"/>
    <xf numFmtId="173" fontId="33" fillId="0" borderId="76" xfId="0" applyNumberFormat="1" applyFont="1" applyBorder="1"/>
    <xf numFmtId="174" fontId="40" fillId="2" borderId="81" xfId="0" applyNumberFormat="1" applyFont="1" applyFill="1" applyBorder="1" applyAlignment="1"/>
    <xf numFmtId="174" fontId="33" fillId="2" borderId="74" xfId="0" applyNumberFormat="1" applyFont="1" applyFill="1" applyBorder="1" applyAlignment="1"/>
    <xf numFmtId="174" fontId="33" fillId="2" borderId="75" xfId="0" applyNumberFormat="1" applyFont="1" applyFill="1" applyBorder="1" applyAlignment="1"/>
    <xf numFmtId="174" fontId="33" fillId="2" borderId="76" xfId="0" applyNumberFormat="1" applyFont="1" applyFill="1" applyBorder="1" applyAlignment="1"/>
    <xf numFmtId="174" fontId="40" fillId="0" borderId="83" xfId="0" applyNumberFormat="1" applyFont="1" applyBorder="1"/>
    <xf numFmtId="174" fontId="33" fillId="0" borderId="84" xfId="0" applyNumberFormat="1" applyFont="1" applyBorder="1"/>
    <xf numFmtId="174" fontId="33" fillId="0" borderId="85" xfId="0" applyNumberFormat="1" applyFont="1" applyBorder="1"/>
    <xf numFmtId="174" fontId="33" fillId="0" borderId="86" xfId="0" applyNumberFormat="1" applyFont="1" applyBorder="1"/>
    <xf numFmtId="174" fontId="33" fillId="0" borderId="87" xfId="0" applyNumberFormat="1" applyFont="1" applyBorder="1"/>
    <xf numFmtId="174" fontId="40" fillId="0" borderId="89" xfId="0" applyNumberFormat="1" applyFont="1" applyBorder="1"/>
    <xf numFmtId="174" fontId="33" fillId="0" borderId="90" xfId="0" applyNumberFormat="1" applyFont="1" applyBorder="1"/>
    <xf numFmtId="174" fontId="33" fillId="0" borderId="91" xfId="0" applyNumberFormat="1" applyFont="1" applyBorder="1"/>
    <xf numFmtId="174" fontId="33" fillId="0" borderId="92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1" xfId="0" applyNumberFormat="1" applyFont="1" applyFill="1" applyBorder="1" applyAlignment="1">
      <alignment horizontal="center"/>
    </xf>
    <xf numFmtId="175" fontId="40" fillId="0" borderId="89" xfId="0" applyNumberFormat="1" applyFont="1" applyBorder="1"/>
    <xf numFmtId="0" fontId="32" fillId="2" borderId="107" xfId="74" applyFont="1" applyFill="1" applyBorder="1" applyAlignment="1">
      <alignment horizontal="center"/>
    </xf>
    <xf numFmtId="0" fontId="32" fillId="2" borderId="76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30" fillId="5" borderId="0" xfId="74" applyFont="1" applyFill="1" applyAlignment="1">
      <alignment horizontal="center"/>
    </xf>
    <xf numFmtId="9" fontId="33" fillId="0" borderId="26" xfId="0" applyNumberFormat="1" applyFont="1" applyFill="1" applyBorder="1"/>
    <xf numFmtId="9" fontId="33" fillId="0" borderId="19" xfId="0" applyNumberFormat="1" applyFont="1" applyFill="1" applyBorder="1"/>
    <xf numFmtId="0" fontId="26" fillId="2" borderId="33" xfId="1" applyFill="1" applyBorder="1" applyAlignment="1">
      <alignment horizontal="left" indent="4"/>
    </xf>
    <xf numFmtId="0" fontId="33" fillId="0" borderId="98" xfId="0" applyFont="1" applyFill="1" applyBorder="1" applyAlignment="1"/>
    <xf numFmtId="3" fontId="40" fillId="0" borderId="18" xfId="0" applyNumberFormat="1" applyFont="1" applyFill="1" applyBorder="1" applyAlignment="1"/>
    <xf numFmtId="3" fontId="40" fillId="0" borderId="26" xfId="0" applyNumberFormat="1" applyFont="1" applyFill="1" applyBorder="1" applyAlignment="1"/>
    <xf numFmtId="169" fontId="40" fillId="0" borderId="19" xfId="0" applyNumberFormat="1" applyFont="1" applyFill="1" applyBorder="1" applyAlignment="1"/>
    <xf numFmtId="9" fontId="40" fillId="0" borderId="83" xfId="0" applyNumberFormat="1" applyFont="1" applyBorder="1"/>
    <xf numFmtId="9" fontId="33" fillId="0" borderId="87" xfId="0" applyNumberFormat="1" applyFont="1" applyBorder="1"/>
    <xf numFmtId="9" fontId="33" fillId="0" borderId="85" xfId="0" applyNumberFormat="1" applyFont="1" applyBorder="1"/>
    <xf numFmtId="9" fontId="33" fillId="0" borderId="86" xfId="0" applyNumberFormat="1" applyFont="1" applyBorder="1"/>
    <xf numFmtId="0" fontId="41" fillId="0" borderId="98" xfId="0" applyFont="1" applyFill="1" applyBorder="1" applyAlignment="1"/>
    <xf numFmtId="173" fontId="40" fillId="4" borderId="76" xfId="0" applyNumberFormat="1" applyFont="1" applyFill="1" applyBorder="1" applyAlignment="1">
      <alignment horizontal="center"/>
    </xf>
    <xf numFmtId="173" fontId="33" fillId="0" borderId="86" xfId="0" applyNumberFormat="1" applyFont="1" applyBorder="1" applyAlignment="1">
      <alignment horizontal="right"/>
    </xf>
    <xf numFmtId="175" fontId="33" fillId="0" borderId="86" xfId="0" applyNumberFormat="1" applyFont="1" applyBorder="1" applyAlignment="1">
      <alignment horizontal="right"/>
    </xf>
    <xf numFmtId="173" fontId="33" fillId="0" borderId="79" xfId="0" applyNumberFormat="1" applyFont="1" applyBorder="1" applyAlignment="1">
      <alignment horizontal="right"/>
    </xf>
    <xf numFmtId="0" fontId="55" fillId="2" borderId="95" xfId="0" applyFont="1" applyFill="1" applyBorder="1" applyAlignment="1">
      <alignment horizontal="center" vertical="center" wrapText="1"/>
    </xf>
    <xf numFmtId="174" fontId="33" fillId="2" borderId="97" xfId="0" applyNumberFormat="1" applyFont="1" applyFill="1" applyBorder="1" applyAlignment="1"/>
    <xf numFmtId="173" fontId="40" fillId="4" borderId="97" xfId="0" applyNumberFormat="1" applyFont="1" applyFill="1" applyBorder="1" applyAlignment="1"/>
    <xf numFmtId="173" fontId="40" fillId="2" borderId="97" xfId="0" applyNumberFormat="1" applyFont="1" applyFill="1" applyBorder="1" applyAlignment="1"/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107" xfId="81" applyFont="1" applyFill="1" applyBorder="1" applyAlignment="1">
      <alignment horizontal="center"/>
    </xf>
    <xf numFmtId="0" fontId="32" fillId="2" borderId="102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94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1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1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166" fontId="40" fillId="2" borderId="73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175" fontId="33" fillId="0" borderId="105" xfId="0" applyNumberFormat="1" applyFont="1" applyBorder="1" applyAlignment="1">
      <alignment horizontal="right"/>
    </xf>
    <xf numFmtId="175" fontId="33" fillId="0" borderId="103" xfId="0" applyNumberFormat="1" applyFont="1" applyBorder="1" applyAlignment="1">
      <alignment horizontal="right"/>
    </xf>
    <xf numFmtId="0" fontId="0" fillId="0" borderId="103" xfId="0" applyBorder="1" applyAlignment="1">
      <alignment horizontal="right"/>
    </xf>
    <xf numFmtId="0" fontId="0" fillId="0" borderId="87" xfId="0" applyBorder="1" applyAlignment="1">
      <alignment horizontal="right"/>
    </xf>
    <xf numFmtId="173" fontId="33" fillId="0" borderId="106" xfId="0" applyNumberFormat="1" applyFont="1" applyBorder="1" applyAlignment="1">
      <alignment horizontal="right"/>
    </xf>
    <xf numFmtId="173" fontId="33" fillId="0" borderId="104" xfId="0" applyNumberFormat="1" applyFont="1" applyBorder="1" applyAlignment="1">
      <alignment horizontal="right"/>
    </xf>
    <xf numFmtId="0" fontId="0" fillId="0" borderId="104" xfId="0" applyBorder="1" applyAlignment="1">
      <alignment horizontal="right"/>
    </xf>
    <xf numFmtId="0" fontId="0" fillId="0" borderId="95" xfId="0" applyBorder="1" applyAlignment="1">
      <alignment horizontal="right"/>
    </xf>
    <xf numFmtId="175" fontId="33" fillId="0" borderId="99" xfId="0" applyNumberFormat="1" applyFont="1" applyBorder="1" applyAlignment="1">
      <alignment horizontal="right"/>
    </xf>
    <xf numFmtId="173" fontId="33" fillId="0" borderId="100" xfId="0" applyNumberFormat="1" applyFont="1" applyBorder="1" applyAlignment="1">
      <alignment horizontal="right"/>
    </xf>
    <xf numFmtId="173" fontId="40" fillId="4" borderId="107" xfId="0" applyNumberFormat="1" applyFont="1" applyFill="1" applyBorder="1" applyAlignment="1">
      <alignment horizontal="center"/>
    </xf>
    <xf numFmtId="173" fontId="40" fillId="4" borderId="102" xfId="0" applyNumberFormat="1" applyFont="1" applyFill="1" applyBorder="1" applyAlignment="1">
      <alignment horizontal="center"/>
    </xf>
    <xf numFmtId="0" fontId="0" fillId="0" borderId="102" xfId="0" applyBorder="1" applyAlignment="1"/>
    <xf numFmtId="0" fontId="0" fillId="0" borderId="97" xfId="0" applyBorder="1" applyAlignment="1"/>
    <xf numFmtId="173" fontId="33" fillId="0" borderId="105" xfId="0" applyNumberFormat="1" applyFont="1" applyBorder="1" applyAlignment="1">
      <alignment horizontal="right"/>
    </xf>
    <xf numFmtId="173" fontId="33" fillId="0" borderId="103" xfId="0" applyNumberFormat="1" applyFont="1" applyBorder="1" applyAlignment="1">
      <alignment horizontal="right"/>
    </xf>
    <xf numFmtId="173" fontId="40" fillId="4" borderId="101" xfId="0" applyNumberFormat="1" applyFont="1" applyFill="1" applyBorder="1" applyAlignment="1">
      <alignment horizontal="center"/>
    </xf>
    <xf numFmtId="0" fontId="0" fillId="0" borderId="102" xfId="0" applyBorder="1" applyAlignment="1">
      <alignment horizontal="center"/>
    </xf>
    <xf numFmtId="0" fontId="0" fillId="0" borderId="97" xfId="0" applyBorder="1" applyAlignment="1">
      <alignment horizontal="center"/>
    </xf>
    <xf numFmtId="173" fontId="33" fillId="0" borderId="99" xfId="0" applyNumberFormat="1" applyFont="1" applyBorder="1" applyAlignment="1">
      <alignment horizontal="right"/>
    </xf>
    <xf numFmtId="173" fontId="33" fillId="0" borderId="99" xfId="0" applyNumberFormat="1" applyFont="1" applyBorder="1" applyAlignment="1">
      <alignment horizontal="right" wrapText="1"/>
    </xf>
    <xf numFmtId="0" fontId="0" fillId="0" borderId="103" xfId="0" applyBorder="1" applyAlignment="1">
      <alignment horizontal="right" wrapText="1"/>
    </xf>
    <xf numFmtId="0" fontId="0" fillId="0" borderId="87" xfId="0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98" xfId="26" applyNumberFormat="1" applyFont="1" applyFill="1" applyBorder="1" applyAlignment="1">
      <alignment horizontal="center"/>
    </xf>
    <xf numFmtId="3" fontId="32" fillId="2" borderId="73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5" fillId="2" borderId="49" xfId="0" applyNumberFormat="1" applyFont="1" applyFill="1" applyBorder="1" applyAlignment="1">
      <alignment horizontal="center" vertical="top"/>
    </xf>
    <xf numFmtId="0" fontId="32" fillId="2" borderId="72" xfId="0" applyNumberFormat="1" applyFont="1" applyFill="1" applyBorder="1" applyAlignment="1">
      <alignment horizontal="center" vertical="top"/>
    </xf>
    <xf numFmtId="0" fontId="32" fillId="2" borderId="72" xfId="0" applyFont="1" applyFill="1" applyBorder="1" applyAlignment="1">
      <alignment horizontal="center" vertical="top" wrapText="1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49" fontId="32" fillId="2" borderId="29" xfId="0" applyNumberFormat="1" applyFont="1" applyFill="1" applyBorder="1" applyAlignment="1">
      <alignment horizontal="center" vertical="top"/>
    </xf>
    <xf numFmtId="0" fontId="45" fillId="2" borderId="49" xfId="0" applyNumberFormat="1" applyFont="1" applyFill="1" applyBorder="1" applyAlignment="1">
      <alignment horizontal="center" vertical="top"/>
    </xf>
    <xf numFmtId="3" fontId="34" fillId="7" borderId="110" xfId="0" applyNumberFormat="1" applyFont="1" applyFill="1" applyBorder="1" applyAlignment="1">
      <alignment horizontal="right" vertical="top"/>
    </xf>
    <xf numFmtId="3" fontId="34" fillId="7" borderId="111" xfId="0" applyNumberFormat="1" applyFont="1" applyFill="1" applyBorder="1" applyAlignment="1">
      <alignment horizontal="right" vertical="top"/>
    </xf>
    <xf numFmtId="176" fontId="34" fillId="7" borderId="112" xfId="0" applyNumberFormat="1" applyFont="1" applyFill="1" applyBorder="1" applyAlignment="1">
      <alignment horizontal="right" vertical="top"/>
    </xf>
    <xf numFmtId="3" fontId="34" fillId="0" borderId="110" xfId="0" applyNumberFormat="1" applyFont="1" applyBorder="1" applyAlignment="1">
      <alignment horizontal="right" vertical="top"/>
    </xf>
    <xf numFmtId="176" fontId="34" fillId="7" borderId="113" xfId="0" applyNumberFormat="1" applyFont="1" applyFill="1" applyBorder="1" applyAlignment="1">
      <alignment horizontal="right" vertical="top"/>
    </xf>
    <xf numFmtId="3" fontId="36" fillId="7" borderId="115" xfId="0" applyNumberFormat="1" applyFont="1" applyFill="1" applyBorder="1" applyAlignment="1">
      <alignment horizontal="right" vertical="top"/>
    </xf>
    <xf numFmtId="3" fontId="36" fillId="7" borderId="116" xfId="0" applyNumberFormat="1" applyFont="1" applyFill="1" applyBorder="1" applyAlignment="1">
      <alignment horizontal="right" vertical="top"/>
    </xf>
    <xf numFmtId="0" fontId="36" fillId="7" borderId="117" xfId="0" applyFont="1" applyFill="1" applyBorder="1" applyAlignment="1">
      <alignment horizontal="right" vertical="top"/>
    </xf>
    <xf numFmtId="3" fontId="36" fillId="0" borderId="115" xfId="0" applyNumberFormat="1" applyFont="1" applyBorder="1" applyAlignment="1">
      <alignment horizontal="right" vertical="top"/>
    </xf>
    <xf numFmtId="0" fontId="36" fillId="7" borderId="118" xfId="0" applyFont="1" applyFill="1" applyBorder="1" applyAlignment="1">
      <alignment horizontal="right" vertical="top"/>
    </xf>
    <xf numFmtId="0" fontId="34" fillId="7" borderId="112" xfId="0" applyFont="1" applyFill="1" applyBorder="1" applyAlignment="1">
      <alignment horizontal="right" vertical="top"/>
    </xf>
    <xf numFmtId="0" fontId="34" fillId="7" borderId="113" xfId="0" applyFont="1" applyFill="1" applyBorder="1" applyAlignment="1">
      <alignment horizontal="right" vertical="top"/>
    </xf>
    <xf numFmtId="176" fontId="36" fillId="7" borderId="117" xfId="0" applyNumberFormat="1" applyFont="1" applyFill="1" applyBorder="1" applyAlignment="1">
      <alignment horizontal="right" vertical="top"/>
    </xf>
    <xf numFmtId="176" fontId="36" fillId="7" borderId="118" xfId="0" applyNumberFormat="1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0" borderId="121" xfId="0" applyFont="1" applyBorder="1" applyAlignment="1">
      <alignment horizontal="right" vertical="top"/>
    </xf>
    <xf numFmtId="176" fontId="36" fillId="7" borderId="122" xfId="0" applyNumberFormat="1" applyFont="1" applyFill="1" applyBorder="1" applyAlignment="1">
      <alignment horizontal="right" vertical="top"/>
    </xf>
    <xf numFmtId="0" fontId="38" fillId="8" borderId="109" xfId="0" applyFont="1" applyFill="1" applyBorder="1" applyAlignment="1">
      <alignment vertical="top"/>
    </xf>
    <xf numFmtId="0" fontId="38" fillId="8" borderId="109" xfId="0" applyFont="1" applyFill="1" applyBorder="1" applyAlignment="1">
      <alignment vertical="top" indent="2"/>
    </xf>
    <xf numFmtId="0" fontId="38" fillId="8" borderId="109" xfId="0" applyFont="1" applyFill="1" applyBorder="1" applyAlignment="1">
      <alignment vertical="top" indent="4"/>
    </xf>
    <xf numFmtId="0" fontId="39" fillId="8" borderId="114" xfId="0" applyFont="1" applyFill="1" applyBorder="1" applyAlignment="1">
      <alignment vertical="top" indent="6"/>
    </xf>
    <xf numFmtId="0" fontId="38" fillId="8" borderId="109" xfId="0" applyFont="1" applyFill="1" applyBorder="1" applyAlignment="1">
      <alignment vertical="top" indent="8"/>
    </xf>
    <xf numFmtId="0" fontId="39" fillId="8" borderId="114" xfId="0" applyFont="1" applyFill="1" applyBorder="1" applyAlignment="1">
      <alignment vertical="top" indent="2"/>
    </xf>
    <xf numFmtId="0" fontId="39" fillId="8" borderId="114" xfId="0" applyFont="1" applyFill="1" applyBorder="1" applyAlignment="1">
      <alignment vertical="top" indent="4"/>
    </xf>
    <xf numFmtId="0" fontId="39" fillId="8" borderId="114" xfId="0" applyFont="1" applyFill="1" applyBorder="1" applyAlignment="1">
      <alignment vertical="top"/>
    </xf>
    <xf numFmtId="0" fontId="33" fillId="8" borderId="109" xfId="0" applyFont="1" applyFill="1" applyBorder="1"/>
    <xf numFmtId="0" fontId="39" fillId="8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3" fillId="2" borderId="123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18" xfId="0" applyFont="1" applyFill="1" applyBorder="1"/>
    <xf numFmtId="0" fontId="40" fillId="8" borderId="25" xfId="0" applyFont="1" applyFill="1" applyBorder="1"/>
    <xf numFmtId="3" fontId="3" fillId="2" borderId="91" xfId="80" applyNumberFormat="1" applyFont="1" applyFill="1" applyBorder="1"/>
    <xf numFmtId="0" fontId="3" fillId="2" borderId="91" xfId="80" applyFont="1" applyFill="1" applyBorder="1"/>
    <xf numFmtId="3" fontId="33" fillId="0" borderId="18" xfId="0" applyNumberFormat="1" applyFont="1" applyFill="1" applyBorder="1"/>
    <xf numFmtId="0" fontId="33" fillId="0" borderId="26" xfId="0" applyFont="1" applyFill="1" applyBorder="1"/>
    <xf numFmtId="3" fontId="33" fillId="0" borderId="26" xfId="0" applyNumberFormat="1" applyFont="1" applyFill="1" applyBorder="1"/>
    <xf numFmtId="3" fontId="33" fillId="0" borderId="50" xfId="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3" fontId="33" fillId="0" borderId="27" xfId="0" applyNumberFormat="1" applyFont="1" applyFill="1" applyBorder="1"/>
    <xf numFmtId="0" fontId="3" fillId="2" borderId="124" xfId="79" applyFont="1" applyFill="1" applyBorder="1" applyAlignment="1">
      <alignment horizontal="left"/>
    </xf>
    <xf numFmtId="0" fontId="3" fillId="2" borderId="125" xfId="79" applyFont="1" applyFill="1" applyBorder="1" applyAlignment="1">
      <alignment horizontal="left"/>
    </xf>
    <xf numFmtId="0" fontId="3" fillId="2" borderId="126" xfId="80" applyFont="1" applyFill="1" applyBorder="1" applyAlignment="1">
      <alignment horizontal="left"/>
    </xf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3" fillId="0" borderId="26" xfId="0" applyFont="1" applyFill="1" applyBorder="1" applyAlignment="1">
      <alignment horizontal="right"/>
    </xf>
    <xf numFmtId="0" fontId="33" fillId="0" borderId="26" xfId="0" applyFont="1" applyFill="1" applyBorder="1" applyAlignment="1">
      <alignment horizontal="left"/>
    </xf>
    <xf numFmtId="164" fontId="33" fillId="0" borderId="26" xfId="0" applyNumberFormat="1" applyFont="1" applyFill="1" applyBorder="1"/>
    <xf numFmtId="165" fontId="33" fillId="0" borderId="26" xfId="0" applyNumberFormat="1" applyFont="1" applyFill="1" applyBorder="1"/>
    <xf numFmtId="0" fontId="40" fillId="2" borderId="51" xfId="0" applyFont="1" applyFill="1" applyBorder="1"/>
    <xf numFmtId="3" fontId="40" fillId="2" borderId="128" xfId="0" applyNumberFormat="1" applyFont="1" applyFill="1" applyBorder="1"/>
    <xf numFmtId="9" fontId="40" fillId="2" borderId="71" xfId="0" applyNumberFormat="1" applyFont="1" applyFill="1" applyBorder="1"/>
    <xf numFmtId="3" fontId="40" fillId="2" borderId="65" xfId="0" applyNumberFormat="1" applyFont="1" applyFill="1" applyBorder="1"/>
    <xf numFmtId="3" fontId="33" fillId="0" borderId="53" xfId="0" applyNumberFormat="1" applyFont="1" applyFill="1" applyBorder="1"/>
    <xf numFmtId="9" fontId="33" fillId="0" borderId="53" xfId="0" applyNumberFormat="1" applyFont="1" applyFill="1" applyBorder="1"/>
    <xf numFmtId="3" fontId="33" fillId="0" borderId="59" xfId="0" applyNumberFormat="1" applyFont="1" applyFill="1" applyBorder="1"/>
    <xf numFmtId="0" fontId="33" fillId="0" borderId="23" xfId="0" applyFont="1" applyFill="1" applyBorder="1"/>
    <xf numFmtId="9" fontId="33" fillId="0" borderId="28" xfId="0" applyNumberFormat="1" applyFont="1" applyFill="1" applyBorder="1"/>
    <xf numFmtId="3" fontId="33" fillId="0" borderId="24" xfId="0" applyNumberFormat="1" applyFont="1" applyFill="1" applyBorder="1"/>
    <xf numFmtId="0" fontId="33" fillId="0" borderId="129" xfId="0" applyFont="1" applyFill="1" applyBorder="1"/>
    <xf numFmtId="3" fontId="33" fillId="0" borderId="130" xfId="0" applyNumberFormat="1" applyFont="1" applyFill="1" applyBorder="1"/>
    <xf numFmtId="9" fontId="33" fillId="0" borderId="130" xfId="0" applyNumberFormat="1" applyFont="1" applyFill="1" applyBorder="1"/>
    <xf numFmtId="3" fontId="33" fillId="0" borderId="131" xfId="0" applyNumberFormat="1" applyFont="1" applyFill="1" applyBorder="1"/>
    <xf numFmtId="3" fontId="33" fillId="0" borderId="19" xfId="0" applyNumberFormat="1" applyFont="1" applyFill="1" applyBorder="1"/>
    <xf numFmtId="0" fontId="40" fillId="8" borderId="18" xfId="0" applyFont="1" applyFill="1" applyBorder="1"/>
    <xf numFmtId="3" fontId="40" fillId="8" borderId="26" xfId="0" applyNumberFormat="1" applyFont="1" applyFill="1" applyBorder="1"/>
    <xf numFmtId="9" fontId="40" fillId="8" borderId="26" xfId="0" applyNumberFormat="1" applyFont="1" applyFill="1" applyBorder="1"/>
    <xf numFmtId="3" fontId="40" fillId="8" borderId="19" xfId="0" applyNumberFormat="1" applyFont="1" applyFill="1" applyBorder="1"/>
    <xf numFmtId="0" fontId="40" fillId="0" borderId="51" xfId="0" applyFont="1" applyFill="1" applyBorder="1"/>
    <xf numFmtId="0" fontId="33" fillId="5" borderId="9" xfId="0" applyFont="1" applyFill="1" applyBorder="1" applyAlignment="1">
      <alignment wrapText="1"/>
    </xf>
    <xf numFmtId="0" fontId="40" fillId="2" borderId="53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164" fontId="32" fillId="2" borderId="51" xfId="53" applyNumberFormat="1" applyFont="1" applyFill="1" applyBorder="1" applyAlignment="1">
      <alignment horizontal="left"/>
    </xf>
    <xf numFmtId="164" fontId="32" fillId="2" borderId="53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3" fontId="32" fillId="2" borderId="57" xfId="53" applyNumberFormat="1" applyFont="1" applyFill="1" applyBorder="1" applyAlignment="1">
      <alignment horizontal="left"/>
    </xf>
    <xf numFmtId="3" fontId="32" fillId="2" borderId="65" xfId="53" applyNumberFormat="1" applyFont="1" applyFill="1" applyBorder="1" applyAlignment="1">
      <alignment horizontal="left"/>
    </xf>
    <xf numFmtId="0" fontId="33" fillId="0" borderId="28" xfId="0" applyFont="1" applyFill="1" applyBorder="1"/>
    <xf numFmtId="164" fontId="33" fillId="0" borderId="28" xfId="0" applyNumberFormat="1" applyFont="1" applyFill="1" applyBorder="1"/>
    <xf numFmtId="164" fontId="33" fillId="0" borderId="28" xfId="0" applyNumberFormat="1" applyFont="1" applyFill="1" applyBorder="1" applyAlignment="1">
      <alignment horizontal="right"/>
    </xf>
    <xf numFmtId="0" fontId="33" fillId="0" borderId="132" xfId="0" applyFont="1" applyFill="1" applyBorder="1"/>
    <xf numFmtId="0" fontId="33" fillId="0" borderId="133" xfId="0" applyFont="1" applyFill="1" applyBorder="1"/>
    <xf numFmtId="164" fontId="33" fillId="0" borderId="133" xfId="0" applyNumberFormat="1" applyFont="1" applyFill="1" applyBorder="1"/>
    <xf numFmtId="164" fontId="33" fillId="0" borderId="133" xfId="0" applyNumberFormat="1" applyFont="1" applyFill="1" applyBorder="1" applyAlignment="1">
      <alignment horizontal="right"/>
    </xf>
    <xf numFmtId="3" fontId="33" fillId="0" borderId="133" xfId="0" applyNumberFormat="1" applyFont="1" applyFill="1" applyBorder="1"/>
    <xf numFmtId="3" fontId="33" fillId="0" borderId="134" xfId="0" applyNumberFormat="1" applyFont="1" applyFill="1" applyBorder="1"/>
    <xf numFmtId="0" fontId="33" fillId="0" borderId="130" xfId="0" applyFont="1" applyFill="1" applyBorder="1"/>
    <xf numFmtId="164" fontId="33" fillId="0" borderId="130" xfId="0" applyNumberFormat="1" applyFont="1" applyFill="1" applyBorder="1"/>
    <xf numFmtId="164" fontId="33" fillId="0" borderId="130" xfId="0" applyNumberFormat="1" applyFont="1" applyFill="1" applyBorder="1" applyAlignment="1">
      <alignment horizontal="right"/>
    </xf>
    <xf numFmtId="0" fontId="33" fillId="2" borderId="65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69" fontId="33" fillId="0" borderId="28" xfId="0" applyNumberFormat="1" applyFont="1" applyFill="1" applyBorder="1"/>
    <xf numFmtId="169" fontId="33" fillId="0" borderId="133" xfId="0" applyNumberFormat="1" applyFont="1" applyFill="1" applyBorder="1"/>
    <xf numFmtId="9" fontId="33" fillId="0" borderId="133" xfId="0" applyNumberFormat="1" applyFont="1" applyFill="1" applyBorder="1"/>
    <xf numFmtId="9" fontId="33" fillId="0" borderId="134" xfId="0" applyNumberFormat="1" applyFont="1" applyFill="1" applyBorder="1"/>
    <xf numFmtId="169" fontId="33" fillId="0" borderId="130" xfId="0" applyNumberFormat="1" applyFont="1" applyFill="1" applyBorder="1"/>
    <xf numFmtId="9" fontId="33" fillId="0" borderId="131" xfId="0" applyNumberFormat="1" applyFont="1" applyFill="1" applyBorder="1"/>
    <xf numFmtId="0" fontId="40" fillId="0" borderId="23" xfId="0" applyFont="1" applyFill="1" applyBorder="1"/>
    <xf numFmtId="0" fontId="40" fillId="0" borderId="132" xfId="0" applyFont="1" applyFill="1" applyBorder="1"/>
    <xf numFmtId="0" fontId="40" fillId="0" borderId="129" xfId="0" applyFont="1" applyFill="1" applyBorder="1"/>
    <xf numFmtId="169" fontId="33" fillId="0" borderId="24" xfId="0" applyNumberFormat="1" applyFont="1" applyFill="1" applyBorder="1"/>
    <xf numFmtId="169" fontId="33" fillId="0" borderId="134" xfId="0" applyNumberFormat="1" applyFont="1" applyFill="1" applyBorder="1"/>
    <xf numFmtId="169" fontId="33" fillId="0" borderId="131" xfId="0" applyNumberFormat="1" applyFont="1" applyFill="1" applyBorder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4.6679128712971281</c:v>
                </c:pt>
                <c:pt idx="1">
                  <c:v>2.3603487255246693</c:v>
                </c:pt>
                <c:pt idx="2">
                  <c:v>2.3562454456735815</c:v>
                </c:pt>
                <c:pt idx="3">
                  <c:v>2.0513425194345252</c:v>
                </c:pt>
                <c:pt idx="4">
                  <c:v>2.4180300736222011</c:v>
                </c:pt>
                <c:pt idx="5">
                  <c:v>2.3862860203023035</c:v>
                </c:pt>
                <c:pt idx="6">
                  <c:v>2.5614788704698612</c:v>
                </c:pt>
                <c:pt idx="7">
                  <c:v>2.4620644290735112</c:v>
                </c:pt>
                <c:pt idx="8">
                  <c:v>2.1985487004042952</c:v>
                </c:pt>
                <c:pt idx="9">
                  <c:v>2.367790435487974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26783584"/>
        <c:axId val="-13267830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2.4249707685968853</c:v>
                </c:pt>
                <c:pt idx="1">
                  <c:v>2.4249707685968853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26788480"/>
        <c:axId val="-1326787936"/>
      </c:scatterChart>
      <c:catAx>
        <c:axId val="-1326783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32678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26783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326783584"/>
        <c:crosses val="autoZero"/>
        <c:crossBetween val="between"/>
      </c:valAx>
      <c:valAx>
        <c:axId val="-13267884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326787936"/>
        <c:crosses val="max"/>
        <c:crossBetween val="midCat"/>
      </c:valAx>
      <c:valAx>
        <c:axId val="-13267879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32678848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30" t="s">
        <v>106</v>
      </c>
      <c r="B1" s="330"/>
    </row>
    <row r="2" spans="1:3" ht="14.4" customHeight="1" thickBot="1" x14ac:dyDescent="0.35">
      <c r="A2" s="230" t="s">
        <v>253</v>
      </c>
      <c r="B2" s="46"/>
    </row>
    <row r="3" spans="1:3" ht="14.4" customHeight="1" thickBot="1" x14ac:dyDescent="0.35">
      <c r="A3" s="326" t="s">
        <v>135</v>
      </c>
      <c r="B3" s="327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117</v>
      </c>
      <c r="C4" s="47" t="s">
        <v>118</v>
      </c>
    </row>
    <row r="5" spans="1:3" ht="14.4" customHeight="1" x14ac:dyDescent="0.3">
      <c r="A5" s="146" t="str">
        <f t="shared" si="0"/>
        <v>HI</v>
      </c>
      <c r="B5" s="89" t="s">
        <v>132</v>
      </c>
      <c r="C5" s="47" t="s">
        <v>109</v>
      </c>
    </row>
    <row r="6" spans="1:3" ht="14.4" customHeight="1" x14ac:dyDescent="0.3">
      <c r="A6" s="147" t="str">
        <f t="shared" si="0"/>
        <v>HI Graf</v>
      </c>
      <c r="B6" s="90" t="s">
        <v>102</v>
      </c>
      <c r="C6" s="47" t="s">
        <v>110</v>
      </c>
    </row>
    <row r="7" spans="1:3" ht="14.4" customHeight="1" x14ac:dyDescent="0.3">
      <c r="A7" s="147" t="str">
        <f t="shared" si="0"/>
        <v>Man Tab</v>
      </c>
      <c r="B7" s="90" t="s">
        <v>255</v>
      </c>
      <c r="C7" s="47" t="s">
        <v>111</v>
      </c>
    </row>
    <row r="8" spans="1:3" ht="14.4" customHeight="1" thickBot="1" x14ac:dyDescent="0.35">
      <c r="A8" s="148" t="str">
        <f t="shared" si="0"/>
        <v>HV</v>
      </c>
      <c r="B8" s="91" t="s">
        <v>60</v>
      </c>
      <c r="C8" s="47" t="s">
        <v>65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8" t="s">
        <v>107</v>
      </c>
      <c r="B10" s="327"/>
    </row>
    <row r="11" spans="1:3" ht="14.4" customHeight="1" x14ac:dyDescent="0.3">
      <c r="A11" s="147" t="str">
        <f t="shared" ref="A11:A18" si="1">HYPERLINK("#'"&amp;C11&amp;"'!A1",C11)</f>
        <v>Léky Recepty</v>
      </c>
      <c r="B11" s="90" t="s">
        <v>133</v>
      </c>
      <c r="C11" s="47" t="s">
        <v>112</v>
      </c>
    </row>
    <row r="12" spans="1:3" ht="14.4" customHeight="1" x14ac:dyDescent="0.3">
      <c r="A12" s="147" t="str">
        <f t="shared" si="1"/>
        <v>LRp Lékaři</v>
      </c>
      <c r="B12" s="90" t="s">
        <v>141</v>
      </c>
      <c r="C12" s="47" t="s">
        <v>142</v>
      </c>
    </row>
    <row r="13" spans="1:3" ht="14.4" customHeight="1" x14ac:dyDescent="0.3">
      <c r="A13" s="147" t="str">
        <f t="shared" si="1"/>
        <v>LRp Detail</v>
      </c>
      <c r="B13" s="90" t="s">
        <v>329</v>
      </c>
      <c r="C13" s="47" t="s">
        <v>113</v>
      </c>
    </row>
    <row r="14" spans="1:3" ht="28.8" customHeight="1" x14ac:dyDescent="0.3">
      <c r="A14" s="147" t="str">
        <f t="shared" si="1"/>
        <v>LRp PL</v>
      </c>
      <c r="B14" s="514" t="s">
        <v>330</v>
      </c>
      <c r="C14" s="47" t="s">
        <v>138</v>
      </c>
    </row>
    <row r="15" spans="1:3" ht="14.4" customHeight="1" x14ac:dyDescent="0.3">
      <c r="A15" s="147" t="str">
        <f>HYPERLINK("#'"&amp;C15&amp;"'!A1",C15)</f>
        <v>LRp PL Detail</v>
      </c>
      <c r="B15" s="90" t="s">
        <v>333</v>
      </c>
      <c r="C15" s="47" t="s">
        <v>139</v>
      </c>
    </row>
    <row r="16" spans="1:3" ht="14.4" customHeight="1" x14ac:dyDescent="0.3">
      <c r="A16" s="149" t="str">
        <f t="shared" ref="A16" si="2">HYPERLINK("#'"&amp;C16&amp;"'!A1",C16)</f>
        <v>Materiál Žádanky</v>
      </c>
      <c r="B16" s="90" t="s">
        <v>134</v>
      </c>
      <c r="C16" s="47" t="s">
        <v>114</v>
      </c>
    </row>
    <row r="17" spans="1:3" ht="14.4" customHeight="1" x14ac:dyDescent="0.3">
      <c r="A17" s="147" t="str">
        <f t="shared" si="1"/>
        <v>MŽ Detail</v>
      </c>
      <c r="B17" s="90" t="s">
        <v>465</v>
      </c>
      <c r="C17" s="47" t="s">
        <v>115</v>
      </c>
    </row>
    <row r="18" spans="1:3" ht="14.4" customHeight="1" thickBot="1" x14ac:dyDescent="0.35">
      <c r="A18" s="149" t="str">
        <f t="shared" si="1"/>
        <v>Osobní náklady</v>
      </c>
      <c r="B18" s="90" t="s">
        <v>104</v>
      </c>
      <c r="C18" s="47" t="s">
        <v>116</v>
      </c>
    </row>
    <row r="19" spans="1:3" ht="14.4" customHeight="1" thickBot="1" x14ac:dyDescent="0.35">
      <c r="A19" s="93"/>
      <c r="B19" s="93"/>
    </row>
    <row r="20" spans="1:3" ht="14.4" customHeight="1" thickBot="1" x14ac:dyDescent="0.35">
      <c r="A20" s="329" t="s">
        <v>108</v>
      </c>
      <c r="B20" s="327"/>
    </row>
    <row r="21" spans="1:3" ht="14.4" customHeight="1" x14ac:dyDescent="0.3">
      <c r="A21" s="150" t="str">
        <f t="shared" ref="A21:A25" si="3">HYPERLINK("#'"&amp;C21&amp;"'!A1",C21)</f>
        <v>ZV Vykáz.-A</v>
      </c>
      <c r="B21" s="89" t="s">
        <v>469</v>
      </c>
      <c r="C21" s="47" t="s">
        <v>119</v>
      </c>
    </row>
    <row r="22" spans="1:3" ht="14.4" customHeight="1" x14ac:dyDescent="0.3">
      <c r="A22" s="147" t="str">
        <f t="shared" ref="A22" si="4">HYPERLINK("#'"&amp;C22&amp;"'!A1",C22)</f>
        <v>ZV Vykáz.-A Lékaři</v>
      </c>
      <c r="B22" s="90" t="s">
        <v>489</v>
      </c>
      <c r="C22" s="47" t="s">
        <v>215</v>
      </c>
    </row>
    <row r="23" spans="1:3" ht="14.4" customHeight="1" x14ac:dyDescent="0.3">
      <c r="A23" s="147" t="str">
        <f t="shared" si="3"/>
        <v>ZV Vykáz.-A Detail</v>
      </c>
      <c r="B23" s="90" t="s">
        <v>527</v>
      </c>
      <c r="C23" s="47" t="s">
        <v>120</v>
      </c>
    </row>
    <row r="24" spans="1:3" ht="14.4" customHeight="1" x14ac:dyDescent="0.3">
      <c r="A24" s="147" t="str">
        <f t="shared" si="3"/>
        <v>ZV Vykáz.-H</v>
      </c>
      <c r="B24" s="90" t="s">
        <v>123</v>
      </c>
      <c r="C24" s="47" t="s">
        <v>121</v>
      </c>
    </row>
    <row r="25" spans="1:3" ht="14.4" customHeight="1" x14ac:dyDescent="0.3">
      <c r="A25" s="147" t="str">
        <f t="shared" si="3"/>
        <v>ZV Vykáz.-H Detail</v>
      </c>
      <c r="B25" s="90" t="s">
        <v>556</v>
      </c>
      <c r="C25" s="47" t="s">
        <v>122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5" t="s">
        <v>330</v>
      </c>
      <c r="B1" s="366"/>
      <c r="C1" s="366"/>
      <c r="D1" s="366"/>
      <c r="E1" s="366"/>
      <c r="F1" s="366"/>
    </row>
    <row r="2" spans="1:6" ht="14.4" customHeight="1" thickBot="1" x14ac:dyDescent="0.35">
      <c r="A2" s="230" t="s">
        <v>253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7" t="s">
        <v>126</v>
      </c>
      <c r="C3" s="368"/>
      <c r="D3" s="369" t="s">
        <v>125</v>
      </c>
      <c r="E3" s="368"/>
      <c r="F3" s="80" t="s">
        <v>3</v>
      </c>
    </row>
    <row r="4" spans="1:6" ht="14.4" customHeight="1" thickBot="1" x14ac:dyDescent="0.35">
      <c r="A4" s="494" t="s">
        <v>155</v>
      </c>
      <c r="B4" s="495" t="s">
        <v>13</v>
      </c>
      <c r="C4" s="496" t="s">
        <v>2</v>
      </c>
      <c r="D4" s="495" t="s">
        <v>13</v>
      </c>
      <c r="E4" s="496" t="s">
        <v>2</v>
      </c>
      <c r="F4" s="497" t="s">
        <v>13</v>
      </c>
    </row>
    <row r="5" spans="1:6" ht="14.4" customHeight="1" thickBot="1" x14ac:dyDescent="0.35">
      <c r="A5" s="513" t="s">
        <v>323</v>
      </c>
      <c r="B5" s="498"/>
      <c r="C5" s="499">
        <v>0</v>
      </c>
      <c r="D5" s="498">
        <v>1942.6</v>
      </c>
      <c r="E5" s="499">
        <v>1</v>
      </c>
      <c r="F5" s="500">
        <v>1942.6</v>
      </c>
    </row>
    <row r="6" spans="1:6" ht="14.4" customHeight="1" thickBot="1" x14ac:dyDescent="0.35">
      <c r="A6" s="509" t="s">
        <v>3</v>
      </c>
      <c r="B6" s="510"/>
      <c r="C6" s="511">
        <v>0</v>
      </c>
      <c r="D6" s="510">
        <v>1942.6</v>
      </c>
      <c r="E6" s="511">
        <v>1</v>
      </c>
      <c r="F6" s="512">
        <v>1942.6</v>
      </c>
    </row>
    <row r="7" spans="1:6" ht="14.4" customHeight="1" thickBot="1" x14ac:dyDescent="0.35"/>
    <row r="8" spans="1:6" ht="14.4" customHeight="1" thickBot="1" x14ac:dyDescent="0.35">
      <c r="A8" s="513" t="s">
        <v>331</v>
      </c>
      <c r="B8" s="498"/>
      <c r="C8" s="499">
        <v>0</v>
      </c>
      <c r="D8" s="498">
        <v>1942.6</v>
      </c>
      <c r="E8" s="499">
        <v>1</v>
      </c>
      <c r="F8" s="500">
        <v>1942.6</v>
      </c>
    </row>
    <row r="9" spans="1:6" ht="14.4" customHeight="1" thickBot="1" x14ac:dyDescent="0.35">
      <c r="A9" s="509" t="s">
        <v>3</v>
      </c>
      <c r="B9" s="510"/>
      <c r="C9" s="511">
        <v>0</v>
      </c>
      <c r="D9" s="510">
        <v>1942.6</v>
      </c>
      <c r="E9" s="511">
        <v>1</v>
      </c>
      <c r="F9" s="512">
        <v>1942.6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{60E8E3DB-B9BF-4123-8A54-11FA35F1649B}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{7365A7FB-8BDE-4161-92E5-12C870489B9A}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8E3DB-B9BF-4123-8A54-11FA35F1649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7365A7FB-8BDE-4161-92E5-12C870489B9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6" t="s">
        <v>333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30"/>
      <c r="M1" s="330"/>
    </row>
    <row r="2" spans="1:13" ht="14.4" customHeight="1" thickBot="1" x14ac:dyDescent="0.35">
      <c r="A2" s="230" t="s">
        <v>253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124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10</v>
      </c>
      <c r="J3" s="43">
        <f>SUBTOTAL(9,J6:J1048576)</f>
        <v>1942.6</v>
      </c>
      <c r="K3" s="44">
        <f>IF(M3=0,0,J3/M3)</f>
        <v>1</v>
      </c>
      <c r="L3" s="43">
        <f>SUBTOTAL(9,L6:L1048576)</f>
        <v>10</v>
      </c>
      <c r="M3" s="45">
        <f>SUBTOTAL(9,M6:M1048576)</f>
        <v>1942.6</v>
      </c>
    </row>
    <row r="4" spans="1:13" ht="14.4" customHeight="1" thickBot="1" x14ac:dyDescent="0.35">
      <c r="A4" s="41"/>
      <c r="B4" s="41"/>
      <c r="C4" s="41"/>
      <c r="D4" s="41"/>
      <c r="E4" s="42"/>
      <c r="F4" s="370" t="s">
        <v>126</v>
      </c>
      <c r="G4" s="371"/>
      <c r="H4" s="372"/>
      <c r="I4" s="373" t="s">
        <v>125</v>
      </c>
      <c r="J4" s="371"/>
      <c r="K4" s="372"/>
      <c r="L4" s="374" t="s">
        <v>3</v>
      </c>
      <c r="M4" s="375"/>
    </row>
    <row r="5" spans="1:13" ht="14.4" customHeight="1" thickBot="1" x14ac:dyDescent="0.35">
      <c r="A5" s="494" t="s">
        <v>131</v>
      </c>
      <c r="B5" s="515" t="s">
        <v>127</v>
      </c>
      <c r="C5" s="515" t="s">
        <v>69</v>
      </c>
      <c r="D5" s="515" t="s">
        <v>128</v>
      </c>
      <c r="E5" s="515" t="s">
        <v>129</v>
      </c>
      <c r="F5" s="516" t="s">
        <v>27</v>
      </c>
      <c r="G5" s="516" t="s">
        <v>13</v>
      </c>
      <c r="H5" s="496" t="s">
        <v>130</v>
      </c>
      <c r="I5" s="495" t="s">
        <v>27</v>
      </c>
      <c r="J5" s="516" t="s">
        <v>13</v>
      </c>
      <c r="K5" s="496" t="s">
        <v>130</v>
      </c>
      <c r="L5" s="495" t="s">
        <v>27</v>
      </c>
      <c r="M5" s="517" t="s">
        <v>13</v>
      </c>
    </row>
    <row r="6" spans="1:13" ht="14.4" customHeight="1" thickBot="1" x14ac:dyDescent="0.35">
      <c r="A6" s="474" t="s">
        <v>323</v>
      </c>
      <c r="B6" s="479" t="s">
        <v>332</v>
      </c>
      <c r="C6" s="479" t="s">
        <v>325</v>
      </c>
      <c r="D6" s="479" t="s">
        <v>326</v>
      </c>
      <c r="E6" s="479" t="s">
        <v>327</v>
      </c>
      <c r="F6" s="480"/>
      <c r="G6" s="480"/>
      <c r="H6" s="306">
        <v>0</v>
      </c>
      <c r="I6" s="480">
        <v>10</v>
      </c>
      <c r="J6" s="480">
        <v>1942.6</v>
      </c>
      <c r="K6" s="306">
        <v>1</v>
      </c>
      <c r="L6" s="480">
        <v>10</v>
      </c>
      <c r="M6" s="508">
        <v>1942.6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9" t="s">
        <v>134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30" t="s">
        <v>253</v>
      </c>
      <c r="B2" s="206"/>
      <c r="C2" s="206"/>
      <c r="D2" s="206"/>
      <c r="E2" s="206"/>
      <c r="F2" s="206"/>
    </row>
    <row r="3" spans="1:10" ht="14.4" customHeight="1" thickBot="1" x14ac:dyDescent="0.35">
      <c r="A3" s="230"/>
      <c r="B3" s="206"/>
      <c r="C3" s="298">
        <v>2014</v>
      </c>
      <c r="D3" s="299">
        <v>2015</v>
      </c>
      <c r="E3" s="7"/>
      <c r="F3" s="354">
        <v>2016</v>
      </c>
      <c r="G3" s="355"/>
      <c r="H3" s="355"/>
      <c r="I3" s="356"/>
    </row>
    <row r="4" spans="1:10" ht="14.4" customHeight="1" thickBot="1" x14ac:dyDescent="0.35">
      <c r="A4" s="303" t="s">
        <v>0</v>
      </c>
      <c r="B4" s="304" t="s">
        <v>212</v>
      </c>
      <c r="C4" s="357" t="s">
        <v>71</v>
      </c>
      <c r="D4" s="358"/>
      <c r="E4" s="305"/>
      <c r="F4" s="300" t="s">
        <v>71</v>
      </c>
      <c r="G4" s="301" t="s">
        <v>72</v>
      </c>
      <c r="H4" s="301" t="s">
        <v>66</v>
      </c>
      <c r="I4" s="302" t="s">
        <v>73</v>
      </c>
    </row>
    <row r="5" spans="1:10" ht="14.4" customHeight="1" x14ac:dyDescent="0.3">
      <c r="A5" s="466" t="s">
        <v>314</v>
      </c>
      <c r="B5" s="467" t="s">
        <v>311</v>
      </c>
      <c r="C5" s="518" t="s">
        <v>312</v>
      </c>
      <c r="D5" s="518" t="s">
        <v>312</v>
      </c>
      <c r="E5" s="518"/>
      <c r="F5" s="518" t="s">
        <v>312</v>
      </c>
      <c r="G5" s="518" t="s">
        <v>312</v>
      </c>
      <c r="H5" s="518" t="s">
        <v>312</v>
      </c>
      <c r="I5" s="519" t="s">
        <v>312</v>
      </c>
      <c r="J5" s="468" t="s">
        <v>67</v>
      </c>
    </row>
    <row r="6" spans="1:10" ht="14.4" customHeight="1" x14ac:dyDescent="0.3">
      <c r="A6" s="466" t="s">
        <v>314</v>
      </c>
      <c r="B6" s="467" t="s">
        <v>262</v>
      </c>
      <c r="C6" s="518">
        <v>15.502509999999997</v>
      </c>
      <c r="D6" s="518">
        <v>27.076299999999001</v>
      </c>
      <c r="E6" s="518"/>
      <c r="F6" s="518">
        <v>47.635099999999994</v>
      </c>
      <c r="G6" s="518">
        <v>25.000002256986665</v>
      </c>
      <c r="H6" s="518">
        <v>22.635097743013329</v>
      </c>
      <c r="I6" s="519">
        <v>1.9054038279811585</v>
      </c>
      <c r="J6" s="468" t="s">
        <v>1</v>
      </c>
    </row>
    <row r="7" spans="1:10" ht="14.4" customHeight="1" x14ac:dyDescent="0.3">
      <c r="A7" s="466" t="s">
        <v>314</v>
      </c>
      <c r="B7" s="467" t="s">
        <v>263</v>
      </c>
      <c r="C7" s="518">
        <v>267.31569999999999</v>
      </c>
      <c r="D7" s="518">
        <v>315.00489000000005</v>
      </c>
      <c r="E7" s="518"/>
      <c r="F7" s="518">
        <v>180.78828999999999</v>
      </c>
      <c r="G7" s="518">
        <v>308.3333611695075</v>
      </c>
      <c r="H7" s="518">
        <v>-127.54507116950751</v>
      </c>
      <c r="I7" s="519">
        <v>0.58634034706549609</v>
      </c>
      <c r="J7" s="468" t="s">
        <v>1</v>
      </c>
    </row>
    <row r="8" spans="1:10" ht="14.4" customHeight="1" x14ac:dyDescent="0.3">
      <c r="A8" s="466" t="s">
        <v>314</v>
      </c>
      <c r="B8" s="467" t="s">
        <v>264</v>
      </c>
      <c r="C8" s="518">
        <v>40.026300000000006</v>
      </c>
      <c r="D8" s="518">
        <v>62.603580000000001</v>
      </c>
      <c r="E8" s="518"/>
      <c r="F8" s="518">
        <v>35.185849999999988</v>
      </c>
      <c r="G8" s="518">
        <v>58.333338599635837</v>
      </c>
      <c r="H8" s="518">
        <v>-23.147488599635849</v>
      </c>
      <c r="I8" s="519">
        <v>0.6031859455446914</v>
      </c>
      <c r="J8" s="468" t="s">
        <v>1</v>
      </c>
    </row>
    <row r="9" spans="1:10" ht="14.4" customHeight="1" x14ac:dyDescent="0.3">
      <c r="A9" s="466" t="s">
        <v>314</v>
      </c>
      <c r="B9" s="467" t="s">
        <v>265</v>
      </c>
      <c r="C9" s="518">
        <v>11.91812</v>
      </c>
      <c r="D9" s="518">
        <v>9.8905800000000017</v>
      </c>
      <c r="E9" s="518"/>
      <c r="F9" s="518">
        <v>14.391639999999999</v>
      </c>
      <c r="G9" s="518">
        <v>14.166667945625832</v>
      </c>
      <c r="H9" s="518">
        <v>0.22497205437416667</v>
      </c>
      <c r="I9" s="519">
        <v>1.0158803788750925</v>
      </c>
      <c r="J9" s="468" t="s">
        <v>1</v>
      </c>
    </row>
    <row r="10" spans="1:10" ht="14.4" customHeight="1" x14ac:dyDescent="0.3">
      <c r="A10" s="466" t="s">
        <v>314</v>
      </c>
      <c r="B10" s="467" t="s">
        <v>266</v>
      </c>
      <c r="C10" s="518">
        <v>9.9392999999999994</v>
      </c>
      <c r="D10" s="518">
        <v>10.951000000000001</v>
      </c>
      <c r="E10" s="518"/>
      <c r="F10" s="518">
        <v>16.559740000000001</v>
      </c>
      <c r="G10" s="518">
        <v>12.500001128493333</v>
      </c>
      <c r="H10" s="518">
        <v>4.0597388715066689</v>
      </c>
      <c r="I10" s="519">
        <v>1.3247790803996513</v>
      </c>
      <c r="J10" s="468" t="s">
        <v>1</v>
      </c>
    </row>
    <row r="11" spans="1:10" ht="14.4" customHeight="1" x14ac:dyDescent="0.3">
      <c r="A11" s="466" t="s">
        <v>314</v>
      </c>
      <c r="B11" s="467" t="s">
        <v>267</v>
      </c>
      <c r="C11" s="518">
        <v>13.887780000000001</v>
      </c>
      <c r="D11" s="518">
        <v>13.88777</v>
      </c>
      <c r="E11" s="518"/>
      <c r="F11" s="518">
        <v>13.366110000000001</v>
      </c>
      <c r="G11" s="518">
        <v>15.833334762758334</v>
      </c>
      <c r="H11" s="518">
        <v>-2.4672247627583328</v>
      </c>
      <c r="I11" s="519">
        <v>0.84417529220935161</v>
      </c>
      <c r="J11" s="468" t="s">
        <v>1</v>
      </c>
    </row>
    <row r="12" spans="1:10" ht="14.4" customHeight="1" x14ac:dyDescent="0.3">
      <c r="A12" s="466" t="s">
        <v>314</v>
      </c>
      <c r="B12" s="467" t="s">
        <v>317</v>
      </c>
      <c r="C12" s="518">
        <v>358.58970999999997</v>
      </c>
      <c r="D12" s="518">
        <v>439.41411999999906</v>
      </c>
      <c r="E12" s="518"/>
      <c r="F12" s="518">
        <v>307.92672999999996</v>
      </c>
      <c r="G12" s="518">
        <v>434.16670586300751</v>
      </c>
      <c r="H12" s="518">
        <v>-126.23997586300754</v>
      </c>
      <c r="I12" s="519">
        <v>0.70923616629682329</v>
      </c>
      <c r="J12" s="468" t="s">
        <v>315</v>
      </c>
    </row>
    <row r="14" spans="1:10" ht="14.4" customHeight="1" x14ac:dyDescent="0.3">
      <c r="A14" s="466" t="s">
        <v>314</v>
      </c>
      <c r="B14" s="467" t="s">
        <v>311</v>
      </c>
      <c r="C14" s="518" t="s">
        <v>312</v>
      </c>
      <c r="D14" s="518" t="s">
        <v>312</v>
      </c>
      <c r="E14" s="518"/>
      <c r="F14" s="518" t="s">
        <v>312</v>
      </c>
      <c r="G14" s="518" t="s">
        <v>312</v>
      </c>
      <c r="H14" s="518" t="s">
        <v>312</v>
      </c>
      <c r="I14" s="519" t="s">
        <v>312</v>
      </c>
      <c r="J14" s="468" t="s">
        <v>67</v>
      </c>
    </row>
    <row r="15" spans="1:10" ht="14.4" customHeight="1" x14ac:dyDescent="0.3">
      <c r="A15" s="466" t="s">
        <v>334</v>
      </c>
      <c r="B15" s="467" t="s">
        <v>335</v>
      </c>
      <c r="C15" s="518" t="s">
        <v>312</v>
      </c>
      <c r="D15" s="518" t="s">
        <v>312</v>
      </c>
      <c r="E15" s="518"/>
      <c r="F15" s="518" t="s">
        <v>312</v>
      </c>
      <c r="G15" s="518" t="s">
        <v>312</v>
      </c>
      <c r="H15" s="518" t="s">
        <v>312</v>
      </c>
      <c r="I15" s="519" t="s">
        <v>312</v>
      </c>
      <c r="J15" s="468" t="s">
        <v>0</v>
      </c>
    </row>
    <row r="16" spans="1:10" ht="14.4" customHeight="1" x14ac:dyDescent="0.3">
      <c r="A16" s="466" t="s">
        <v>334</v>
      </c>
      <c r="B16" s="467" t="s">
        <v>262</v>
      </c>
      <c r="C16" s="518">
        <v>15.502509999999997</v>
      </c>
      <c r="D16" s="518">
        <v>27.076299999999001</v>
      </c>
      <c r="E16" s="518"/>
      <c r="F16" s="518">
        <v>47.635099999999994</v>
      </c>
      <c r="G16" s="518">
        <v>25.000002256986665</v>
      </c>
      <c r="H16" s="518">
        <v>22.635097743013329</v>
      </c>
      <c r="I16" s="519">
        <v>1.9054038279811585</v>
      </c>
      <c r="J16" s="468" t="s">
        <v>1</v>
      </c>
    </row>
    <row r="17" spans="1:10" ht="14.4" customHeight="1" x14ac:dyDescent="0.3">
      <c r="A17" s="466" t="s">
        <v>334</v>
      </c>
      <c r="B17" s="467" t="s">
        <v>263</v>
      </c>
      <c r="C17" s="518">
        <v>267.31569999999999</v>
      </c>
      <c r="D17" s="518">
        <v>315.00489000000005</v>
      </c>
      <c r="E17" s="518"/>
      <c r="F17" s="518">
        <v>180.78828999999999</v>
      </c>
      <c r="G17" s="518">
        <v>308.3333611695075</v>
      </c>
      <c r="H17" s="518">
        <v>-127.54507116950751</v>
      </c>
      <c r="I17" s="519">
        <v>0.58634034706549609</v>
      </c>
      <c r="J17" s="468" t="s">
        <v>1</v>
      </c>
    </row>
    <row r="18" spans="1:10" ht="14.4" customHeight="1" x14ac:dyDescent="0.3">
      <c r="A18" s="466" t="s">
        <v>334</v>
      </c>
      <c r="B18" s="467" t="s">
        <v>264</v>
      </c>
      <c r="C18" s="518">
        <v>40.026300000000006</v>
      </c>
      <c r="D18" s="518">
        <v>62.603580000000001</v>
      </c>
      <c r="E18" s="518"/>
      <c r="F18" s="518">
        <v>35.185849999999988</v>
      </c>
      <c r="G18" s="518">
        <v>58.333338599635837</v>
      </c>
      <c r="H18" s="518">
        <v>-23.147488599635849</v>
      </c>
      <c r="I18" s="519">
        <v>0.6031859455446914</v>
      </c>
      <c r="J18" s="468" t="s">
        <v>1</v>
      </c>
    </row>
    <row r="19" spans="1:10" ht="14.4" customHeight="1" x14ac:dyDescent="0.3">
      <c r="A19" s="466" t="s">
        <v>334</v>
      </c>
      <c r="B19" s="467" t="s">
        <v>265</v>
      </c>
      <c r="C19" s="518">
        <v>11.91812</v>
      </c>
      <c r="D19" s="518">
        <v>9.8905800000000017</v>
      </c>
      <c r="E19" s="518"/>
      <c r="F19" s="518">
        <v>14.391639999999999</v>
      </c>
      <c r="G19" s="518">
        <v>14.166667945625832</v>
      </c>
      <c r="H19" s="518">
        <v>0.22497205437416667</v>
      </c>
      <c r="I19" s="519">
        <v>1.0158803788750925</v>
      </c>
      <c r="J19" s="468" t="s">
        <v>1</v>
      </c>
    </row>
    <row r="20" spans="1:10" ht="14.4" customHeight="1" x14ac:dyDescent="0.3">
      <c r="A20" s="466" t="s">
        <v>334</v>
      </c>
      <c r="B20" s="467" t="s">
        <v>266</v>
      </c>
      <c r="C20" s="518">
        <v>9.9392999999999994</v>
      </c>
      <c r="D20" s="518">
        <v>10.951000000000001</v>
      </c>
      <c r="E20" s="518"/>
      <c r="F20" s="518">
        <v>16.559740000000001</v>
      </c>
      <c r="G20" s="518">
        <v>12.500001128493333</v>
      </c>
      <c r="H20" s="518">
        <v>4.0597388715066689</v>
      </c>
      <c r="I20" s="519">
        <v>1.3247790803996513</v>
      </c>
      <c r="J20" s="468" t="s">
        <v>1</v>
      </c>
    </row>
    <row r="21" spans="1:10" ht="14.4" customHeight="1" x14ac:dyDescent="0.3">
      <c r="A21" s="466" t="s">
        <v>334</v>
      </c>
      <c r="B21" s="467" t="s">
        <v>267</v>
      </c>
      <c r="C21" s="518">
        <v>13.887780000000001</v>
      </c>
      <c r="D21" s="518">
        <v>13.88777</v>
      </c>
      <c r="E21" s="518"/>
      <c r="F21" s="518">
        <v>13.366110000000001</v>
      </c>
      <c r="G21" s="518">
        <v>15.833334762758334</v>
      </c>
      <c r="H21" s="518">
        <v>-2.4672247627583328</v>
      </c>
      <c r="I21" s="519">
        <v>0.84417529220935161</v>
      </c>
      <c r="J21" s="468" t="s">
        <v>1</v>
      </c>
    </row>
    <row r="22" spans="1:10" ht="14.4" customHeight="1" x14ac:dyDescent="0.3">
      <c r="A22" s="466" t="s">
        <v>334</v>
      </c>
      <c r="B22" s="467" t="s">
        <v>336</v>
      </c>
      <c r="C22" s="518">
        <v>358.58970999999997</v>
      </c>
      <c r="D22" s="518">
        <v>439.41411999999906</v>
      </c>
      <c r="E22" s="518"/>
      <c r="F22" s="518">
        <v>307.92672999999996</v>
      </c>
      <c r="G22" s="518">
        <v>434.16670586300751</v>
      </c>
      <c r="H22" s="518">
        <v>-126.23997586300754</v>
      </c>
      <c r="I22" s="519">
        <v>0.70923616629682329</v>
      </c>
      <c r="J22" s="468" t="s">
        <v>318</v>
      </c>
    </row>
    <row r="23" spans="1:10" ht="14.4" customHeight="1" x14ac:dyDescent="0.3">
      <c r="A23" s="466" t="s">
        <v>312</v>
      </c>
      <c r="B23" s="467" t="s">
        <v>312</v>
      </c>
      <c r="C23" s="518" t="s">
        <v>312</v>
      </c>
      <c r="D23" s="518" t="s">
        <v>312</v>
      </c>
      <c r="E23" s="518"/>
      <c r="F23" s="518" t="s">
        <v>312</v>
      </c>
      <c r="G23" s="518" t="s">
        <v>312</v>
      </c>
      <c r="H23" s="518" t="s">
        <v>312</v>
      </c>
      <c r="I23" s="519" t="s">
        <v>312</v>
      </c>
      <c r="J23" s="468" t="s">
        <v>319</v>
      </c>
    </row>
    <row r="24" spans="1:10" ht="14.4" customHeight="1" x14ac:dyDescent="0.3">
      <c r="A24" s="466" t="s">
        <v>314</v>
      </c>
      <c r="B24" s="467" t="s">
        <v>317</v>
      </c>
      <c r="C24" s="518">
        <v>358.58970999999997</v>
      </c>
      <c r="D24" s="518">
        <v>439.41411999999906</v>
      </c>
      <c r="E24" s="518"/>
      <c r="F24" s="518">
        <v>307.92672999999996</v>
      </c>
      <c r="G24" s="518">
        <v>434.16670586300751</v>
      </c>
      <c r="H24" s="518">
        <v>-126.23997586300754</v>
      </c>
      <c r="I24" s="519">
        <v>0.70923616629682329</v>
      </c>
      <c r="J24" s="468" t="s">
        <v>315</v>
      </c>
    </row>
  </sheetData>
  <mergeCells count="3">
    <mergeCell ref="A1:I1"/>
    <mergeCell ref="F3:I3"/>
    <mergeCell ref="C4:D4"/>
  </mergeCells>
  <conditionalFormatting sqref="F13 F25:F65537">
    <cfRule type="cellIs" dxfId="24" priority="18" stopIfTrue="1" operator="greaterThan">
      <formula>1</formula>
    </cfRule>
  </conditionalFormatting>
  <conditionalFormatting sqref="H5:H12">
    <cfRule type="expression" dxfId="23" priority="14">
      <formula>$H5&gt;0</formula>
    </cfRule>
  </conditionalFormatting>
  <conditionalFormatting sqref="I5:I12">
    <cfRule type="expression" dxfId="22" priority="15">
      <formula>$I5&gt;1</formula>
    </cfRule>
  </conditionalFormatting>
  <conditionalFormatting sqref="B5:B12">
    <cfRule type="expression" dxfId="21" priority="11">
      <formula>OR($J5="NS",$J5="SumaNS",$J5="Účet")</formula>
    </cfRule>
  </conditionalFormatting>
  <conditionalFormatting sqref="F5:I12 B5:D12">
    <cfRule type="expression" dxfId="20" priority="17">
      <formula>AND($J5&lt;&gt;"",$J5&lt;&gt;"mezeraKL")</formula>
    </cfRule>
  </conditionalFormatting>
  <conditionalFormatting sqref="B5:D12 F5:I12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8" priority="13">
      <formula>OR($J5="SumaNS",$J5="NS")</formula>
    </cfRule>
  </conditionalFormatting>
  <conditionalFormatting sqref="A5:A12">
    <cfRule type="expression" dxfId="17" priority="9">
      <formula>AND($J5&lt;&gt;"mezeraKL",$J5&lt;&gt;"")</formula>
    </cfRule>
  </conditionalFormatting>
  <conditionalFormatting sqref="A5:A12">
    <cfRule type="expression" dxfId="16" priority="10">
      <formula>AND($J5&lt;&gt;"",$J5&lt;&gt;"mezeraKL")</formula>
    </cfRule>
  </conditionalFormatting>
  <conditionalFormatting sqref="H14:H24">
    <cfRule type="expression" dxfId="15" priority="5">
      <formula>$H14&gt;0</formula>
    </cfRule>
  </conditionalFormatting>
  <conditionalFormatting sqref="A14:A24">
    <cfRule type="expression" dxfId="14" priority="2">
      <formula>AND($J14&lt;&gt;"mezeraKL",$J14&lt;&gt;"")</formula>
    </cfRule>
  </conditionalFormatting>
  <conditionalFormatting sqref="I14:I24">
    <cfRule type="expression" dxfId="13" priority="6">
      <formula>$I14&gt;1</formula>
    </cfRule>
  </conditionalFormatting>
  <conditionalFormatting sqref="B14:B24">
    <cfRule type="expression" dxfId="12" priority="1">
      <formula>OR($J14="NS",$J14="SumaNS",$J14="Účet")</formula>
    </cfRule>
  </conditionalFormatting>
  <conditionalFormatting sqref="A14:D24 F14:I24">
    <cfRule type="expression" dxfId="11" priority="8">
      <formula>AND($J14&lt;&gt;"",$J14&lt;&gt;"mezeraKL")</formula>
    </cfRule>
  </conditionalFormatting>
  <conditionalFormatting sqref="B14:D24 F14:I24">
    <cfRule type="expression" dxfId="10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9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4" t="s">
        <v>465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4.4" customHeight="1" thickBot="1" x14ac:dyDescent="0.35">
      <c r="A2" s="230" t="s">
        <v>253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2" t="s">
        <v>124</v>
      </c>
      <c r="I3" s="98">
        <f>IF(J3&lt;&gt;0,K3/J3,0)</f>
        <v>9.7009240123495672</v>
      </c>
      <c r="J3" s="98">
        <f>SUBTOTAL(9,J5:J1048576)</f>
        <v>31742</v>
      </c>
      <c r="K3" s="99">
        <f>SUBTOTAL(9,K5:K1048576)</f>
        <v>307926.73</v>
      </c>
    </row>
    <row r="4" spans="1:11" s="208" customFormat="1" ht="14.4" customHeight="1" thickBot="1" x14ac:dyDescent="0.35">
      <c r="A4" s="520" t="s">
        <v>4</v>
      </c>
      <c r="B4" s="521" t="s">
        <v>5</v>
      </c>
      <c r="C4" s="521" t="s">
        <v>0</v>
      </c>
      <c r="D4" s="521" t="s">
        <v>6</v>
      </c>
      <c r="E4" s="521" t="s">
        <v>7</v>
      </c>
      <c r="F4" s="521" t="s">
        <v>1</v>
      </c>
      <c r="G4" s="521" t="s">
        <v>69</v>
      </c>
      <c r="H4" s="522" t="s">
        <v>10</v>
      </c>
      <c r="I4" s="523" t="s">
        <v>137</v>
      </c>
      <c r="J4" s="523" t="s">
        <v>12</v>
      </c>
      <c r="K4" s="524" t="s">
        <v>151</v>
      </c>
    </row>
    <row r="5" spans="1:11" ht="14.4" customHeight="1" x14ac:dyDescent="0.3">
      <c r="A5" s="501" t="s">
        <v>314</v>
      </c>
      <c r="B5" s="525" t="s">
        <v>311</v>
      </c>
      <c r="C5" s="526" t="s">
        <v>334</v>
      </c>
      <c r="D5" s="527" t="s">
        <v>452</v>
      </c>
      <c r="E5" s="526" t="s">
        <v>453</v>
      </c>
      <c r="F5" s="527" t="s">
        <v>454</v>
      </c>
      <c r="G5" s="526" t="s">
        <v>337</v>
      </c>
      <c r="H5" s="526" t="s">
        <v>338</v>
      </c>
      <c r="I5" s="116">
        <v>42.45055555555556</v>
      </c>
      <c r="J5" s="116">
        <v>43</v>
      </c>
      <c r="K5" s="503">
        <v>1825.2400000000005</v>
      </c>
    </row>
    <row r="6" spans="1:11" ht="14.4" customHeight="1" x14ac:dyDescent="0.3">
      <c r="A6" s="528" t="s">
        <v>314</v>
      </c>
      <c r="B6" s="529" t="s">
        <v>311</v>
      </c>
      <c r="C6" s="530" t="s">
        <v>334</v>
      </c>
      <c r="D6" s="531" t="s">
        <v>452</v>
      </c>
      <c r="E6" s="530" t="s">
        <v>453</v>
      </c>
      <c r="F6" s="531" t="s">
        <v>454</v>
      </c>
      <c r="G6" s="530" t="s">
        <v>339</v>
      </c>
      <c r="H6" s="530" t="s">
        <v>340</v>
      </c>
      <c r="I6" s="532">
        <v>4.3</v>
      </c>
      <c r="J6" s="532">
        <v>2</v>
      </c>
      <c r="K6" s="533">
        <v>8.6</v>
      </c>
    </row>
    <row r="7" spans="1:11" ht="14.4" customHeight="1" x14ac:dyDescent="0.3">
      <c r="A7" s="528" t="s">
        <v>314</v>
      </c>
      <c r="B7" s="529" t="s">
        <v>311</v>
      </c>
      <c r="C7" s="530" t="s">
        <v>334</v>
      </c>
      <c r="D7" s="531" t="s">
        <v>452</v>
      </c>
      <c r="E7" s="530" t="s">
        <v>453</v>
      </c>
      <c r="F7" s="531" t="s">
        <v>454</v>
      </c>
      <c r="G7" s="530" t="s">
        <v>341</v>
      </c>
      <c r="H7" s="530" t="s">
        <v>342</v>
      </c>
      <c r="I7" s="532">
        <v>0.88</v>
      </c>
      <c r="J7" s="532">
        <v>1500</v>
      </c>
      <c r="K7" s="533">
        <v>1320</v>
      </c>
    </row>
    <row r="8" spans="1:11" ht="14.4" customHeight="1" x14ac:dyDescent="0.3">
      <c r="A8" s="528" t="s">
        <v>314</v>
      </c>
      <c r="B8" s="529" t="s">
        <v>311</v>
      </c>
      <c r="C8" s="530" t="s">
        <v>334</v>
      </c>
      <c r="D8" s="531" t="s">
        <v>452</v>
      </c>
      <c r="E8" s="530" t="s">
        <v>453</v>
      </c>
      <c r="F8" s="531" t="s">
        <v>454</v>
      </c>
      <c r="G8" s="530" t="s">
        <v>343</v>
      </c>
      <c r="H8" s="530" t="s">
        <v>344</v>
      </c>
      <c r="I8" s="532">
        <v>0.66666666666666663</v>
      </c>
      <c r="J8" s="532">
        <v>2050</v>
      </c>
      <c r="K8" s="533">
        <v>1366.5</v>
      </c>
    </row>
    <row r="9" spans="1:11" ht="14.4" customHeight="1" x14ac:dyDescent="0.3">
      <c r="A9" s="528" t="s">
        <v>314</v>
      </c>
      <c r="B9" s="529" t="s">
        <v>311</v>
      </c>
      <c r="C9" s="530" t="s">
        <v>334</v>
      </c>
      <c r="D9" s="531" t="s">
        <v>452</v>
      </c>
      <c r="E9" s="530" t="s">
        <v>453</v>
      </c>
      <c r="F9" s="531" t="s">
        <v>454</v>
      </c>
      <c r="G9" s="530" t="s">
        <v>345</v>
      </c>
      <c r="H9" s="530" t="s">
        <v>346</v>
      </c>
      <c r="I9" s="532">
        <v>0.64</v>
      </c>
      <c r="J9" s="532">
        <v>1000</v>
      </c>
      <c r="K9" s="533">
        <v>638.25</v>
      </c>
    </row>
    <row r="10" spans="1:11" ht="14.4" customHeight="1" x14ac:dyDescent="0.3">
      <c r="A10" s="528" t="s">
        <v>314</v>
      </c>
      <c r="B10" s="529" t="s">
        <v>311</v>
      </c>
      <c r="C10" s="530" t="s">
        <v>334</v>
      </c>
      <c r="D10" s="531" t="s">
        <v>452</v>
      </c>
      <c r="E10" s="530" t="s">
        <v>453</v>
      </c>
      <c r="F10" s="531" t="s">
        <v>454</v>
      </c>
      <c r="G10" s="530" t="s">
        <v>347</v>
      </c>
      <c r="H10" s="530" t="s">
        <v>348</v>
      </c>
      <c r="I10" s="532">
        <v>1.1724999999999999</v>
      </c>
      <c r="J10" s="532">
        <v>3150</v>
      </c>
      <c r="K10" s="533">
        <v>3690.5</v>
      </c>
    </row>
    <row r="11" spans="1:11" ht="14.4" customHeight="1" x14ac:dyDescent="0.3">
      <c r="A11" s="528" t="s">
        <v>314</v>
      </c>
      <c r="B11" s="529" t="s">
        <v>311</v>
      </c>
      <c r="C11" s="530" t="s">
        <v>334</v>
      </c>
      <c r="D11" s="531" t="s">
        <v>452</v>
      </c>
      <c r="E11" s="530" t="s">
        <v>453</v>
      </c>
      <c r="F11" s="531" t="s">
        <v>454</v>
      </c>
      <c r="G11" s="530" t="s">
        <v>349</v>
      </c>
      <c r="H11" s="530" t="s">
        <v>350</v>
      </c>
      <c r="I11" s="532">
        <v>0.58666666666666656</v>
      </c>
      <c r="J11" s="532">
        <v>3300</v>
      </c>
      <c r="K11" s="533">
        <v>1936</v>
      </c>
    </row>
    <row r="12" spans="1:11" ht="14.4" customHeight="1" x14ac:dyDescent="0.3">
      <c r="A12" s="528" t="s">
        <v>314</v>
      </c>
      <c r="B12" s="529" t="s">
        <v>311</v>
      </c>
      <c r="C12" s="530" t="s">
        <v>334</v>
      </c>
      <c r="D12" s="531" t="s">
        <v>452</v>
      </c>
      <c r="E12" s="530" t="s">
        <v>453</v>
      </c>
      <c r="F12" s="531" t="s">
        <v>454</v>
      </c>
      <c r="G12" s="530" t="s">
        <v>351</v>
      </c>
      <c r="H12" s="530" t="s">
        <v>352</v>
      </c>
      <c r="I12" s="532">
        <v>3.09</v>
      </c>
      <c r="J12" s="532">
        <v>70</v>
      </c>
      <c r="K12" s="533">
        <v>216.34</v>
      </c>
    </row>
    <row r="13" spans="1:11" ht="14.4" customHeight="1" x14ac:dyDescent="0.3">
      <c r="A13" s="528" t="s">
        <v>314</v>
      </c>
      <c r="B13" s="529" t="s">
        <v>311</v>
      </c>
      <c r="C13" s="530" t="s">
        <v>334</v>
      </c>
      <c r="D13" s="531" t="s">
        <v>452</v>
      </c>
      <c r="E13" s="530" t="s">
        <v>453</v>
      </c>
      <c r="F13" s="531" t="s">
        <v>454</v>
      </c>
      <c r="G13" s="530" t="s">
        <v>353</v>
      </c>
      <c r="H13" s="530" t="s">
        <v>354</v>
      </c>
      <c r="I13" s="532">
        <v>0.86</v>
      </c>
      <c r="J13" s="532">
        <v>200</v>
      </c>
      <c r="K13" s="533">
        <v>172</v>
      </c>
    </row>
    <row r="14" spans="1:11" ht="14.4" customHeight="1" x14ac:dyDescent="0.3">
      <c r="A14" s="528" t="s">
        <v>314</v>
      </c>
      <c r="B14" s="529" t="s">
        <v>311</v>
      </c>
      <c r="C14" s="530" t="s">
        <v>334</v>
      </c>
      <c r="D14" s="531" t="s">
        <v>452</v>
      </c>
      <c r="E14" s="530" t="s">
        <v>453</v>
      </c>
      <c r="F14" s="531" t="s">
        <v>454</v>
      </c>
      <c r="G14" s="530" t="s">
        <v>355</v>
      </c>
      <c r="H14" s="530" t="s">
        <v>356</v>
      </c>
      <c r="I14" s="532">
        <v>1.5150000000000001</v>
      </c>
      <c r="J14" s="532">
        <v>200</v>
      </c>
      <c r="K14" s="533">
        <v>303.59999999999997</v>
      </c>
    </row>
    <row r="15" spans="1:11" ht="14.4" customHeight="1" x14ac:dyDescent="0.3">
      <c r="A15" s="528" t="s">
        <v>314</v>
      </c>
      <c r="B15" s="529" t="s">
        <v>311</v>
      </c>
      <c r="C15" s="530" t="s">
        <v>334</v>
      </c>
      <c r="D15" s="531" t="s">
        <v>452</v>
      </c>
      <c r="E15" s="530" t="s">
        <v>453</v>
      </c>
      <c r="F15" s="531" t="s">
        <v>454</v>
      </c>
      <c r="G15" s="530" t="s">
        <v>355</v>
      </c>
      <c r="H15" s="530" t="s">
        <v>357</v>
      </c>
      <c r="I15" s="532">
        <v>1.52</v>
      </c>
      <c r="J15" s="532">
        <v>200</v>
      </c>
      <c r="K15" s="533">
        <v>304</v>
      </c>
    </row>
    <row r="16" spans="1:11" ht="14.4" customHeight="1" x14ac:dyDescent="0.3">
      <c r="A16" s="528" t="s">
        <v>314</v>
      </c>
      <c r="B16" s="529" t="s">
        <v>311</v>
      </c>
      <c r="C16" s="530" t="s">
        <v>334</v>
      </c>
      <c r="D16" s="531" t="s">
        <v>452</v>
      </c>
      <c r="E16" s="530" t="s">
        <v>453</v>
      </c>
      <c r="F16" s="531" t="s">
        <v>454</v>
      </c>
      <c r="G16" s="530" t="s">
        <v>358</v>
      </c>
      <c r="H16" s="530" t="s">
        <v>359</v>
      </c>
      <c r="I16" s="532">
        <v>2.0699999999999998</v>
      </c>
      <c r="J16" s="532">
        <v>30</v>
      </c>
      <c r="K16" s="533">
        <v>62.099999999999994</v>
      </c>
    </row>
    <row r="17" spans="1:11" ht="14.4" customHeight="1" x14ac:dyDescent="0.3">
      <c r="A17" s="528" t="s">
        <v>314</v>
      </c>
      <c r="B17" s="529" t="s">
        <v>311</v>
      </c>
      <c r="C17" s="530" t="s">
        <v>334</v>
      </c>
      <c r="D17" s="531" t="s">
        <v>452</v>
      </c>
      <c r="E17" s="530" t="s">
        <v>453</v>
      </c>
      <c r="F17" s="531" t="s">
        <v>454</v>
      </c>
      <c r="G17" s="530" t="s">
        <v>360</v>
      </c>
      <c r="H17" s="530" t="s">
        <v>361</v>
      </c>
      <c r="I17" s="532">
        <v>3.36</v>
      </c>
      <c r="J17" s="532">
        <v>20</v>
      </c>
      <c r="K17" s="533">
        <v>67.2</v>
      </c>
    </row>
    <row r="18" spans="1:11" ht="14.4" customHeight="1" x14ac:dyDescent="0.3">
      <c r="A18" s="528" t="s">
        <v>314</v>
      </c>
      <c r="B18" s="529" t="s">
        <v>311</v>
      </c>
      <c r="C18" s="530" t="s">
        <v>334</v>
      </c>
      <c r="D18" s="531" t="s">
        <v>452</v>
      </c>
      <c r="E18" s="530" t="s">
        <v>453</v>
      </c>
      <c r="F18" s="531" t="s">
        <v>454</v>
      </c>
      <c r="G18" s="530" t="s">
        <v>362</v>
      </c>
      <c r="H18" s="530" t="s">
        <v>363</v>
      </c>
      <c r="I18" s="532">
        <v>43.860000000000007</v>
      </c>
      <c r="J18" s="532">
        <v>200</v>
      </c>
      <c r="K18" s="533">
        <v>8772.1899999999987</v>
      </c>
    </row>
    <row r="19" spans="1:11" ht="14.4" customHeight="1" x14ac:dyDescent="0.3">
      <c r="A19" s="528" t="s">
        <v>314</v>
      </c>
      <c r="B19" s="529" t="s">
        <v>311</v>
      </c>
      <c r="C19" s="530" t="s">
        <v>334</v>
      </c>
      <c r="D19" s="531" t="s">
        <v>452</v>
      </c>
      <c r="E19" s="530" t="s">
        <v>453</v>
      </c>
      <c r="F19" s="531" t="s">
        <v>454</v>
      </c>
      <c r="G19" s="530" t="s">
        <v>364</v>
      </c>
      <c r="H19" s="530" t="s">
        <v>365</v>
      </c>
      <c r="I19" s="532">
        <v>0.42</v>
      </c>
      <c r="J19" s="532">
        <v>1000</v>
      </c>
      <c r="K19" s="533">
        <v>419.7</v>
      </c>
    </row>
    <row r="20" spans="1:11" ht="14.4" customHeight="1" x14ac:dyDescent="0.3">
      <c r="A20" s="528" t="s">
        <v>314</v>
      </c>
      <c r="B20" s="529" t="s">
        <v>311</v>
      </c>
      <c r="C20" s="530" t="s">
        <v>334</v>
      </c>
      <c r="D20" s="531" t="s">
        <v>452</v>
      </c>
      <c r="E20" s="530" t="s">
        <v>453</v>
      </c>
      <c r="F20" s="531" t="s">
        <v>454</v>
      </c>
      <c r="G20" s="530" t="s">
        <v>366</v>
      </c>
      <c r="H20" s="530" t="s">
        <v>367</v>
      </c>
      <c r="I20" s="532">
        <v>217.81</v>
      </c>
      <c r="J20" s="532">
        <v>50</v>
      </c>
      <c r="K20" s="533">
        <v>10890.5</v>
      </c>
    </row>
    <row r="21" spans="1:11" ht="14.4" customHeight="1" x14ac:dyDescent="0.3">
      <c r="A21" s="528" t="s">
        <v>314</v>
      </c>
      <c r="B21" s="529" t="s">
        <v>311</v>
      </c>
      <c r="C21" s="530" t="s">
        <v>334</v>
      </c>
      <c r="D21" s="531" t="s">
        <v>452</v>
      </c>
      <c r="E21" s="530" t="s">
        <v>453</v>
      </c>
      <c r="F21" s="531" t="s">
        <v>454</v>
      </c>
      <c r="G21" s="530" t="s">
        <v>368</v>
      </c>
      <c r="H21" s="530" t="s">
        <v>369</v>
      </c>
      <c r="I21" s="532">
        <v>9.16</v>
      </c>
      <c r="J21" s="532">
        <v>50</v>
      </c>
      <c r="K21" s="533">
        <v>458.03</v>
      </c>
    </row>
    <row r="22" spans="1:11" ht="14.4" customHeight="1" x14ac:dyDescent="0.3">
      <c r="A22" s="528" t="s">
        <v>314</v>
      </c>
      <c r="B22" s="529" t="s">
        <v>311</v>
      </c>
      <c r="C22" s="530" t="s">
        <v>334</v>
      </c>
      <c r="D22" s="531" t="s">
        <v>452</v>
      </c>
      <c r="E22" s="530" t="s">
        <v>453</v>
      </c>
      <c r="F22" s="531" t="s">
        <v>454</v>
      </c>
      <c r="G22" s="530" t="s">
        <v>370</v>
      </c>
      <c r="H22" s="530" t="s">
        <v>371</v>
      </c>
      <c r="I22" s="532">
        <v>93.15</v>
      </c>
      <c r="J22" s="532">
        <v>100</v>
      </c>
      <c r="K22" s="533">
        <v>9315</v>
      </c>
    </row>
    <row r="23" spans="1:11" ht="14.4" customHeight="1" x14ac:dyDescent="0.3">
      <c r="A23" s="528" t="s">
        <v>314</v>
      </c>
      <c r="B23" s="529" t="s">
        <v>311</v>
      </c>
      <c r="C23" s="530" t="s">
        <v>334</v>
      </c>
      <c r="D23" s="531" t="s">
        <v>452</v>
      </c>
      <c r="E23" s="530" t="s">
        <v>453</v>
      </c>
      <c r="F23" s="531" t="s">
        <v>454</v>
      </c>
      <c r="G23" s="530" t="s">
        <v>372</v>
      </c>
      <c r="H23" s="530" t="s">
        <v>373</v>
      </c>
      <c r="I23" s="532">
        <v>12.65</v>
      </c>
      <c r="J23" s="532">
        <v>15</v>
      </c>
      <c r="K23" s="533">
        <v>189.75</v>
      </c>
    </row>
    <row r="24" spans="1:11" ht="14.4" customHeight="1" x14ac:dyDescent="0.3">
      <c r="A24" s="528" t="s">
        <v>314</v>
      </c>
      <c r="B24" s="529" t="s">
        <v>311</v>
      </c>
      <c r="C24" s="530" t="s">
        <v>334</v>
      </c>
      <c r="D24" s="531" t="s">
        <v>452</v>
      </c>
      <c r="E24" s="530" t="s">
        <v>453</v>
      </c>
      <c r="F24" s="531" t="s">
        <v>454</v>
      </c>
      <c r="G24" s="530" t="s">
        <v>374</v>
      </c>
      <c r="H24" s="530" t="s">
        <v>375</v>
      </c>
      <c r="I24" s="532">
        <v>120.75</v>
      </c>
      <c r="J24" s="532">
        <v>6</v>
      </c>
      <c r="K24" s="533">
        <v>724.5</v>
      </c>
    </row>
    <row r="25" spans="1:11" ht="14.4" customHeight="1" x14ac:dyDescent="0.3">
      <c r="A25" s="528" t="s">
        <v>314</v>
      </c>
      <c r="B25" s="529" t="s">
        <v>311</v>
      </c>
      <c r="C25" s="530" t="s">
        <v>334</v>
      </c>
      <c r="D25" s="531" t="s">
        <v>452</v>
      </c>
      <c r="E25" s="530" t="s">
        <v>453</v>
      </c>
      <c r="F25" s="531" t="s">
        <v>454</v>
      </c>
      <c r="G25" s="530" t="s">
        <v>376</v>
      </c>
      <c r="H25" s="530" t="s">
        <v>377</v>
      </c>
      <c r="I25" s="532">
        <v>120.75</v>
      </c>
      <c r="J25" s="532">
        <v>6</v>
      </c>
      <c r="K25" s="533">
        <v>724.5</v>
      </c>
    </row>
    <row r="26" spans="1:11" ht="14.4" customHeight="1" x14ac:dyDescent="0.3">
      <c r="A26" s="528" t="s">
        <v>314</v>
      </c>
      <c r="B26" s="529" t="s">
        <v>311</v>
      </c>
      <c r="C26" s="530" t="s">
        <v>334</v>
      </c>
      <c r="D26" s="531" t="s">
        <v>452</v>
      </c>
      <c r="E26" s="530" t="s">
        <v>453</v>
      </c>
      <c r="F26" s="531" t="s">
        <v>454</v>
      </c>
      <c r="G26" s="530" t="s">
        <v>378</v>
      </c>
      <c r="H26" s="530" t="s">
        <v>379</v>
      </c>
      <c r="I26" s="532">
        <v>120.75</v>
      </c>
      <c r="J26" s="532">
        <v>3</v>
      </c>
      <c r="K26" s="533">
        <v>362.25</v>
      </c>
    </row>
    <row r="27" spans="1:11" ht="14.4" customHeight="1" x14ac:dyDescent="0.3">
      <c r="A27" s="528" t="s">
        <v>314</v>
      </c>
      <c r="B27" s="529" t="s">
        <v>311</v>
      </c>
      <c r="C27" s="530" t="s">
        <v>334</v>
      </c>
      <c r="D27" s="531" t="s">
        <v>452</v>
      </c>
      <c r="E27" s="530" t="s">
        <v>453</v>
      </c>
      <c r="F27" s="531" t="s">
        <v>454</v>
      </c>
      <c r="G27" s="530" t="s">
        <v>380</v>
      </c>
      <c r="H27" s="530" t="s">
        <v>381</v>
      </c>
      <c r="I27" s="532">
        <v>85.28</v>
      </c>
      <c r="J27" s="532">
        <v>2</v>
      </c>
      <c r="K27" s="533">
        <v>170.56</v>
      </c>
    </row>
    <row r="28" spans="1:11" ht="14.4" customHeight="1" x14ac:dyDescent="0.3">
      <c r="A28" s="528" t="s">
        <v>314</v>
      </c>
      <c r="B28" s="529" t="s">
        <v>311</v>
      </c>
      <c r="C28" s="530" t="s">
        <v>334</v>
      </c>
      <c r="D28" s="531" t="s">
        <v>452</v>
      </c>
      <c r="E28" s="530" t="s">
        <v>453</v>
      </c>
      <c r="F28" s="531" t="s">
        <v>454</v>
      </c>
      <c r="G28" s="530" t="s">
        <v>382</v>
      </c>
      <c r="H28" s="530" t="s">
        <v>383</v>
      </c>
      <c r="I28" s="532">
        <v>72.73</v>
      </c>
      <c r="J28" s="532">
        <v>2</v>
      </c>
      <c r="K28" s="533">
        <v>145.46</v>
      </c>
    </row>
    <row r="29" spans="1:11" ht="14.4" customHeight="1" x14ac:dyDescent="0.3">
      <c r="A29" s="528" t="s">
        <v>314</v>
      </c>
      <c r="B29" s="529" t="s">
        <v>311</v>
      </c>
      <c r="C29" s="530" t="s">
        <v>334</v>
      </c>
      <c r="D29" s="531" t="s">
        <v>452</v>
      </c>
      <c r="E29" s="530" t="s">
        <v>453</v>
      </c>
      <c r="F29" s="531" t="s">
        <v>454</v>
      </c>
      <c r="G29" s="530" t="s">
        <v>384</v>
      </c>
      <c r="H29" s="530" t="s">
        <v>385</v>
      </c>
      <c r="I29" s="532">
        <v>52.33</v>
      </c>
      <c r="J29" s="532">
        <v>1</v>
      </c>
      <c r="K29" s="533">
        <v>52.33</v>
      </c>
    </row>
    <row r="30" spans="1:11" ht="14.4" customHeight="1" x14ac:dyDescent="0.3">
      <c r="A30" s="528" t="s">
        <v>314</v>
      </c>
      <c r="B30" s="529" t="s">
        <v>311</v>
      </c>
      <c r="C30" s="530" t="s">
        <v>334</v>
      </c>
      <c r="D30" s="531" t="s">
        <v>452</v>
      </c>
      <c r="E30" s="530" t="s">
        <v>453</v>
      </c>
      <c r="F30" s="531" t="s">
        <v>454</v>
      </c>
      <c r="G30" s="530" t="s">
        <v>386</v>
      </c>
      <c r="H30" s="530" t="s">
        <v>387</v>
      </c>
      <c r="I30" s="532">
        <v>11.5</v>
      </c>
      <c r="J30" s="532">
        <v>15</v>
      </c>
      <c r="K30" s="533">
        <v>172.5</v>
      </c>
    </row>
    <row r="31" spans="1:11" ht="14.4" customHeight="1" x14ac:dyDescent="0.3">
      <c r="A31" s="528" t="s">
        <v>314</v>
      </c>
      <c r="B31" s="529" t="s">
        <v>311</v>
      </c>
      <c r="C31" s="530" t="s">
        <v>334</v>
      </c>
      <c r="D31" s="531" t="s">
        <v>452</v>
      </c>
      <c r="E31" s="530" t="s">
        <v>453</v>
      </c>
      <c r="F31" s="531" t="s">
        <v>454</v>
      </c>
      <c r="G31" s="530" t="s">
        <v>388</v>
      </c>
      <c r="H31" s="530" t="s">
        <v>389</v>
      </c>
      <c r="I31" s="532">
        <v>66.55</v>
      </c>
      <c r="J31" s="532">
        <v>50</v>
      </c>
      <c r="K31" s="533">
        <v>3327.5</v>
      </c>
    </row>
    <row r="32" spans="1:11" ht="14.4" customHeight="1" x14ac:dyDescent="0.3">
      <c r="A32" s="528" t="s">
        <v>314</v>
      </c>
      <c r="B32" s="529" t="s">
        <v>311</v>
      </c>
      <c r="C32" s="530" t="s">
        <v>334</v>
      </c>
      <c r="D32" s="531" t="s">
        <v>452</v>
      </c>
      <c r="E32" s="530" t="s">
        <v>455</v>
      </c>
      <c r="F32" s="531" t="s">
        <v>456</v>
      </c>
      <c r="G32" s="530" t="s">
        <v>390</v>
      </c>
      <c r="H32" s="530" t="s">
        <v>391</v>
      </c>
      <c r="I32" s="532">
        <v>2.7733333333333334</v>
      </c>
      <c r="J32" s="532">
        <v>50</v>
      </c>
      <c r="K32" s="533">
        <v>138.55000000000001</v>
      </c>
    </row>
    <row r="33" spans="1:11" ht="14.4" customHeight="1" x14ac:dyDescent="0.3">
      <c r="A33" s="528" t="s">
        <v>314</v>
      </c>
      <c r="B33" s="529" t="s">
        <v>311</v>
      </c>
      <c r="C33" s="530" t="s">
        <v>334</v>
      </c>
      <c r="D33" s="531" t="s">
        <v>452</v>
      </c>
      <c r="E33" s="530" t="s">
        <v>455</v>
      </c>
      <c r="F33" s="531" t="s">
        <v>456</v>
      </c>
      <c r="G33" s="530" t="s">
        <v>392</v>
      </c>
      <c r="H33" s="530" t="s">
        <v>393</v>
      </c>
      <c r="I33" s="532">
        <v>11.143333333333333</v>
      </c>
      <c r="J33" s="532">
        <v>220</v>
      </c>
      <c r="K33" s="533">
        <v>2451.8000000000002</v>
      </c>
    </row>
    <row r="34" spans="1:11" ht="14.4" customHeight="1" x14ac:dyDescent="0.3">
      <c r="A34" s="528" t="s">
        <v>314</v>
      </c>
      <c r="B34" s="529" t="s">
        <v>311</v>
      </c>
      <c r="C34" s="530" t="s">
        <v>334</v>
      </c>
      <c r="D34" s="531" t="s">
        <v>452</v>
      </c>
      <c r="E34" s="530" t="s">
        <v>455</v>
      </c>
      <c r="F34" s="531" t="s">
        <v>456</v>
      </c>
      <c r="G34" s="530" t="s">
        <v>394</v>
      </c>
      <c r="H34" s="530" t="s">
        <v>395</v>
      </c>
      <c r="I34" s="532">
        <v>1.0908333333333333</v>
      </c>
      <c r="J34" s="532">
        <v>3850</v>
      </c>
      <c r="K34" s="533">
        <v>4201.5</v>
      </c>
    </row>
    <row r="35" spans="1:11" ht="14.4" customHeight="1" x14ac:dyDescent="0.3">
      <c r="A35" s="528" t="s">
        <v>314</v>
      </c>
      <c r="B35" s="529" t="s">
        <v>311</v>
      </c>
      <c r="C35" s="530" t="s">
        <v>334</v>
      </c>
      <c r="D35" s="531" t="s">
        <v>452</v>
      </c>
      <c r="E35" s="530" t="s">
        <v>455</v>
      </c>
      <c r="F35" s="531" t="s">
        <v>456</v>
      </c>
      <c r="G35" s="530" t="s">
        <v>396</v>
      </c>
      <c r="H35" s="530" t="s">
        <v>397</v>
      </c>
      <c r="I35" s="532">
        <v>1.6725000000000003</v>
      </c>
      <c r="J35" s="532">
        <v>2210</v>
      </c>
      <c r="K35" s="533">
        <v>3697.0999999999995</v>
      </c>
    </row>
    <row r="36" spans="1:11" ht="14.4" customHeight="1" x14ac:dyDescent="0.3">
      <c r="A36" s="528" t="s">
        <v>314</v>
      </c>
      <c r="B36" s="529" t="s">
        <v>311</v>
      </c>
      <c r="C36" s="530" t="s">
        <v>334</v>
      </c>
      <c r="D36" s="531" t="s">
        <v>452</v>
      </c>
      <c r="E36" s="530" t="s">
        <v>455</v>
      </c>
      <c r="F36" s="531" t="s">
        <v>456</v>
      </c>
      <c r="G36" s="530" t="s">
        <v>398</v>
      </c>
      <c r="H36" s="530" t="s">
        <v>399</v>
      </c>
      <c r="I36" s="532">
        <v>0.67</v>
      </c>
      <c r="J36" s="532">
        <v>801</v>
      </c>
      <c r="K36" s="533">
        <v>536.67000000000007</v>
      </c>
    </row>
    <row r="37" spans="1:11" ht="14.4" customHeight="1" x14ac:dyDescent="0.3">
      <c r="A37" s="528" t="s">
        <v>314</v>
      </c>
      <c r="B37" s="529" t="s">
        <v>311</v>
      </c>
      <c r="C37" s="530" t="s">
        <v>334</v>
      </c>
      <c r="D37" s="531" t="s">
        <v>452</v>
      </c>
      <c r="E37" s="530" t="s">
        <v>455</v>
      </c>
      <c r="F37" s="531" t="s">
        <v>456</v>
      </c>
      <c r="G37" s="530" t="s">
        <v>400</v>
      </c>
      <c r="H37" s="530" t="s">
        <v>401</v>
      </c>
      <c r="I37" s="532">
        <v>2.64</v>
      </c>
      <c r="J37" s="532">
        <v>5</v>
      </c>
      <c r="K37" s="533">
        <v>13.2</v>
      </c>
    </row>
    <row r="38" spans="1:11" ht="14.4" customHeight="1" x14ac:dyDescent="0.3">
      <c r="A38" s="528" t="s">
        <v>314</v>
      </c>
      <c r="B38" s="529" t="s">
        <v>311</v>
      </c>
      <c r="C38" s="530" t="s">
        <v>334</v>
      </c>
      <c r="D38" s="531" t="s">
        <v>452</v>
      </c>
      <c r="E38" s="530" t="s">
        <v>455</v>
      </c>
      <c r="F38" s="531" t="s">
        <v>456</v>
      </c>
      <c r="G38" s="530" t="s">
        <v>402</v>
      </c>
      <c r="H38" s="530" t="s">
        <v>403</v>
      </c>
      <c r="I38" s="532">
        <v>12.108000000000001</v>
      </c>
      <c r="J38" s="532">
        <v>6</v>
      </c>
      <c r="K38" s="533">
        <v>72.650000000000006</v>
      </c>
    </row>
    <row r="39" spans="1:11" ht="14.4" customHeight="1" x14ac:dyDescent="0.3">
      <c r="A39" s="528" t="s">
        <v>314</v>
      </c>
      <c r="B39" s="529" t="s">
        <v>311</v>
      </c>
      <c r="C39" s="530" t="s">
        <v>334</v>
      </c>
      <c r="D39" s="531" t="s">
        <v>452</v>
      </c>
      <c r="E39" s="530" t="s">
        <v>455</v>
      </c>
      <c r="F39" s="531" t="s">
        <v>456</v>
      </c>
      <c r="G39" s="530" t="s">
        <v>404</v>
      </c>
      <c r="H39" s="530" t="s">
        <v>405</v>
      </c>
      <c r="I39" s="532">
        <v>1.9339999999999999</v>
      </c>
      <c r="J39" s="532">
        <v>170</v>
      </c>
      <c r="K39" s="533">
        <v>328.70000000000005</v>
      </c>
    </row>
    <row r="40" spans="1:11" ht="14.4" customHeight="1" x14ac:dyDescent="0.3">
      <c r="A40" s="528" t="s">
        <v>314</v>
      </c>
      <c r="B40" s="529" t="s">
        <v>311</v>
      </c>
      <c r="C40" s="530" t="s">
        <v>334</v>
      </c>
      <c r="D40" s="531" t="s">
        <v>452</v>
      </c>
      <c r="E40" s="530" t="s">
        <v>455</v>
      </c>
      <c r="F40" s="531" t="s">
        <v>456</v>
      </c>
      <c r="G40" s="530" t="s">
        <v>406</v>
      </c>
      <c r="H40" s="530" t="s">
        <v>407</v>
      </c>
      <c r="I40" s="532">
        <v>217.43705882352944</v>
      </c>
      <c r="J40" s="532">
        <v>632</v>
      </c>
      <c r="K40" s="533">
        <v>137420.16999999998</v>
      </c>
    </row>
    <row r="41" spans="1:11" ht="14.4" customHeight="1" x14ac:dyDescent="0.3">
      <c r="A41" s="528" t="s">
        <v>314</v>
      </c>
      <c r="B41" s="529" t="s">
        <v>311</v>
      </c>
      <c r="C41" s="530" t="s">
        <v>334</v>
      </c>
      <c r="D41" s="531" t="s">
        <v>452</v>
      </c>
      <c r="E41" s="530" t="s">
        <v>455</v>
      </c>
      <c r="F41" s="531" t="s">
        <v>456</v>
      </c>
      <c r="G41" s="530" t="s">
        <v>408</v>
      </c>
      <c r="H41" s="530" t="s">
        <v>409</v>
      </c>
      <c r="I41" s="532">
        <v>0.47199999999999998</v>
      </c>
      <c r="J41" s="532">
        <v>650</v>
      </c>
      <c r="K41" s="533">
        <v>306.5</v>
      </c>
    </row>
    <row r="42" spans="1:11" ht="14.4" customHeight="1" x14ac:dyDescent="0.3">
      <c r="A42" s="528" t="s">
        <v>314</v>
      </c>
      <c r="B42" s="529" t="s">
        <v>311</v>
      </c>
      <c r="C42" s="530" t="s">
        <v>334</v>
      </c>
      <c r="D42" s="531" t="s">
        <v>452</v>
      </c>
      <c r="E42" s="530" t="s">
        <v>455</v>
      </c>
      <c r="F42" s="531" t="s">
        <v>456</v>
      </c>
      <c r="G42" s="530" t="s">
        <v>410</v>
      </c>
      <c r="H42" s="530" t="s">
        <v>411</v>
      </c>
      <c r="I42" s="532">
        <v>3.4249999999999998</v>
      </c>
      <c r="J42" s="532">
        <v>160</v>
      </c>
      <c r="K42" s="533">
        <v>548</v>
      </c>
    </row>
    <row r="43" spans="1:11" ht="14.4" customHeight="1" x14ac:dyDescent="0.3">
      <c r="A43" s="528" t="s">
        <v>314</v>
      </c>
      <c r="B43" s="529" t="s">
        <v>311</v>
      </c>
      <c r="C43" s="530" t="s">
        <v>334</v>
      </c>
      <c r="D43" s="531" t="s">
        <v>452</v>
      </c>
      <c r="E43" s="530" t="s">
        <v>455</v>
      </c>
      <c r="F43" s="531" t="s">
        <v>456</v>
      </c>
      <c r="G43" s="530" t="s">
        <v>412</v>
      </c>
      <c r="H43" s="530" t="s">
        <v>413</v>
      </c>
      <c r="I43" s="532">
        <v>3.4200000000000004</v>
      </c>
      <c r="J43" s="532">
        <v>430</v>
      </c>
      <c r="K43" s="533">
        <v>1470.6</v>
      </c>
    </row>
    <row r="44" spans="1:11" ht="14.4" customHeight="1" x14ac:dyDescent="0.3">
      <c r="A44" s="528" t="s">
        <v>314</v>
      </c>
      <c r="B44" s="529" t="s">
        <v>311</v>
      </c>
      <c r="C44" s="530" t="s">
        <v>334</v>
      </c>
      <c r="D44" s="531" t="s">
        <v>452</v>
      </c>
      <c r="E44" s="530" t="s">
        <v>455</v>
      </c>
      <c r="F44" s="531" t="s">
        <v>456</v>
      </c>
      <c r="G44" s="530" t="s">
        <v>414</v>
      </c>
      <c r="H44" s="530" t="s">
        <v>415</v>
      </c>
      <c r="I44" s="532">
        <v>6.0914814814814813</v>
      </c>
      <c r="J44" s="532">
        <v>1191</v>
      </c>
      <c r="K44" s="533">
        <v>7255.31</v>
      </c>
    </row>
    <row r="45" spans="1:11" ht="14.4" customHeight="1" x14ac:dyDescent="0.3">
      <c r="A45" s="528" t="s">
        <v>314</v>
      </c>
      <c r="B45" s="529" t="s">
        <v>311</v>
      </c>
      <c r="C45" s="530" t="s">
        <v>334</v>
      </c>
      <c r="D45" s="531" t="s">
        <v>452</v>
      </c>
      <c r="E45" s="530" t="s">
        <v>455</v>
      </c>
      <c r="F45" s="531" t="s">
        <v>456</v>
      </c>
      <c r="G45" s="530" t="s">
        <v>416</v>
      </c>
      <c r="H45" s="530" t="s">
        <v>417</v>
      </c>
      <c r="I45" s="532">
        <v>9.4366666666666674</v>
      </c>
      <c r="J45" s="532">
        <v>470</v>
      </c>
      <c r="K45" s="533">
        <v>4435.7000000000007</v>
      </c>
    </row>
    <row r="46" spans="1:11" ht="14.4" customHeight="1" x14ac:dyDescent="0.3">
      <c r="A46" s="528" t="s">
        <v>314</v>
      </c>
      <c r="B46" s="529" t="s">
        <v>311</v>
      </c>
      <c r="C46" s="530" t="s">
        <v>334</v>
      </c>
      <c r="D46" s="531" t="s">
        <v>452</v>
      </c>
      <c r="E46" s="530" t="s">
        <v>455</v>
      </c>
      <c r="F46" s="531" t="s">
        <v>456</v>
      </c>
      <c r="G46" s="530" t="s">
        <v>418</v>
      </c>
      <c r="H46" s="530" t="s">
        <v>419</v>
      </c>
      <c r="I46" s="532">
        <v>37.75</v>
      </c>
      <c r="J46" s="532">
        <v>80</v>
      </c>
      <c r="K46" s="533">
        <v>3020.2</v>
      </c>
    </row>
    <row r="47" spans="1:11" ht="14.4" customHeight="1" x14ac:dyDescent="0.3">
      <c r="A47" s="528" t="s">
        <v>314</v>
      </c>
      <c r="B47" s="529" t="s">
        <v>311</v>
      </c>
      <c r="C47" s="530" t="s">
        <v>334</v>
      </c>
      <c r="D47" s="531" t="s">
        <v>452</v>
      </c>
      <c r="E47" s="530" t="s">
        <v>455</v>
      </c>
      <c r="F47" s="531" t="s">
        <v>456</v>
      </c>
      <c r="G47" s="530" t="s">
        <v>420</v>
      </c>
      <c r="H47" s="530" t="s">
        <v>421</v>
      </c>
      <c r="I47" s="532">
        <v>217.44</v>
      </c>
      <c r="J47" s="532">
        <v>30</v>
      </c>
      <c r="K47" s="533">
        <v>6523.2</v>
      </c>
    </row>
    <row r="48" spans="1:11" ht="14.4" customHeight="1" x14ac:dyDescent="0.3">
      <c r="A48" s="528" t="s">
        <v>314</v>
      </c>
      <c r="B48" s="529" t="s">
        <v>311</v>
      </c>
      <c r="C48" s="530" t="s">
        <v>334</v>
      </c>
      <c r="D48" s="531" t="s">
        <v>452</v>
      </c>
      <c r="E48" s="530" t="s">
        <v>455</v>
      </c>
      <c r="F48" s="531" t="s">
        <v>456</v>
      </c>
      <c r="G48" s="530" t="s">
        <v>422</v>
      </c>
      <c r="H48" s="530" t="s">
        <v>423</v>
      </c>
      <c r="I48" s="532">
        <v>10.075714285714286</v>
      </c>
      <c r="J48" s="532">
        <v>330</v>
      </c>
      <c r="K48" s="533">
        <v>3324.7799999999997</v>
      </c>
    </row>
    <row r="49" spans="1:11" ht="14.4" customHeight="1" x14ac:dyDescent="0.3">
      <c r="A49" s="528" t="s">
        <v>314</v>
      </c>
      <c r="B49" s="529" t="s">
        <v>311</v>
      </c>
      <c r="C49" s="530" t="s">
        <v>334</v>
      </c>
      <c r="D49" s="531" t="s">
        <v>452</v>
      </c>
      <c r="E49" s="530" t="s">
        <v>455</v>
      </c>
      <c r="F49" s="531" t="s">
        <v>456</v>
      </c>
      <c r="G49" s="530" t="s">
        <v>424</v>
      </c>
      <c r="H49" s="530" t="s">
        <v>425</v>
      </c>
      <c r="I49" s="532">
        <v>10.077999999999999</v>
      </c>
      <c r="J49" s="532">
        <v>270</v>
      </c>
      <c r="K49" s="533">
        <v>2720.46</v>
      </c>
    </row>
    <row r="50" spans="1:11" ht="14.4" customHeight="1" x14ac:dyDescent="0.3">
      <c r="A50" s="528" t="s">
        <v>314</v>
      </c>
      <c r="B50" s="529" t="s">
        <v>311</v>
      </c>
      <c r="C50" s="530" t="s">
        <v>334</v>
      </c>
      <c r="D50" s="531" t="s">
        <v>452</v>
      </c>
      <c r="E50" s="530" t="s">
        <v>455</v>
      </c>
      <c r="F50" s="531" t="s">
        <v>456</v>
      </c>
      <c r="G50" s="530" t="s">
        <v>426</v>
      </c>
      <c r="H50" s="530" t="s">
        <v>427</v>
      </c>
      <c r="I50" s="532">
        <v>9.68</v>
      </c>
      <c r="J50" s="532">
        <v>140</v>
      </c>
      <c r="K50" s="533">
        <v>1355.1999999999998</v>
      </c>
    </row>
    <row r="51" spans="1:11" ht="14.4" customHeight="1" x14ac:dyDescent="0.3">
      <c r="A51" s="528" t="s">
        <v>314</v>
      </c>
      <c r="B51" s="529" t="s">
        <v>311</v>
      </c>
      <c r="C51" s="530" t="s">
        <v>334</v>
      </c>
      <c r="D51" s="531" t="s">
        <v>452</v>
      </c>
      <c r="E51" s="530" t="s">
        <v>455</v>
      </c>
      <c r="F51" s="531" t="s">
        <v>456</v>
      </c>
      <c r="G51" s="530" t="s">
        <v>428</v>
      </c>
      <c r="H51" s="530" t="s">
        <v>429</v>
      </c>
      <c r="I51" s="532">
        <v>12.1</v>
      </c>
      <c r="J51" s="532">
        <v>80</v>
      </c>
      <c r="K51" s="533">
        <v>968</v>
      </c>
    </row>
    <row r="52" spans="1:11" ht="14.4" customHeight="1" x14ac:dyDescent="0.3">
      <c r="A52" s="528" t="s">
        <v>314</v>
      </c>
      <c r="B52" s="529" t="s">
        <v>311</v>
      </c>
      <c r="C52" s="530" t="s">
        <v>334</v>
      </c>
      <c r="D52" s="531" t="s">
        <v>452</v>
      </c>
      <c r="E52" s="530" t="s">
        <v>457</v>
      </c>
      <c r="F52" s="531" t="s">
        <v>458</v>
      </c>
      <c r="G52" s="530" t="s">
        <v>430</v>
      </c>
      <c r="H52" s="530" t="s">
        <v>431</v>
      </c>
      <c r="I52" s="532">
        <v>4629.26</v>
      </c>
      <c r="J52" s="532">
        <v>1</v>
      </c>
      <c r="K52" s="533">
        <v>4629.26</v>
      </c>
    </row>
    <row r="53" spans="1:11" ht="14.4" customHeight="1" x14ac:dyDescent="0.3">
      <c r="A53" s="528" t="s">
        <v>314</v>
      </c>
      <c r="B53" s="529" t="s">
        <v>311</v>
      </c>
      <c r="C53" s="530" t="s">
        <v>334</v>
      </c>
      <c r="D53" s="531" t="s">
        <v>452</v>
      </c>
      <c r="E53" s="530" t="s">
        <v>457</v>
      </c>
      <c r="F53" s="531" t="s">
        <v>458</v>
      </c>
      <c r="G53" s="530" t="s">
        <v>432</v>
      </c>
      <c r="H53" s="530" t="s">
        <v>433</v>
      </c>
      <c r="I53" s="532">
        <v>4368.43</v>
      </c>
      <c r="J53" s="532">
        <v>2</v>
      </c>
      <c r="K53" s="533">
        <v>8736.85</v>
      </c>
    </row>
    <row r="54" spans="1:11" ht="14.4" customHeight="1" x14ac:dyDescent="0.3">
      <c r="A54" s="528" t="s">
        <v>314</v>
      </c>
      <c r="B54" s="529" t="s">
        <v>311</v>
      </c>
      <c r="C54" s="530" t="s">
        <v>334</v>
      </c>
      <c r="D54" s="531" t="s">
        <v>452</v>
      </c>
      <c r="E54" s="530" t="s">
        <v>459</v>
      </c>
      <c r="F54" s="531" t="s">
        <v>460</v>
      </c>
      <c r="G54" s="530" t="s">
        <v>434</v>
      </c>
      <c r="H54" s="530" t="s">
        <v>435</v>
      </c>
      <c r="I54" s="532">
        <v>8.1685714285714273</v>
      </c>
      <c r="J54" s="532">
        <v>1060</v>
      </c>
      <c r="K54" s="533">
        <v>8658.4</v>
      </c>
    </row>
    <row r="55" spans="1:11" ht="14.4" customHeight="1" x14ac:dyDescent="0.3">
      <c r="A55" s="528" t="s">
        <v>314</v>
      </c>
      <c r="B55" s="529" t="s">
        <v>311</v>
      </c>
      <c r="C55" s="530" t="s">
        <v>334</v>
      </c>
      <c r="D55" s="531" t="s">
        <v>452</v>
      </c>
      <c r="E55" s="530" t="s">
        <v>459</v>
      </c>
      <c r="F55" s="531" t="s">
        <v>460</v>
      </c>
      <c r="G55" s="530" t="s">
        <v>436</v>
      </c>
      <c r="H55" s="530" t="s">
        <v>437</v>
      </c>
      <c r="I55" s="532">
        <v>162.63</v>
      </c>
      <c r="J55" s="532">
        <v>120</v>
      </c>
      <c r="K55" s="533">
        <v>19515.5</v>
      </c>
    </row>
    <row r="56" spans="1:11" ht="14.4" customHeight="1" x14ac:dyDescent="0.3">
      <c r="A56" s="528" t="s">
        <v>314</v>
      </c>
      <c r="B56" s="529" t="s">
        <v>311</v>
      </c>
      <c r="C56" s="530" t="s">
        <v>334</v>
      </c>
      <c r="D56" s="531" t="s">
        <v>452</v>
      </c>
      <c r="E56" s="530" t="s">
        <v>459</v>
      </c>
      <c r="F56" s="531" t="s">
        <v>460</v>
      </c>
      <c r="G56" s="530" t="s">
        <v>438</v>
      </c>
      <c r="H56" s="530" t="s">
        <v>439</v>
      </c>
      <c r="I56" s="532">
        <v>70.12</v>
      </c>
      <c r="J56" s="532">
        <v>100</v>
      </c>
      <c r="K56" s="533">
        <v>7011.95</v>
      </c>
    </row>
    <row r="57" spans="1:11" ht="14.4" customHeight="1" x14ac:dyDescent="0.3">
      <c r="A57" s="528" t="s">
        <v>314</v>
      </c>
      <c r="B57" s="529" t="s">
        <v>311</v>
      </c>
      <c r="C57" s="530" t="s">
        <v>334</v>
      </c>
      <c r="D57" s="531" t="s">
        <v>452</v>
      </c>
      <c r="E57" s="530" t="s">
        <v>461</v>
      </c>
      <c r="F57" s="531" t="s">
        <v>462</v>
      </c>
      <c r="G57" s="530" t="s">
        <v>440</v>
      </c>
      <c r="H57" s="530" t="s">
        <v>441</v>
      </c>
      <c r="I57" s="532">
        <v>0.48347826086956541</v>
      </c>
      <c r="J57" s="532">
        <v>3120</v>
      </c>
      <c r="K57" s="533">
        <v>1509.6</v>
      </c>
    </row>
    <row r="58" spans="1:11" ht="14.4" customHeight="1" x14ac:dyDescent="0.3">
      <c r="A58" s="528" t="s">
        <v>314</v>
      </c>
      <c r="B58" s="529" t="s">
        <v>311</v>
      </c>
      <c r="C58" s="530" t="s">
        <v>334</v>
      </c>
      <c r="D58" s="531" t="s">
        <v>452</v>
      </c>
      <c r="E58" s="530" t="s">
        <v>461</v>
      </c>
      <c r="F58" s="531" t="s">
        <v>462</v>
      </c>
      <c r="G58" s="530" t="s">
        <v>442</v>
      </c>
      <c r="H58" s="530" t="s">
        <v>443</v>
      </c>
      <c r="I58" s="532">
        <v>125.48</v>
      </c>
      <c r="J58" s="532">
        <v>72</v>
      </c>
      <c r="K58" s="533">
        <v>9034.24</v>
      </c>
    </row>
    <row r="59" spans="1:11" ht="14.4" customHeight="1" x14ac:dyDescent="0.3">
      <c r="A59" s="528" t="s">
        <v>314</v>
      </c>
      <c r="B59" s="529" t="s">
        <v>311</v>
      </c>
      <c r="C59" s="530" t="s">
        <v>334</v>
      </c>
      <c r="D59" s="531" t="s">
        <v>452</v>
      </c>
      <c r="E59" s="530" t="s">
        <v>461</v>
      </c>
      <c r="F59" s="531" t="s">
        <v>462</v>
      </c>
      <c r="G59" s="530" t="s">
        <v>444</v>
      </c>
      <c r="H59" s="530" t="s">
        <v>445</v>
      </c>
      <c r="I59" s="532">
        <v>192.39</v>
      </c>
      <c r="J59" s="532">
        <v>20</v>
      </c>
      <c r="K59" s="533">
        <v>3847.8</v>
      </c>
    </row>
    <row r="60" spans="1:11" ht="14.4" customHeight="1" x14ac:dyDescent="0.3">
      <c r="A60" s="528" t="s">
        <v>314</v>
      </c>
      <c r="B60" s="529" t="s">
        <v>311</v>
      </c>
      <c r="C60" s="530" t="s">
        <v>334</v>
      </c>
      <c r="D60" s="531" t="s">
        <v>452</v>
      </c>
      <c r="E60" s="530" t="s">
        <v>463</v>
      </c>
      <c r="F60" s="531" t="s">
        <v>464</v>
      </c>
      <c r="G60" s="530" t="s">
        <v>446</v>
      </c>
      <c r="H60" s="530" t="s">
        <v>447</v>
      </c>
      <c r="I60" s="532">
        <v>7.5008333333333326</v>
      </c>
      <c r="J60" s="532">
        <v>1130</v>
      </c>
      <c r="K60" s="533">
        <v>8475.9</v>
      </c>
    </row>
    <row r="61" spans="1:11" ht="14.4" customHeight="1" x14ac:dyDescent="0.3">
      <c r="A61" s="528" t="s">
        <v>314</v>
      </c>
      <c r="B61" s="529" t="s">
        <v>311</v>
      </c>
      <c r="C61" s="530" t="s">
        <v>334</v>
      </c>
      <c r="D61" s="531" t="s">
        <v>452</v>
      </c>
      <c r="E61" s="530" t="s">
        <v>463</v>
      </c>
      <c r="F61" s="531" t="s">
        <v>464</v>
      </c>
      <c r="G61" s="530" t="s">
        <v>446</v>
      </c>
      <c r="H61" s="530" t="s">
        <v>448</v>
      </c>
      <c r="I61" s="532">
        <v>7.503333333333333</v>
      </c>
      <c r="J61" s="532">
        <v>720</v>
      </c>
      <c r="K61" s="533">
        <v>5404.2</v>
      </c>
    </row>
    <row r="62" spans="1:11" ht="14.4" customHeight="1" x14ac:dyDescent="0.3">
      <c r="A62" s="528" t="s">
        <v>314</v>
      </c>
      <c r="B62" s="529" t="s">
        <v>311</v>
      </c>
      <c r="C62" s="530" t="s">
        <v>334</v>
      </c>
      <c r="D62" s="531" t="s">
        <v>452</v>
      </c>
      <c r="E62" s="530" t="s">
        <v>463</v>
      </c>
      <c r="F62" s="531" t="s">
        <v>464</v>
      </c>
      <c r="G62" s="530" t="s">
        <v>449</v>
      </c>
      <c r="H62" s="530" t="s">
        <v>450</v>
      </c>
      <c r="I62" s="532">
        <v>7.51</v>
      </c>
      <c r="J62" s="532">
        <v>197</v>
      </c>
      <c r="K62" s="533">
        <v>1479.04</v>
      </c>
    </row>
    <row r="63" spans="1:11" ht="14.4" customHeight="1" thickBot="1" x14ac:dyDescent="0.35">
      <c r="A63" s="504" t="s">
        <v>314</v>
      </c>
      <c r="B63" s="534" t="s">
        <v>311</v>
      </c>
      <c r="C63" s="535" t="s">
        <v>334</v>
      </c>
      <c r="D63" s="536" t="s">
        <v>452</v>
      </c>
      <c r="E63" s="535" t="s">
        <v>463</v>
      </c>
      <c r="F63" s="536" t="s">
        <v>464</v>
      </c>
      <c r="G63" s="535" t="s">
        <v>449</v>
      </c>
      <c r="H63" s="535" t="s">
        <v>451</v>
      </c>
      <c r="I63" s="505">
        <v>7.503333333333333</v>
      </c>
      <c r="J63" s="505">
        <v>160</v>
      </c>
      <c r="K63" s="507">
        <v>1200.5999999999999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S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45" ht="18.600000000000001" thickBot="1" x14ac:dyDescent="0.4">
      <c r="A1" s="393" t="s">
        <v>104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  <c r="AI1" s="361"/>
      <c r="AJ1" s="361"/>
      <c r="AK1" s="361"/>
      <c r="AL1" s="361"/>
      <c r="AM1" s="361"/>
      <c r="AN1" s="361"/>
      <c r="AO1" s="361"/>
      <c r="AP1" s="361"/>
      <c r="AQ1" s="361"/>
      <c r="AR1" s="361"/>
      <c r="AS1" s="361"/>
    </row>
    <row r="2" spans="1:45" ht="15" thickBot="1" x14ac:dyDescent="0.35">
      <c r="A2" s="230" t="s">
        <v>253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</row>
    <row r="3" spans="1:45" x14ac:dyDescent="0.3">
      <c r="A3" s="251" t="s">
        <v>177</v>
      </c>
      <c r="B3" s="391" t="s">
        <v>156</v>
      </c>
      <c r="C3" s="232">
        <v>0</v>
      </c>
      <c r="D3" s="233">
        <v>25</v>
      </c>
      <c r="E3" s="233">
        <v>99</v>
      </c>
      <c r="F3" s="253">
        <v>100</v>
      </c>
      <c r="G3" s="253">
        <v>101</v>
      </c>
      <c r="H3" s="253">
        <v>102</v>
      </c>
      <c r="I3" s="253">
        <v>103</v>
      </c>
      <c r="J3" s="253">
        <v>203</v>
      </c>
      <c r="K3" s="253">
        <v>302</v>
      </c>
      <c r="L3" s="253">
        <v>303</v>
      </c>
      <c r="M3" s="253">
        <v>304</v>
      </c>
      <c r="N3" s="253">
        <v>305</v>
      </c>
      <c r="O3" s="253">
        <v>306</v>
      </c>
      <c r="P3" s="253">
        <v>407</v>
      </c>
      <c r="Q3" s="253">
        <v>408</v>
      </c>
      <c r="R3" s="253">
        <v>409</v>
      </c>
      <c r="S3" s="253">
        <v>410</v>
      </c>
      <c r="T3" s="253">
        <v>415</v>
      </c>
      <c r="U3" s="253">
        <v>416</v>
      </c>
      <c r="V3" s="253">
        <v>418</v>
      </c>
      <c r="W3" s="253">
        <v>419</v>
      </c>
      <c r="X3" s="253">
        <v>420</v>
      </c>
      <c r="Y3" s="253">
        <v>421</v>
      </c>
      <c r="Z3" s="253">
        <v>520</v>
      </c>
      <c r="AA3" s="253">
        <v>521</v>
      </c>
      <c r="AB3" s="253">
        <v>522</v>
      </c>
      <c r="AC3" s="253">
        <v>523</v>
      </c>
      <c r="AD3" s="253">
        <v>524</v>
      </c>
      <c r="AE3" s="253">
        <v>525</v>
      </c>
      <c r="AF3" s="253">
        <v>526</v>
      </c>
      <c r="AG3" s="233">
        <v>527</v>
      </c>
      <c r="AH3" s="233">
        <v>528</v>
      </c>
      <c r="AI3" s="233">
        <v>629</v>
      </c>
      <c r="AJ3" s="233">
        <v>630</v>
      </c>
      <c r="AK3" s="233">
        <v>636</v>
      </c>
      <c r="AL3" s="233">
        <v>637</v>
      </c>
      <c r="AM3" s="233">
        <v>640</v>
      </c>
      <c r="AN3" s="233">
        <v>642</v>
      </c>
      <c r="AO3" s="233">
        <v>743</v>
      </c>
      <c r="AP3" s="233">
        <v>745</v>
      </c>
      <c r="AQ3" s="233">
        <v>746</v>
      </c>
      <c r="AR3" s="233">
        <v>747</v>
      </c>
      <c r="AS3" s="234">
        <v>930</v>
      </c>
    </row>
    <row r="4" spans="1:45" ht="36.6" outlineLevel="1" thickBot="1" x14ac:dyDescent="0.35">
      <c r="A4" s="252">
        <v>2016</v>
      </c>
      <c r="B4" s="392"/>
      <c r="C4" s="235" t="s">
        <v>157</v>
      </c>
      <c r="D4" s="236" t="s">
        <v>161</v>
      </c>
      <c r="E4" s="236" t="s">
        <v>158</v>
      </c>
      <c r="F4" s="254" t="s">
        <v>219</v>
      </c>
      <c r="G4" s="254" t="s">
        <v>220</v>
      </c>
      <c r="H4" s="254" t="s">
        <v>159</v>
      </c>
      <c r="I4" s="254" t="s">
        <v>221</v>
      </c>
      <c r="J4" s="254" t="s">
        <v>160</v>
      </c>
      <c r="K4" s="254" t="s">
        <v>222</v>
      </c>
      <c r="L4" s="254" t="s">
        <v>223</v>
      </c>
      <c r="M4" s="254" t="s">
        <v>224</v>
      </c>
      <c r="N4" s="254" t="s">
        <v>225</v>
      </c>
      <c r="O4" s="254" t="s">
        <v>186</v>
      </c>
      <c r="P4" s="254" t="s">
        <v>217</v>
      </c>
      <c r="Q4" s="254" t="s">
        <v>187</v>
      </c>
      <c r="R4" s="254" t="s">
        <v>188</v>
      </c>
      <c r="S4" s="254" t="s">
        <v>189</v>
      </c>
      <c r="T4" s="254" t="s">
        <v>190</v>
      </c>
      <c r="U4" s="254" t="s">
        <v>191</v>
      </c>
      <c r="V4" s="254" t="s">
        <v>192</v>
      </c>
      <c r="W4" s="254" t="s">
        <v>193</v>
      </c>
      <c r="X4" s="254" t="s">
        <v>194</v>
      </c>
      <c r="Y4" s="254" t="s">
        <v>195</v>
      </c>
      <c r="Z4" s="254" t="s">
        <v>226</v>
      </c>
      <c r="AA4" s="254" t="s">
        <v>227</v>
      </c>
      <c r="AB4" s="254" t="s">
        <v>228</v>
      </c>
      <c r="AC4" s="254" t="s">
        <v>196</v>
      </c>
      <c r="AD4" s="254" t="s">
        <v>197</v>
      </c>
      <c r="AE4" s="254" t="s">
        <v>198</v>
      </c>
      <c r="AF4" s="254" t="s">
        <v>199</v>
      </c>
      <c r="AG4" s="236" t="s">
        <v>200</v>
      </c>
      <c r="AH4" s="236" t="s">
        <v>210</v>
      </c>
      <c r="AI4" s="236" t="s">
        <v>201</v>
      </c>
      <c r="AJ4" s="236" t="s">
        <v>211</v>
      </c>
      <c r="AK4" s="236" t="s">
        <v>202</v>
      </c>
      <c r="AL4" s="322" t="s">
        <v>203</v>
      </c>
      <c r="AM4" s="236" t="s">
        <v>204</v>
      </c>
      <c r="AN4" s="236" t="s">
        <v>205</v>
      </c>
      <c r="AO4" s="236" t="s">
        <v>206</v>
      </c>
      <c r="AP4" s="236" t="s">
        <v>207</v>
      </c>
      <c r="AQ4" s="236" t="s">
        <v>208</v>
      </c>
      <c r="AR4" s="236" t="s">
        <v>209</v>
      </c>
      <c r="AS4" s="237" t="s">
        <v>179</v>
      </c>
    </row>
    <row r="5" spans="1:45" x14ac:dyDescent="0.3">
      <c r="A5" s="238" t="s">
        <v>162</v>
      </c>
      <c r="B5" s="279"/>
      <c r="C5" s="280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323"/>
      <c r="AM5" s="281"/>
      <c r="AN5" s="281"/>
      <c r="AO5" s="281"/>
      <c r="AP5" s="281"/>
      <c r="AQ5" s="281"/>
      <c r="AR5" s="281"/>
      <c r="AS5" s="282"/>
    </row>
    <row r="6" spans="1:45" ht="15" collapsed="1" thickBot="1" x14ac:dyDescent="0.35">
      <c r="A6" s="239" t="s">
        <v>71</v>
      </c>
      <c r="B6" s="283" t="e">
        <f xml:space="preserve">
TRUNC(IF($A$4&lt;=12,SUMIFS(#REF!,#REF!,$A$4,#REF!,1),SUMIFS(#REF!,#REF!,1)/#REF!),1)</f>
        <v>#REF!</v>
      </c>
      <c r="C6" s="284" t="e">
        <f xml:space="preserve">
TRUNC(IF($A$4&lt;=12,SUMIFS(#REF!,#REF!,$A$4,#REF!,1),SUMIFS(#REF!,#REF!,1)/#REF!),1)</f>
        <v>#REF!</v>
      </c>
      <c r="D6" s="285" t="e">
        <f xml:space="preserve">
TRUNC(IF($A$4&lt;=12,SUMIFS(#REF!,#REF!,$A$4,#REF!,1),SUMIFS(#REF!,#REF!,1)/#REF!),1)</f>
        <v>#REF!</v>
      </c>
      <c r="E6" s="285" t="e">
        <f xml:space="preserve">
TRUNC(IF($A$4&lt;=12,SUMIFS(#REF!,#REF!,$A$4,#REF!,1),SUMIFS(#REF!,#REF!,1)/#REF!),1)</f>
        <v>#REF!</v>
      </c>
      <c r="F6" s="285" t="e">
        <f xml:space="preserve">
TRUNC(IF($A$4&lt;=12,SUMIFS(#REF!,#REF!,$A$4,#REF!,1),SUMIFS(#REF!,#REF!,1)/#REF!),1)</f>
        <v>#REF!</v>
      </c>
      <c r="G6" s="285" t="e">
        <f xml:space="preserve">
TRUNC(IF($A$4&lt;=12,SUMIFS(#REF!,#REF!,$A$4,#REF!,1),SUMIFS(#REF!,#REF!,1)/#REF!),1)</f>
        <v>#REF!</v>
      </c>
      <c r="H6" s="285" t="e">
        <f xml:space="preserve">
TRUNC(IF($A$4&lt;=12,SUMIFS(#REF!,#REF!,$A$4,#REF!,1),SUMIFS(#REF!,#REF!,1)/#REF!),1)</f>
        <v>#REF!</v>
      </c>
      <c r="I6" s="285" t="e">
        <f xml:space="preserve">
TRUNC(IF($A$4&lt;=12,SUMIFS(#REF!,#REF!,$A$4,#REF!,1),SUMIFS(#REF!,#REF!,1)/#REF!),1)</f>
        <v>#REF!</v>
      </c>
      <c r="J6" s="285" t="e">
        <f xml:space="preserve">
TRUNC(IF($A$4&lt;=12,SUMIFS(#REF!,#REF!,$A$4,#REF!,1),SUMIFS(#REF!,#REF!,1)/#REF!),1)</f>
        <v>#REF!</v>
      </c>
      <c r="K6" s="285" t="e">
        <f xml:space="preserve">
TRUNC(IF($A$4&lt;=12,SUMIFS(#REF!,#REF!,$A$4,#REF!,1),SUMIFS(#REF!,#REF!,1)/#REF!),1)</f>
        <v>#REF!</v>
      </c>
      <c r="L6" s="285" t="e">
        <f xml:space="preserve">
TRUNC(IF($A$4&lt;=12,SUMIFS(#REF!,#REF!,$A$4,#REF!,1),SUMIFS(#REF!,#REF!,1)/#REF!),1)</f>
        <v>#REF!</v>
      </c>
      <c r="M6" s="285" t="e">
        <f xml:space="preserve">
TRUNC(IF($A$4&lt;=12,SUMIFS(#REF!,#REF!,$A$4,#REF!,1),SUMIFS(#REF!,#REF!,1)/#REF!),1)</f>
        <v>#REF!</v>
      </c>
      <c r="N6" s="285" t="e">
        <f xml:space="preserve">
TRUNC(IF($A$4&lt;=12,SUMIFS(#REF!,#REF!,$A$4,#REF!,1),SUMIFS(#REF!,#REF!,1)/#REF!),1)</f>
        <v>#REF!</v>
      </c>
      <c r="O6" s="285" t="e">
        <f xml:space="preserve">
TRUNC(IF($A$4&lt;=12,SUMIFS(#REF!,#REF!,$A$4,#REF!,1),SUMIFS(#REF!,#REF!,1)/#REF!),1)</f>
        <v>#REF!</v>
      </c>
      <c r="P6" s="285" t="e">
        <f xml:space="preserve">
TRUNC(IF($A$4&lt;=12,SUMIFS(#REF!,#REF!,$A$4,#REF!,1),SUMIFS(#REF!,#REF!,1)/#REF!),1)</f>
        <v>#REF!</v>
      </c>
      <c r="Q6" s="285" t="e">
        <f xml:space="preserve">
TRUNC(IF($A$4&lt;=12,SUMIFS(#REF!,#REF!,$A$4,#REF!,1),SUMIFS(#REF!,#REF!,1)/#REF!),1)</f>
        <v>#REF!</v>
      </c>
      <c r="R6" s="285" t="e">
        <f xml:space="preserve">
TRUNC(IF($A$4&lt;=12,SUMIFS(#REF!,#REF!,$A$4,#REF!,1),SUMIFS(#REF!,#REF!,1)/#REF!),1)</f>
        <v>#REF!</v>
      </c>
      <c r="S6" s="285" t="e">
        <f xml:space="preserve">
TRUNC(IF($A$4&lt;=12,SUMIFS(#REF!,#REF!,$A$4,#REF!,1),SUMIFS(#REF!,#REF!,1)/#REF!),1)</f>
        <v>#REF!</v>
      </c>
      <c r="T6" s="285" t="e">
        <f xml:space="preserve">
TRUNC(IF($A$4&lt;=12,SUMIFS(#REF!,#REF!,$A$4,#REF!,1),SUMIFS(#REF!,#REF!,1)/#REF!),1)</f>
        <v>#REF!</v>
      </c>
      <c r="U6" s="285" t="e">
        <f xml:space="preserve">
TRUNC(IF($A$4&lt;=12,SUMIFS(#REF!,#REF!,$A$4,#REF!,1),SUMIFS(#REF!,#REF!,1)/#REF!),1)</f>
        <v>#REF!</v>
      </c>
      <c r="V6" s="285" t="e">
        <f xml:space="preserve">
TRUNC(IF($A$4&lt;=12,SUMIFS(#REF!,#REF!,$A$4,#REF!,1),SUMIFS(#REF!,#REF!,1)/#REF!),1)</f>
        <v>#REF!</v>
      </c>
      <c r="W6" s="285" t="e">
        <f xml:space="preserve">
TRUNC(IF($A$4&lt;=12,SUMIFS(#REF!,#REF!,$A$4,#REF!,1),SUMIFS(#REF!,#REF!,1)/#REF!),1)</f>
        <v>#REF!</v>
      </c>
      <c r="X6" s="285" t="e">
        <f xml:space="preserve">
TRUNC(IF($A$4&lt;=12,SUMIFS(#REF!,#REF!,$A$4,#REF!,1),SUMIFS(#REF!,#REF!,1)/#REF!),1)</f>
        <v>#REF!</v>
      </c>
      <c r="Y6" s="285" t="e">
        <f xml:space="preserve">
TRUNC(IF($A$4&lt;=12,SUMIFS(#REF!,#REF!,$A$4,#REF!,1),SUMIFS(#REF!,#REF!,1)/#REF!),1)</f>
        <v>#REF!</v>
      </c>
      <c r="Z6" s="285" t="e">
        <f xml:space="preserve">
TRUNC(IF($A$4&lt;=12,SUMIFS(#REF!,#REF!,$A$4,#REF!,1),SUMIFS(#REF!,#REF!,1)/#REF!),1)</f>
        <v>#REF!</v>
      </c>
      <c r="AA6" s="285" t="e">
        <f xml:space="preserve">
TRUNC(IF($A$4&lt;=12,SUMIFS(#REF!,#REF!,$A$4,#REF!,1),SUMIFS(#REF!,#REF!,1)/#REF!),1)</f>
        <v>#REF!</v>
      </c>
      <c r="AB6" s="285" t="e">
        <f xml:space="preserve">
TRUNC(IF($A$4&lt;=12,SUMIFS(#REF!,#REF!,$A$4,#REF!,1),SUMIFS(#REF!,#REF!,1)/#REF!),1)</f>
        <v>#REF!</v>
      </c>
      <c r="AC6" s="285" t="e">
        <f xml:space="preserve">
TRUNC(IF($A$4&lt;=12,SUMIFS(#REF!,#REF!,$A$4,#REF!,1),SUMIFS(#REF!,#REF!,1)/#REF!),1)</f>
        <v>#REF!</v>
      </c>
      <c r="AD6" s="285" t="e">
        <f xml:space="preserve">
TRUNC(IF($A$4&lt;=12,SUMIFS(#REF!,#REF!,$A$4,#REF!,1),SUMIFS(#REF!,#REF!,1)/#REF!),1)</f>
        <v>#REF!</v>
      </c>
      <c r="AE6" s="285" t="e">
        <f xml:space="preserve">
TRUNC(IF($A$4&lt;=12,SUMIFS(#REF!,#REF!,$A$4,#REF!,1),SUMIFS(#REF!,#REF!,1)/#REF!),1)</f>
        <v>#REF!</v>
      </c>
      <c r="AF6" s="285" t="e">
        <f xml:space="preserve">
TRUNC(IF($A$4&lt;=12,SUMIFS(#REF!,#REF!,$A$4,#REF!,1),SUMIFS(#REF!,#REF!,1)/#REF!),1)</f>
        <v>#REF!</v>
      </c>
      <c r="AG6" s="285" t="e">
        <f xml:space="preserve">
TRUNC(IF($A$4&lt;=12,SUMIFS(#REF!,#REF!,$A$4,#REF!,1),SUMIFS(#REF!,#REF!,1)/#REF!),1)</f>
        <v>#REF!</v>
      </c>
      <c r="AH6" s="285" t="e">
        <f xml:space="preserve">
TRUNC(IF($A$4&lt;=12,SUMIFS(#REF!,#REF!,$A$4,#REF!,1),SUMIFS(#REF!,#REF!,1)/#REF!),1)</f>
        <v>#REF!</v>
      </c>
      <c r="AI6" s="285" t="e">
        <f xml:space="preserve">
TRUNC(IF($A$4&lt;=12,SUMIFS(#REF!,#REF!,$A$4,#REF!,1),SUMIFS(#REF!,#REF!,1)/#REF!),1)</f>
        <v>#REF!</v>
      </c>
      <c r="AJ6" s="285" t="e">
        <f xml:space="preserve">
TRUNC(IF($A$4&lt;=12,SUMIFS(#REF!,#REF!,$A$4,#REF!,1),SUMIFS(#REF!,#REF!,1)/#REF!),1)</f>
        <v>#REF!</v>
      </c>
      <c r="AK6" s="285" t="e">
        <f xml:space="preserve">
TRUNC(IF($A$4&lt;=12,SUMIFS(#REF!,#REF!,$A$4,#REF!,1),SUMIFS(#REF!,#REF!,1)/#REF!),1)</f>
        <v>#REF!</v>
      </c>
      <c r="AL6" s="287" t="e">
        <f xml:space="preserve">
TRUNC(IF($A$4&lt;=12,SUMIFS(#REF!,#REF!,$A$4,#REF!,1),SUMIFS(#REF!,#REF!,1)/#REF!),1)</f>
        <v>#REF!</v>
      </c>
      <c r="AM6" s="285" t="e">
        <f xml:space="preserve">
TRUNC(IF($A$4&lt;=12,SUMIFS(#REF!,#REF!,$A$4,#REF!,1),SUMIFS(#REF!,#REF!,1)/#REF!),1)</f>
        <v>#REF!</v>
      </c>
      <c r="AN6" s="285" t="e">
        <f xml:space="preserve">
TRUNC(IF($A$4&lt;=12,SUMIFS(#REF!,#REF!,$A$4,#REF!,1),SUMIFS(#REF!,#REF!,1)/#REF!),1)</f>
        <v>#REF!</v>
      </c>
      <c r="AO6" s="285" t="e">
        <f xml:space="preserve">
TRUNC(IF($A$4&lt;=12,SUMIFS(#REF!,#REF!,$A$4,#REF!,1),SUMIFS(#REF!,#REF!,1)/#REF!),1)</f>
        <v>#REF!</v>
      </c>
      <c r="AP6" s="285" t="e">
        <f xml:space="preserve">
TRUNC(IF($A$4&lt;=12,SUMIFS(#REF!,#REF!,$A$4,#REF!,1),SUMIFS(#REF!,#REF!,1)/#REF!),1)</f>
        <v>#REF!</v>
      </c>
      <c r="AQ6" s="285" t="e">
        <f xml:space="preserve">
TRUNC(IF($A$4&lt;=12,SUMIFS(#REF!,#REF!,$A$4,#REF!,1),SUMIFS(#REF!,#REF!,1)/#REF!),1)</f>
        <v>#REF!</v>
      </c>
      <c r="AR6" s="285" t="e">
        <f xml:space="preserve">
TRUNC(IF($A$4&lt;=12,SUMIFS(#REF!,#REF!,$A$4,#REF!,1),SUMIFS(#REF!,#REF!,1)/#REF!),1)</f>
        <v>#REF!</v>
      </c>
      <c r="AS6" s="286" t="e">
        <f xml:space="preserve">
TRUNC(IF($A$4&lt;=12,SUMIFS(#REF!,#REF!,$A$4,#REF!,1),SUMIFS(#REF!,#REF!,1)/#REF!),1)</f>
        <v>#REF!</v>
      </c>
    </row>
    <row r="7" spans="1:45" ht="15" hidden="1" outlineLevel="1" thickBot="1" x14ac:dyDescent="0.35">
      <c r="A7" s="239" t="s">
        <v>105</v>
      </c>
      <c r="B7" s="283"/>
      <c r="C7" s="287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7"/>
      <c r="AM7" s="285"/>
      <c r="AN7" s="285"/>
      <c r="AO7" s="285"/>
      <c r="AP7" s="285"/>
      <c r="AQ7" s="285"/>
      <c r="AR7" s="285"/>
      <c r="AS7" s="286"/>
    </row>
    <row r="8" spans="1:45" ht="15" hidden="1" outlineLevel="1" thickBot="1" x14ac:dyDescent="0.35">
      <c r="A8" s="239" t="s">
        <v>73</v>
      </c>
      <c r="B8" s="283"/>
      <c r="C8" s="287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7"/>
      <c r="AM8" s="285"/>
      <c r="AN8" s="285"/>
      <c r="AO8" s="285"/>
      <c r="AP8" s="285"/>
      <c r="AQ8" s="285"/>
      <c r="AR8" s="285"/>
      <c r="AS8" s="286"/>
    </row>
    <row r="9" spans="1:45" ht="15" hidden="1" outlineLevel="1" thickBot="1" x14ac:dyDescent="0.35">
      <c r="A9" s="240" t="s">
        <v>66</v>
      </c>
      <c r="B9" s="288"/>
      <c r="C9" s="289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289"/>
      <c r="AM9" s="290"/>
      <c r="AN9" s="290"/>
      <c r="AO9" s="290"/>
      <c r="AP9" s="290"/>
      <c r="AQ9" s="290"/>
      <c r="AR9" s="290"/>
      <c r="AS9" s="291"/>
    </row>
    <row r="10" spans="1:45" x14ac:dyDescent="0.3">
      <c r="A10" s="241" t="s">
        <v>163</v>
      </c>
      <c r="B10" s="255"/>
      <c r="C10" s="256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324"/>
      <c r="AM10" s="257"/>
      <c r="AN10" s="257"/>
      <c r="AO10" s="257"/>
      <c r="AP10" s="257"/>
      <c r="AQ10" s="257"/>
      <c r="AR10" s="257"/>
      <c r="AS10" s="258"/>
    </row>
    <row r="11" spans="1:45" x14ac:dyDescent="0.3">
      <c r="A11" s="242" t="s">
        <v>164</v>
      </c>
      <c r="B11" s="259" t="e">
        <f xml:space="preserve">
IF($A$4&lt;=12,SUMIFS(#REF!,#REF!,$A$4,#REF!,2),SUMIFS(#REF!,#REF!,2))</f>
        <v>#REF!</v>
      </c>
      <c r="C11" s="260" t="e">
        <f xml:space="preserve">
IF($A$4&lt;=12,SUMIFS(#REF!,#REF!,$A$4,#REF!,2),SUMIFS(#REF!,#REF!,2))</f>
        <v>#REF!</v>
      </c>
      <c r="D11" s="261" t="e">
        <f xml:space="preserve">
IF($A$4&lt;=12,SUMIFS(#REF!,#REF!,$A$4,#REF!,2),SUMIFS(#REF!,#REF!,2))</f>
        <v>#REF!</v>
      </c>
      <c r="E11" s="261" t="e">
        <f xml:space="preserve">
IF($A$4&lt;=12,SUMIFS(#REF!,#REF!,$A$4,#REF!,2),SUMIFS(#REF!,#REF!,2))</f>
        <v>#REF!</v>
      </c>
      <c r="F11" s="261" t="e">
        <f xml:space="preserve">
IF($A$4&lt;=12,SUMIFS(#REF!,#REF!,$A$4,#REF!,2),SUMIFS(#REF!,#REF!,2))</f>
        <v>#REF!</v>
      </c>
      <c r="G11" s="261" t="e">
        <f xml:space="preserve">
IF($A$4&lt;=12,SUMIFS(#REF!,#REF!,$A$4,#REF!,2),SUMIFS(#REF!,#REF!,2))</f>
        <v>#REF!</v>
      </c>
      <c r="H11" s="261" t="e">
        <f xml:space="preserve">
IF($A$4&lt;=12,SUMIFS(#REF!,#REF!,$A$4,#REF!,2),SUMIFS(#REF!,#REF!,2))</f>
        <v>#REF!</v>
      </c>
      <c r="I11" s="261" t="e">
        <f xml:space="preserve">
IF($A$4&lt;=12,SUMIFS(#REF!,#REF!,$A$4,#REF!,2),SUMIFS(#REF!,#REF!,2))</f>
        <v>#REF!</v>
      </c>
      <c r="J11" s="261" t="e">
        <f xml:space="preserve">
IF($A$4&lt;=12,SUMIFS(#REF!,#REF!,$A$4,#REF!,2),SUMIFS(#REF!,#REF!,2))</f>
        <v>#REF!</v>
      </c>
      <c r="K11" s="261" t="e">
        <f xml:space="preserve">
IF($A$4&lt;=12,SUMIFS(#REF!,#REF!,$A$4,#REF!,2),SUMIFS(#REF!,#REF!,2))</f>
        <v>#REF!</v>
      </c>
      <c r="L11" s="261" t="e">
        <f xml:space="preserve">
IF($A$4&lt;=12,SUMIFS(#REF!,#REF!,$A$4,#REF!,2),SUMIFS(#REF!,#REF!,2))</f>
        <v>#REF!</v>
      </c>
      <c r="M11" s="261" t="e">
        <f xml:space="preserve">
IF($A$4&lt;=12,SUMIFS(#REF!,#REF!,$A$4,#REF!,2),SUMIFS(#REF!,#REF!,2))</f>
        <v>#REF!</v>
      </c>
      <c r="N11" s="261" t="e">
        <f xml:space="preserve">
IF($A$4&lt;=12,SUMIFS(#REF!,#REF!,$A$4,#REF!,2),SUMIFS(#REF!,#REF!,2))</f>
        <v>#REF!</v>
      </c>
      <c r="O11" s="261" t="e">
        <f xml:space="preserve">
IF($A$4&lt;=12,SUMIFS(#REF!,#REF!,$A$4,#REF!,2),SUMIFS(#REF!,#REF!,2))</f>
        <v>#REF!</v>
      </c>
      <c r="P11" s="261" t="e">
        <f xml:space="preserve">
IF($A$4&lt;=12,SUMIFS(#REF!,#REF!,$A$4,#REF!,2),SUMIFS(#REF!,#REF!,2))</f>
        <v>#REF!</v>
      </c>
      <c r="Q11" s="261" t="e">
        <f xml:space="preserve">
IF($A$4&lt;=12,SUMIFS(#REF!,#REF!,$A$4,#REF!,2),SUMIFS(#REF!,#REF!,2))</f>
        <v>#REF!</v>
      </c>
      <c r="R11" s="261" t="e">
        <f xml:space="preserve">
IF($A$4&lt;=12,SUMIFS(#REF!,#REF!,$A$4,#REF!,2),SUMIFS(#REF!,#REF!,2))</f>
        <v>#REF!</v>
      </c>
      <c r="S11" s="261" t="e">
        <f xml:space="preserve">
IF($A$4&lt;=12,SUMIFS(#REF!,#REF!,$A$4,#REF!,2),SUMIFS(#REF!,#REF!,2))</f>
        <v>#REF!</v>
      </c>
      <c r="T11" s="261" t="e">
        <f xml:space="preserve">
IF($A$4&lt;=12,SUMIFS(#REF!,#REF!,$A$4,#REF!,2),SUMIFS(#REF!,#REF!,2))</f>
        <v>#REF!</v>
      </c>
      <c r="U11" s="261" t="e">
        <f xml:space="preserve">
IF($A$4&lt;=12,SUMIFS(#REF!,#REF!,$A$4,#REF!,2),SUMIFS(#REF!,#REF!,2))</f>
        <v>#REF!</v>
      </c>
      <c r="V11" s="261" t="e">
        <f xml:space="preserve">
IF($A$4&lt;=12,SUMIFS(#REF!,#REF!,$A$4,#REF!,2),SUMIFS(#REF!,#REF!,2))</f>
        <v>#REF!</v>
      </c>
      <c r="W11" s="261" t="e">
        <f xml:space="preserve">
IF($A$4&lt;=12,SUMIFS(#REF!,#REF!,$A$4,#REF!,2),SUMIFS(#REF!,#REF!,2))</f>
        <v>#REF!</v>
      </c>
      <c r="X11" s="261" t="e">
        <f xml:space="preserve">
IF($A$4&lt;=12,SUMIFS(#REF!,#REF!,$A$4,#REF!,2),SUMIFS(#REF!,#REF!,2))</f>
        <v>#REF!</v>
      </c>
      <c r="Y11" s="261" t="e">
        <f xml:space="preserve">
IF($A$4&lt;=12,SUMIFS(#REF!,#REF!,$A$4,#REF!,2),SUMIFS(#REF!,#REF!,2))</f>
        <v>#REF!</v>
      </c>
      <c r="Z11" s="261" t="e">
        <f xml:space="preserve">
IF($A$4&lt;=12,SUMIFS(#REF!,#REF!,$A$4,#REF!,2),SUMIFS(#REF!,#REF!,2))</f>
        <v>#REF!</v>
      </c>
      <c r="AA11" s="261" t="e">
        <f xml:space="preserve">
IF($A$4&lt;=12,SUMIFS(#REF!,#REF!,$A$4,#REF!,2),SUMIFS(#REF!,#REF!,2))</f>
        <v>#REF!</v>
      </c>
      <c r="AB11" s="261" t="e">
        <f xml:space="preserve">
IF($A$4&lt;=12,SUMIFS(#REF!,#REF!,$A$4,#REF!,2),SUMIFS(#REF!,#REF!,2))</f>
        <v>#REF!</v>
      </c>
      <c r="AC11" s="261" t="e">
        <f xml:space="preserve">
IF($A$4&lt;=12,SUMIFS(#REF!,#REF!,$A$4,#REF!,2),SUMIFS(#REF!,#REF!,2))</f>
        <v>#REF!</v>
      </c>
      <c r="AD11" s="261" t="e">
        <f xml:space="preserve">
IF($A$4&lt;=12,SUMIFS(#REF!,#REF!,$A$4,#REF!,2),SUMIFS(#REF!,#REF!,2))</f>
        <v>#REF!</v>
      </c>
      <c r="AE11" s="261" t="e">
        <f xml:space="preserve">
IF($A$4&lt;=12,SUMIFS(#REF!,#REF!,$A$4,#REF!,2),SUMIFS(#REF!,#REF!,2))</f>
        <v>#REF!</v>
      </c>
      <c r="AF11" s="261" t="e">
        <f xml:space="preserve">
IF($A$4&lt;=12,SUMIFS(#REF!,#REF!,$A$4,#REF!,2),SUMIFS(#REF!,#REF!,2))</f>
        <v>#REF!</v>
      </c>
      <c r="AG11" s="261" t="e">
        <f xml:space="preserve">
IF($A$4&lt;=12,SUMIFS(#REF!,#REF!,$A$4,#REF!,2),SUMIFS(#REF!,#REF!,2))</f>
        <v>#REF!</v>
      </c>
      <c r="AH11" s="261" t="e">
        <f xml:space="preserve">
IF($A$4&lt;=12,SUMIFS(#REF!,#REF!,$A$4,#REF!,2),SUMIFS(#REF!,#REF!,2))</f>
        <v>#REF!</v>
      </c>
      <c r="AI11" s="261" t="e">
        <f xml:space="preserve">
IF($A$4&lt;=12,SUMIFS(#REF!,#REF!,$A$4,#REF!,2),SUMIFS(#REF!,#REF!,2))</f>
        <v>#REF!</v>
      </c>
      <c r="AJ11" s="261" t="e">
        <f xml:space="preserve">
IF($A$4&lt;=12,SUMIFS(#REF!,#REF!,$A$4,#REF!,2),SUMIFS(#REF!,#REF!,2))</f>
        <v>#REF!</v>
      </c>
      <c r="AK11" s="261" t="e">
        <f xml:space="preserve">
IF($A$4&lt;=12,SUMIFS(#REF!,#REF!,$A$4,#REF!,2),SUMIFS(#REF!,#REF!,2))</f>
        <v>#REF!</v>
      </c>
      <c r="AL11" s="260" t="e">
        <f xml:space="preserve">
IF($A$4&lt;=12,SUMIFS(#REF!,#REF!,$A$4,#REF!,2),SUMIFS(#REF!,#REF!,2))</f>
        <v>#REF!</v>
      </c>
      <c r="AM11" s="261" t="e">
        <f xml:space="preserve">
IF($A$4&lt;=12,SUMIFS(#REF!,#REF!,$A$4,#REF!,2),SUMIFS(#REF!,#REF!,2))</f>
        <v>#REF!</v>
      </c>
      <c r="AN11" s="261" t="e">
        <f xml:space="preserve">
IF($A$4&lt;=12,SUMIFS(#REF!,#REF!,$A$4,#REF!,2),SUMIFS(#REF!,#REF!,2))</f>
        <v>#REF!</v>
      </c>
      <c r="AO11" s="261" t="e">
        <f xml:space="preserve">
IF($A$4&lt;=12,SUMIFS(#REF!,#REF!,$A$4,#REF!,2),SUMIFS(#REF!,#REF!,2))</f>
        <v>#REF!</v>
      </c>
      <c r="AP11" s="261" t="e">
        <f xml:space="preserve">
IF($A$4&lt;=12,SUMIFS(#REF!,#REF!,$A$4,#REF!,2),SUMIFS(#REF!,#REF!,2))</f>
        <v>#REF!</v>
      </c>
      <c r="AQ11" s="261" t="e">
        <f xml:space="preserve">
IF($A$4&lt;=12,SUMIFS(#REF!,#REF!,$A$4,#REF!,2),SUMIFS(#REF!,#REF!,2))</f>
        <v>#REF!</v>
      </c>
      <c r="AR11" s="261" t="e">
        <f xml:space="preserve">
IF($A$4&lt;=12,SUMIFS(#REF!,#REF!,$A$4,#REF!,2),SUMIFS(#REF!,#REF!,2))</f>
        <v>#REF!</v>
      </c>
      <c r="AS11" s="262" t="e">
        <f xml:space="preserve">
IF($A$4&lt;=12,SUMIFS(#REF!,#REF!,$A$4,#REF!,2),SUMIFS(#REF!,#REF!,2))</f>
        <v>#REF!</v>
      </c>
    </row>
    <row r="12" spans="1:45" x14ac:dyDescent="0.3">
      <c r="A12" s="242" t="s">
        <v>165</v>
      </c>
      <c r="B12" s="259" t="e">
        <f xml:space="preserve">
IF($A$4&lt;=12,SUMIFS(#REF!,#REF!,$A$4,#REF!,3),SUMIFS(#REF!,#REF!,3))</f>
        <v>#REF!</v>
      </c>
      <c r="C12" s="260" t="e">
        <f xml:space="preserve">
IF($A$4&lt;=12,SUMIFS(#REF!,#REF!,$A$4,#REF!,3),SUMIFS(#REF!,#REF!,3))</f>
        <v>#REF!</v>
      </c>
      <c r="D12" s="261" t="e">
        <f xml:space="preserve">
IF($A$4&lt;=12,SUMIFS(#REF!,#REF!,$A$4,#REF!,3),SUMIFS(#REF!,#REF!,3))</f>
        <v>#REF!</v>
      </c>
      <c r="E12" s="261" t="e">
        <f xml:space="preserve">
IF($A$4&lt;=12,SUMIFS(#REF!,#REF!,$A$4,#REF!,3),SUMIFS(#REF!,#REF!,3))</f>
        <v>#REF!</v>
      </c>
      <c r="F12" s="261" t="e">
        <f xml:space="preserve">
IF($A$4&lt;=12,SUMIFS(#REF!,#REF!,$A$4,#REF!,3),SUMIFS(#REF!,#REF!,3))</f>
        <v>#REF!</v>
      </c>
      <c r="G12" s="261" t="e">
        <f xml:space="preserve">
IF($A$4&lt;=12,SUMIFS(#REF!,#REF!,$A$4,#REF!,3),SUMIFS(#REF!,#REF!,3))</f>
        <v>#REF!</v>
      </c>
      <c r="H12" s="261" t="e">
        <f xml:space="preserve">
IF($A$4&lt;=12,SUMIFS(#REF!,#REF!,$A$4,#REF!,3),SUMIFS(#REF!,#REF!,3))</f>
        <v>#REF!</v>
      </c>
      <c r="I12" s="261" t="e">
        <f xml:space="preserve">
IF($A$4&lt;=12,SUMIFS(#REF!,#REF!,$A$4,#REF!,3),SUMIFS(#REF!,#REF!,3))</f>
        <v>#REF!</v>
      </c>
      <c r="J12" s="261" t="e">
        <f xml:space="preserve">
IF($A$4&lt;=12,SUMIFS(#REF!,#REF!,$A$4,#REF!,3),SUMIFS(#REF!,#REF!,3))</f>
        <v>#REF!</v>
      </c>
      <c r="K12" s="261" t="e">
        <f xml:space="preserve">
IF($A$4&lt;=12,SUMIFS(#REF!,#REF!,$A$4,#REF!,3),SUMIFS(#REF!,#REF!,3))</f>
        <v>#REF!</v>
      </c>
      <c r="L12" s="261" t="e">
        <f xml:space="preserve">
IF($A$4&lt;=12,SUMIFS(#REF!,#REF!,$A$4,#REF!,3),SUMIFS(#REF!,#REF!,3))</f>
        <v>#REF!</v>
      </c>
      <c r="M12" s="261" t="e">
        <f xml:space="preserve">
IF($A$4&lt;=12,SUMIFS(#REF!,#REF!,$A$4,#REF!,3),SUMIFS(#REF!,#REF!,3))</f>
        <v>#REF!</v>
      </c>
      <c r="N12" s="261" t="e">
        <f xml:space="preserve">
IF($A$4&lt;=12,SUMIFS(#REF!,#REF!,$A$4,#REF!,3),SUMIFS(#REF!,#REF!,3))</f>
        <v>#REF!</v>
      </c>
      <c r="O12" s="261" t="e">
        <f xml:space="preserve">
IF($A$4&lt;=12,SUMIFS(#REF!,#REF!,$A$4,#REF!,3),SUMIFS(#REF!,#REF!,3))</f>
        <v>#REF!</v>
      </c>
      <c r="P12" s="261" t="e">
        <f xml:space="preserve">
IF($A$4&lt;=12,SUMIFS(#REF!,#REF!,$A$4,#REF!,3),SUMIFS(#REF!,#REF!,3))</f>
        <v>#REF!</v>
      </c>
      <c r="Q12" s="261" t="e">
        <f xml:space="preserve">
IF($A$4&lt;=12,SUMIFS(#REF!,#REF!,$A$4,#REF!,3),SUMIFS(#REF!,#REF!,3))</f>
        <v>#REF!</v>
      </c>
      <c r="R12" s="261" t="e">
        <f xml:space="preserve">
IF($A$4&lt;=12,SUMIFS(#REF!,#REF!,$A$4,#REF!,3),SUMIFS(#REF!,#REF!,3))</f>
        <v>#REF!</v>
      </c>
      <c r="S12" s="261" t="e">
        <f xml:space="preserve">
IF($A$4&lt;=12,SUMIFS(#REF!,#REF!,$A$4,#REF!,3),SUMIFS(#REF!,#REF!,3))</f>
        <v>#REF!</v>
      </c>
      <c r="T12" s="261" t="e">
        <f xml:space="preserve">
IF($A$4&lt;=12,SUMIFS(#REF!,#REF!,$A$4,#REF!,3),SUMIFS(#REF!,#REF!,3))</f>
        <v>#REF!</v>
      </c>
      <c r="U12" s="261" t="e">
        <f xml:space="preserve">
IF($A$4&lt;=12,SUMIFS(#REF!,#REF!,$A$4,#REF!,3),SUMIFS(#REF!,#REF!,3))</f>
        <v>#REF!</v>
      </c>
      <c r="V12" s="261" t="e">
        <f xml:space="preserve">
IF($A$4&lt;=12,SUMIFS(#REF!,#REF!,$A$4,#REF!,3),SUMIFS(#REF!,#REF!,3))</f>
        <v>#REF!</v>
      </c>
      <c r="W12" s="261" t="e">
        <f xml:space="preserve">
IF($A$4&lt;=12,SUMIFS(#REF!,#REF!,$A$4,#REF!,3),SUMIFS(#REF!,#REF!,3))</f>
        <v>#REF!</v>
      </c>
      <c r="X12" s="261" t="e">
        <f xml:space="preserve">
IF($A$4&lt;=12,SUMIFS(#REF!,#REF!,$A$4,#REF!,3),SUMIFS(#REF!,#REF!,3))</f>
        <v>#REF!</v>
      </c>
      <c r="Y12" s="261" t="e">
        <f xml:space="preserve">
IF($A$4&lt;=12,SUMIFS(#REF!,#REF!,$A$4,#REF!,3),SUMIFS(#REF!,#REF!,3))</f>
        <v>#REF!</v>
      </c>
      <c r="Z12" s="261" t="e">
        <f xml:space="preserve">
IF($A$4&lt;=12,SUMIFS(#REF!,#REF!,$A$4,#REF!,3),SUMIFS(#REF!,#REF!,3))</f>
        <v>#REF!</v>
      </c>
      <c r="AA12" s="261" t="e">
        <f xml:space="preserve">
IF($A$4&lt;=12,SUMIFS(#REF!,#REF!,$A$4,#REF!,3),SUMIFS(#REF!,#REF!,3))</f>
        <v>#REF!</v>
      </c>
      <c r="AB12" s="261" t="e">
        <f xml:space="preserve">
IF($A$4&lt;=12,SUMIFS(#REF!,#REF!,$A$4,#REF!,3),SUMIFS(#REF!,#REF!,3))</f>
        <v>#REF!</v>
      </c>
      <c r="AC12" s="261" t="e">
        <f xml:space="preserve">
IF($A$4&lt;=12,SUMIFS(#REF!,#REF!,$A$4,#REF!,3),SUMIFS(#REF!,#REF!,3))</f>
        <v>#REF!</v>
      </c>
      <c r="AD12" s="261" t="e">
        <f xml:space="preserve">
IF($A$4&lt;=12,SUMIFS(#REF!,#REF!,$A$4,#REF!,3),SUMIFS(#REF!,#REF!,3))</f>
        <v>#REF!</v>
      </c>
      <c r="AE12" s="261" t="e">
        <f xml:space="preserve">
IF($A$4&lt;=12,SUMIFS(#REF!,#REF!,$A$4,#REF!,3),SUMIFS(#REF!,#REF!,3))</f>
        <v>#REF!</v>
      </c>
      <c r="AF12" s="261" t="e">
        <f xml:space="preserve">
IF($A$4&lt;=12,SUMIFS(#REF!,#REF!,$A$4,#REF!,3),SUMIFS(#REF!,#REF!,3))</f>
        <v>#REF!</v>
      </c>
      <c r="AG12" s="261" t="e">
        <f xml:space="preserve">
IF($A$4&lt;=12,SUMIFS(#REF!,#REF!,$A$4,#REF!,3),SUMIFS(#REF!,#REF!,3))</f>
        <v>#REF!</v>
      </c>
      <c r="AH12" s="261" t="e">
        <f xml:space="preserve">
IF($A$4&lt;=12,SUMIFS(#REF!,#REF!,$A$4,#REF!,3),SUMIFS(#REF!,#REF!,3))</f>
        <v>#REF!</v>
      </c>
      <c r="AI12" s="261" t="e">
        <f xml:space="preserve">
IF($A$4&lt;=12,SUMIFS(#REF!,#REF!,$A$4,#REF!,3),SUMIFS(#REF!,#REF!,3))</f>
        <v>#REF!</v>
      </c>
      <c r="AJ12" s="261" t="e">
        <f xml:space="preserve">
IF($A$4&lt;=12,SUMIFS(#REF!,#REF!,$A$4,#REF!,3),SUMIFS(#REF!,#REF!,3))</f>
        <v>#REF!</v>
      </c>
      <c r="AK12" s="261" t="e">
        <f xml:space="preserve">
IF($A$4&lt;=12,SUMIFS(#REF!,#REF!,$A$4,#REF!,3),SUMIFS(#REF!,#REF!,3))</f>
        <v>#REF!</v>
      </c>
      <c r="AL12" s="260" t="e">
        <f xml:space="preserve">
IF($A$4&lt;=12,SUMIFS(#REF!,#REF!,$A$4,#REF!,3),SUMIFS(#REF!,#REF!,3))</f>
        <v>#REF!</v>
      </c>
      <c r="AM12" s="261" t="e">
        <f xml:space="preserve">
IF($A$4&lt;=12,SUMIFS(#REF!,#REF!,$A$4,#REF!,3),SUMIFS(#REF!,#REF!,3))</f>
        <v>#REF!</v>
      </c>
      <c r="AN12" s="261" t="e">
        <f xml:space="preserve">
IF($A$4&lt;=12,SUMIFS(#REF!,#REF!,$A$4,#REF!,3),SUMIFS(#REF!,#REF!,3))</f>
        <v>#REF!</v>
      </c>
      <c r="AO12" s="261" t="e">
        <f xml:space="preserve">
IF($A$4&lt;=12,SUMIFS(#REF!,#REF!,$A$4,#REF!,3),SUMIFS(#REF!,#REF!,3))</f>
        <v>#REF!</v>
      </c>
      <c r="AP12" s="261" t="e">
        <f xml:space="preserve">
IF($A$4&lt;=12,SUMIFS(#REF!,#REF!,$A$4,#REF!,3),SUMIFS(#REF!,#REF!,3))</f>
        <v>#REF!</v>
      </c>
      <c r="AQ12" s="261" t="e">
        <f xml:space="preserve">
IF($A$4&lt;=12,SUMIFS(#REF!,#REF!,$A$4,#REF!,3),SUMIFS(#REF!,#REF!,3))</f>
        <v>#REF!</v>
      </c>
      <c r="AR12" s="261" t="e">
        <f xml:space="preserve">
IF($A$4&lt;=12,SUMIFS(#REF!,#REF!,$A$4,#REF!,3),SUMIFS(#REF!,#REF!,3))</f>
        <v>#REF!</v>
      </c>
      <c r="AS12" s="262" t="e">
        <f xml:space="preserve">
IF($A$4&lt;=12,SUMIFS(#REF!,#REF!,$A$4,#REF!,3),SUMIFS(#REF!,#REF!,3))</f>
        <v>#REF!</v>
      </c>
    </row>
    <row r="13" spans="1:45" x14ac:dyDescent="0.3">
      <c r="A13" s="242" t="s">
        <v>172</v>
      </c>
      <c r="B13" s="259" t="e">
        <f xml:space="preserve">
IF($A$4&lt;=12,SUMIFS(#REF!,#REF!,$A$4,#REF!,4),SUMIFS(#REF!,#REF!,4))</f>
        <v>#REF!</v>
      </c>
      <c r="C13" s="260" t="e">
        <f xml:space="preserve">
IF($A$4&lt;=12,SUMIFS(#REF!,#REF!,$A$4,#REF!,4),SUMIFS(#REF!,#REF!,4))</f>
        <v>#REF!</v>
      </c>
      <c r="D13" s="261" t="e">
        <f xml:space="preserve">
IF($A$4&lt;=12,SUMIFS(#REF!,#REF!,$A$4,#REF!,4),SUMIFS(#REF!,#REF!,4))</f>
        <v>#REF!</v>
      </c>
      <c r="E13" s="261" t="e">
        <f xml:space="preserve">
IF($A$4&lt;=12,SUMIFS(#REF!,#REF!,$A$4,#REF!,4),SUMIFS(#REF!,#REF!,4))</f>
        <v>#REF!</v>
      </c>
      <c r="F13" s="261" t="e">
        <f xml:space="preserve">
IF($A$4&lt;=12,SUMIFS(#REF!,#REF!,$A$4,#REF!,4),SUMIFS(#REF!,#REF!,4))</f>
        <v>#REF!</v>
      </c>
      <c r="G13" s="261" t="e">
        <f xml:space="preserve">
IF($A$4&lt;=12,SUMIFS(#REF!,#REF!,$A$4,#REF!,4),SUMIFS(#REF!,#REF!,4))</f>
        <v>#REF!</v>
      </c>
      <c r="H13" s="261" t="e">
        <f xml:space="preserve">
IF($A$4&lt;=12,SUMIFS(#REF!,#REF!,$A$4,#REF!,4),SUMIFS(#REF!,#REF!,4))</f>
        <v>#REF!</v>
      </c>
      <c r="I13" s="261" t="e">
        <f xml:space="preserve">
IF($A$4&lt;=12,SUMIFS(#REF!,#REF!,$A$4,#REF!,4),SUMIFS(#REF!,#REF!,4))</f>
        <v>#REF!</v>
      </c>
      <c r="J13" s="261" t="e">
        <f xml:space="preserve">
IF($A$4&lt;=12,SUMIFS(#REF!,#REF!,$A$4,#REF!,4),SUMIFS(#REF!,#REF!,4))</f>
        <v>#REF!</v>
      </c>
      <c r="K13" s="261" t="e">
        <f xml:space="preserve">
IF($A$4&lt;=12,SUMIFS(#REF!,#REF!,$A$4,#REF!,4),SUMIFS(#REF!,#REF!,4))</f>
        <v>#REF!</v>
      </c>
      <c r="L13" s="261" t="e">
        <f xml:space="preserve">
IF($A$4&lt;=12,SUMIFS(#REF!,#REF!,$A$4,#REF!,4),SUMIFS(#REF!,#REF!,4))</f>
        <v>#REF!</v>
      </c>
      <c r="M13" s="261" t="e">
        <f xml:space="preserve">
IF($A$4&lt;=12,SUMIFS(#REF!,#REF!,$A$4,#REF!,4),SUMIFS(#REF!,#REF!,4))</f>
        <v>#REF!</v>
      </c>
      <c r="N13" s="261" t="e">
        <f xml:space="preserve">
IF($A$4&lt;=12,SUMIFS(#REF!,#REF!,$A$4,#REF!,4),SUMIFS(#REF!,#REF!,4))</f>
        <v>#REF!</v>
      </c>
      <c r="O13" s="261" t="e">
        <f xml:space="preserve">
IF($A$4&lt;=12,SUMIFS(#REF!,#REF!,$A$4,#REF!,4),SUMIFS(#REF!,#REF!,4))</f>
        <v>#REF!</v>
      </c>
      <c r="P13" s="261" t="e">
        <f xml:space="preserve">
IF($A$4&lt;=12,SUMIFS(#REF!,#REF!,$A$4,#REF!,4),SUMIFS(#REF!,#REF!,4))</f>
        <v>#REF!</v>
      </c>
      <c r="Q13" s="261" t="e">
        <f xml:space="preserve">
IF($A$4&lt;=12,SUMIFS(#REF!,#REF!,$A$4,#REF!,4),SUMIFS(#REF!,#REF!,4))</f>
        <v>#REF!</v>
      </c>
      <c r="R13" s="261" t="e">
        <f xml:space="preserve">
IF($A$4&lt;=12,SUMIFS(#REF!,#REF!,$A$4,#REF!,4),SUMIFS(#REF!,#REF!,4))</f>
        <v>#REF!</v>
      </c>
      <c r="S13" s="261" t="e">
        <f xml:space="preserve">
IF($A$4&lt;=12,SUMIFS(#REF!,#REF!,$A$4,#REF!,4),SUMIFS(#REF!,#REF!,4))</f>
        <v>#REF!</v>
      </c>
      <c r="T13" s="261" t="e">
        <f xml:space="preserve">
IF($A$4&lt;=12,SUMIFS(#REF!,#REF!,$A$4,#REF!,4),SUMIFS(#REF!,#REF!,4))</f>
        <v>#REF!</v>
      </c>
      <c r="U13" s="261" t="e">
        <f xml:space="preserve">
IF($A$4&lt;=12,SUMIFS(#REF!,#REF!,$A$4,#REF!,4),SUMIFS(#REF!,#REF!,4))</f>
        <v>#REF!</v>
      </c>
      <c r="V13" s="261" t="e">
        <f xml:space="preserve">
IF($A$4&lt;=12,SUMIFS(#REF!,#REF!,$A$4,#REF!,4),SUMIFS(#REF!,#REF!,4))</f>
        <v>#REF!</v>
      </c>
      <c r="W13" s="261" t="e">
        <f xml:space="preserve">
IF($A$4&lt;=12,SUMIFS(#REF!,#REF!,$A$4,#REF!,4),SUMIFS(#REF!,#REF!,4))</f>
        <v>#REF!</v>
      </c>
      <c r="X13" s="261" t="e">
        <f xml:space="preserve">
IF($A$4&lt;=12,SUMIFS(#REF!,#REF!,$A$4,#REF!,4),SUMIFS(#REF!,#REF!,4))</f>
        <v>#REF!</v>
      </c>
      <c r="Y13" s="261" t="e">
        <f xml:space="preserve">
IF($A$4&lt;=12,SUMIFS(#REF!,#REF!,$A$4,#REF!,4),SUMIFS(#REF!,#REF!,4))</f>
        <v>#REF!</v>
      </c>
      <c r="Z13" s="261" t="e">
        <f xml:space="preserve">
IF($A$4&lt;=12,SUMIFS(#REF!,#REF!,$A$4,#REF!,4),SUMIFS(#REF!,#REF!,4))</f>
        <v>#REF!</v>
      </c>
      <c r="AA13" s="261" t="e">
        <f xml:space="preserve">
IF($A$4&lt;=12,SUMIFS(#REF!,#REF!,$A$4,#REF!,4),SUMIFS(#REF!,#REF!,4))</f>
        <v>#REF!</v>
      </c>
      <c r="AB13" s="261" t="e">
        <f xml:space="preserve">
IF($A$4&lt;=12,SUMIFS(#REF!,#REF!,$A$4,#REF!,4),SUMIFS(#REF!,#REF!,4))</f>
        <v>#REF!</v>
      </c>
      <c r="AC13" s="261" t="e">
        <f xml:space="preserve">
IF($A$4&lt;=12,SUMIFS(#REF!,#REF!,$A$4,#REF!,4),SUMIFS(#REF!,#REF!,4))</f>
        <v>#REF!</v>
      </c>
      <c r="AD13" s="261" t="e">
        <f xml:space="preserve">
IF($A$4&lt;=12,SUMIFS(#REF!,#REF!,$A$4,#REF!,4),SUMIFS(#REF!,#REF!,4))</f>
        <v>#REF!</v>
      </c>
      <c r="AE13" s="261" t="e">
        <f xml:space="preserve">
IF($A$4&lt;=12,SUMIFS(#REF!,#REF!,$A$4,#REF!,4),SUMIFS(#REF!,#REF!,4))</f>
        <v>#REF!</v>
      </c>
      <c r="AF13" s="261" t="e">
        <f xml:space="preserve">
IF($A$4&lt;=12,SUMIFS(#REF!,#REF!,$A$4,#REF!,4),SUMIFS(#REF!,#REF!,4))</f>
        <v>#REF!</v>
      </c>
      <c r="AG13" s="261" t="e">
        <f xml:space="preserve">
IF($A$4&lt;=12,SUMIFS(#REF!,#REF!,$A$4,#REF!,4),SUMIFS(#REF!,#REF!,4))</f>
        <v>#REF!</v>
      </c>
      <c r="AH13" s="261" t="e">
        <f xml:space="preserve">
IF($A$4&lt;=12,SUMIFS(#REF!,#REF!,$A$4,#REF!,4),SUMIFS(#REF!,#REF!,4))</f>
        <v>#REF!</v>
      </c>
      <c r="AI13" s="261" t="e">
        <f xml:space="preserve">
IF($A$4&lt;=12,SUMIFS(#REF!,#REF!,$A$4,#REF!,4),SUMIFS(#REF!,#REF!,4))</f>
        <v>#REF!</v>
      </c>
      <c r="AJ13" s="261" t="e">
        <f xml:space="preserve">
IF($A$4&lt;=12,SUMIFS(#REF!,#REF!,$A$4,#REF!,4),SUMIFS(#REF!,#REF!,4))</f>
        <v>#REF!</v>
      </c>
      <c r="AK13" s="261" t="e">
        <f xml:space="preserve">
IF($A$4&lt;=12,SUMIFS(#REF!,#REF!,$A$4,#REF!,4),SUMIFS(#REF!,#REF!,4))</f>
        <v>#REF!</v>
      </c>
      <c r="AL13" s="260" t="e">
        <f xml:space="preserve">
IF($A$4&lt;=12,SUMIFS(#REF!,#REF!,$A$4,#REF!,4),SUMIFS(#REF!,#REF!,4))</f>
        <v>#REF!</v>
      </c>
      <c r="AM13" s="261" t="e">
        <f xml:space="preserve">
IF($A$4&lt;=12,SUMIFS(#REF!,#REF!,$A$4,#REF!,4),SUMIFS(#REF!,#REF!,4))</f>
        <v>#REF!</v>
      </c>
      <c r="AN13" s="261" t="e">
        <f xml:space="preserve">
IF($A$4&lt;=12,SUMIFS(#REF!,#REF!,$A$4,#REF!,4),SUMIFS(#REF!,#REF!,4))</f>
        <v>#REF!</v>
      </c>
      <c r="AO13" s="261" t="e">
        <f xml:space="preserve">
IF($A$4&lt;=12,SUMIFS(#REF!,#REF!,$A$4,#REF!,4),SUMIFS(#REF!,#REF!,4))</f>
        <v>#REF!</v>
      </c>
      <c r="AP13" s="261" t="e">
        <f xml:space="preserve">
IF($A$4&lt;=12,SUMIFS(#REF!,#REF!,$A$4,#REF!,4),SUMIFS(#REF!,#REF!,4))</f>
        <v>#REF!</v>
      </c>
      <c r="AQ13" s="261" t="e">
        <f xml:space="preserve">
IF($A$4&lt;=12,SUMIFS(#REF!,#REF!,$A$4,#REF!,4),SUMIFS(#REF!,#REF!,4))</f>
        <v>#REF!</v>
      </c>
      <c r="AR13" s="261" t="e">
        <f xml:space="preserve">
IF($A$4&lt;=12,SUMIFS(#REF!,#REF!,$A$4,#REF!,4),SUMIFS(#REF!,#REF!,4))</f>
        <v>#REF!</v>
      </c>
      <c r="AS13" s="262" t="e">
        <f xml:space="preserve">
IF($A$4&lt;=12,SUMIFS(#REF!,#REF!,$A$4,#REF!,4),SUMIFS(#REF!,#REF!,4))</f>
        <v>#REF!</v>
      </c>
    </row>
    <row r="14" spans="1:45" ht="15" thickBot="1" x14ac:dyDescent="0.35">
      <c r="A14" s="243" t="s">
        <v>166</v>
      </c>
      <c r="B14" s="263" t="e">
        <f xml:space="preserve">
IF($A$4&lt;=12,SUMIFS(#REF!,#REF!,$A$4,#REF!,5),SUMIFS(#REF!,#REF!,5))</f>
        <v>#REF!</v>
      </c>
      <c r="C14" s="264" t="e">
        <f xml:space="preserve">
IF($A$4&lt;=12,SUMIFS(#REF!,#REF!,$A$4,#REF!,5),SUMIFS(#REF!,#REF!,5))</f>
        <v>#REF!</v>
      </c>
      <c r="D14" s="265" t="e">
        <f xml:space="preserve">
IF($A$4&lt;=12,SUMIFS(#REF!,#REF!,$A$4,#REF!,5),SUMIFS(#REF!,#REF!,5))</f>
        <v>#REF!</v>
      </c>
      <c r="E14" s="265" t="e">
        <f xml:space="preserve">
IF($A$4&lt;=12,SUMIFS(#REF!,#REF!,$A$4,#REF!,5),SUMIFS(#REF!,#REF!,5))</f>
        <v>#REF!</v>
      </c>
      <c r="F14" s="265" t="e">
        <f xml:space="preserve">
IF($A$4&lt;=12,SUMIFS(#REF!,#REF!,$A$4,#REF!,5),SUMIFS(#REF!,#REF!,5))</f>
        <v>#REF!</v>
      </c>
      <c r="G14" s="265" t="e">
        <f xml:space="preserve">
IF($A$4&lt;=12,SUMIFS(#REF!,#REF!,$A$4,#REF!,5),SUMIFS(#REF!,#REF!,5))</f>
        <v>#REF!</v>
      </c>
      <c r="H14" s="265" t="e">
        <f xml:space="preserve">
IF($A$4&lt;=12,SUMIFS(#REF!,#REF!,$A$4,#REF!,5),SUMIFS(#REF!,#REF!,5))</f>
        <v>#REF!</v>
      </c>
      <c r="I14" s="265" t="e">
        <f xml:space="preserve">
IF($A$4&lt;=12,SUMIFS(#REF!,#REF!,$A$4,#REF!,5),SUMIFS(#REF!,#REF!,5))</f>
        <v>#REF!</v>
      </c>
      <c r="J14" s="265" t="e">
        <f xml:space="preserve">
IF($A$4&lt;=12,SUMIFS(#REF!,#REF!,$A$4,#REF!,5),SUMIFS(#REF!,#REF!,5))</f>
        <v>#REF!</v>
      </c>
      <c r="K14" s="265" t="e">
        <f xml:space="preserve">
IF($A$4&lt;=12,SUMIFS(#REF!,#REF!,$A$4,#REF!,5),SUMIFS(#REF!,#REF!,5))</f>
        <v>#REF!</v>
      </c>
      <c r="L14" s="265" t="e">
        <f xml:space="preserve">
IF($A$4&lt;=12,SUMIFS(#REF!,#REF!,$A$4,#REF!,5),SUMIFS(#REF!,#REF!,5))</f>
        <v>#REF!</v>
      </c>
      <c r="M14" s="265" t="e">
        <f xml:space="preserve">
IF($A$4&lt;=12,SUMIFS(#REF!,#REF!,$A$4,#REF!,5),SUMIFS(#REF!,#REF!,5))</f>
        <v>#REF!</v>
      </c>
      <c r="N14" s="265" t="e">
        <f xml:space="preserve">
IF($A$4&lt;=12,SUMIFS(#REF!,#REF!,$A$4,#REF!,5),SUMIFS(#REF!,#REF!,5))</f>
        <v>#REF!</v>
      </c>
      <c r="O14" s="265" t="e">
        <f xml:space="preserve">
IF($A$4&lt;=12,SUMIFS(#REF!,#REF!,$A$4,#REF!,5),SUMIFS(#REF!,#REF!,5))</f>
        <v>#REF!</v>
      </c>
      <c r="P14" s="265" t="e">
        <f xml:space="preserve">
IF($A$4&lt;=12,SUMIFS(#REF!,#REF!,$A$4,#REF!,5),SUMIFS(#REF!,#REF!,5))</f>
        <v>#REF!</v>
      </c>
      <c r="Q14" s="265" t="e">
        <f xml:space="preserve">
IF($A$4&lt;=12,SUMIFS(#REF!,#REF!,$A$4,#REF!,5),SUMIFS(#REF!,#REF!,5))</f>
        <v>#REF!</v>
      </c>
      <c r="R14" s="265" t="e">
        <f xml:space="preserve">
IF($A$4&lt;=12,SUMIFS(#REF!,#REF!,$A$4,#REF!,5),SUMIFS(#REF!,#REF!,5))</f>
        <v>#REF!</v>
      </c>
      <c r="S14" s="265" t="e">
        <f xml:space="preserve">
IF($A$4&lt;=12,SUMIFS(#REF!,#REF!,$A$4,#REF!,5),SUMIFS(#REF!,#REF!,5))</f>
        <v>#REF!</v>
      </c>
      <c r="T14" s="265" t="e">
        <f xml:space="preserve">
IF($A$4&lt;=12,SUMIFS(#REF!,#REF!,$A$4,#REF!,5),SUMIFS(#REF!,#REF!,5))</f>
        <v>#REF!</v>
      </c>
      <c r="U14" s="265" t="e">
        <f xml:space="preserve">
IF($A$4&lt;=12,SUMIFS(#REF!,#REF!,$A$4,#REF!,5),SUMIFS(#REF!,#REF!,5))</f>
        <v>#REF!</v>
      </c>
      <c r="V14" s="265" t="e">
        <f xml:space="preserve">
IF($A$4&lt;=12,SUMIFS(#REF!,#REF!,$A$4,#REF!,5),SUMIFS(#REF!,#REF!,5))</f>
        <v>#REF!</v>
      </c>
      <c r="W14" s="265" t="e">
        <f xml:space="preserve">
IF($A$4&lt;=12,SUMIFS(#REF!,#REF!,$A$4,#REF!,5),SUMIFS(#REF!,#REF!,5))</f>
        <v>#REF!</v>
      </c>
      <c r="X14" s="265" t="e">
        <f xml:space="preserve">
IF($A$4&lt;=12,SUMIFS(#REF!,#REF!,$A$4,#REF!,5),SUMIFS(#REF!,#REF!,5))</f>
        <v>#REF!</v>
      </c>
      <c r="Y14" s="265" t="e">
        <f xml:space="preserve">
IF($A$4&lt;=12,SUMIFS(#REF!,#REF!,$A$4,#REF!,5),SUMIFS(#REF!,#REF!,5))</f>
        <v>#REF!</v>
      </c>
      <c r="Z14" s="265" t="e">
        <f xml:space="preserve">
IF($A$4&lt;=12,SUMIFS(#REF!,#REF!,$A$4,#REF!,5),SUMIFS(#REF!,#REF!,5))</f>
        <v>#REF!</v>
      </c>
      <c r="AA14" s="265" t="e">
        <f xml:space="preserve">
IF($A$4&lt;=12,SUMIFS(#REF!,#REF!,$A$4,#REF!,5),SUMIFS(#REF!,#REF!,5))</f>
        <v>#REF!</v>
      </c>
      <c r="AB14" s="265" t="e">
        <f xml:space="preserve">
IF($A$4&lt;=12,SUMIFS(#REF!,#REF!,$A$4,#REF!,5),SUMIFS(#REF!,#REF!,5))</f>
        <v>#REF!</v>
      </c>
      <c r="AC14" s="265" t="e">
        <f xml:space="preserve">
IF($A$4&lt;=12,SUMIFS(#REF!,#REF!,$A$4,#REF!,5),SUMIFS(#REF!,#REF!,5))</f>
        <v>#REF!</v>
      </c>
      <c r="AD14" s="265" t="e">
        <f xml:space="preserve">
IF($A$4&lt;=12,SUMIFS(#REF!,#REF!,$A$4,#REF!,5),SUMIFS(#REF!,#REF!,5))</f>
        <v>#REF!</v>
      </c>
      <c r="AE14" s="265" t="e">
        <f xml:space="preserve">
IF($A$4&lt;=12,SUMIFS(#REF!,#REF!,$A$4,#REF!,5),SUMIFS(#REF!,#REF!,5))</f>
        <v>#REF!</v>
      </c>
      <c r="AF14" s="265" t="e">
        <f xml:space="preserve">
IF($A$4&lt;=12,SUMIFS(#REF!,#REF!,$A$4,#REF!,5),SUMIFS(#REF!,#REF!,5))</f>
        <v>#REF!</v>
      </c>
      <c r="AG14" s="265" t="e">
        <f xml:space="preserve">
IF($A$4&lt;=12,SUMIFS(#REF!,#REF!,$A$4,#REF!,5),SUMIFS(#REF!,#REF!,5))</f>
        <v>#REF!</v>
      </c>
      <c r="AH14" s="265" t="e">
        <f xml:space="preserve">
IF($A$4&lt;=12,SUMIFS(#REF!,#REF!,$A$4,#REF!,5),SUMIFS(#REF!,#REF!,5))</f>
        <v>#REF!</v>
      </c>
      <c r="AI14" s="265" t="e">
        <f xml:space="preserve">
IF($A$4&lt;=12,SUMIFS(#REF!,#REF!,$A$4,#REF!,5),SUMIFS(#REF!,#REF!,5))</f>
        <v>#REF!</v>
      </c>
      <c r="AJ14" s="265" t="e">
        <f xml:space="preserve">
IF($A$4&lt;=12,SUMIFS(#REF!,#REF!,$A$4,#REF!,5),SUMIFS(#REF!,#REF!,5))</f>
        <v>#REF!</v>
      </c>
      <c r="AK14" s="265" t="e">
        <f xml:space="preserve">
IF($A$4&lt;=12,SUMIFS(#REF!,#REF!,$A$4,#REF!,5),SUMIFS(#REF!,#REF!,5))</f>
        <v>#REF!</v>
      </c>
      <c r="AL14" s="264" t="e">
        <f xml:space="preserve">
IF($A$4&lt;=12,SUMIFS(#REF!,#REF!,$A$4,#REF!,5),SUMIFS(#REF!,#REF!,5))</f>
        <v>#REF!</v>
      </c>
      <c r="AM14" s="265" t="e">
        <f xml:space="preserve">
IF($A$4&lt;=12,SUMIFS(#REF!,#REF!,$A$4,#REF!,5),SUMIFS(#REF!,#REF!,5))</f>
        <v>#REF!</v>
      </c>
      <c r="AN14" s="265" t="e">
        <f xml:space="preserve">
IF($A$4&lt;=12,SUMIFS(#REF!,#REF!,$A$4,#REF!,5),SUMIFS(#REF!,#REF!,5))</f>
        <v>#REF!</v>
      </c>
      <c r="AO14" s="265" t="e">
        <f xml:space="preserve">
IF($A$4&lt;=12,SUMIFS(#REF!,#REF!,$A$4,#REF!,5),SUMIFS(#REF!,#REF!,5))</f>
        <v>#REF!</v>
      </c>
      <c r="AP14" s="265" t="e">
        <f xml:space="preserve">
IF($A$4&lt;=12,SUMIFS(#REF!,#REF!,$A$4,#REF!,5),SUMIFS(#REF!,#REF!,5))</f>
        <v>#REF!</v>
      </c>
      <c r="AQ14" s="265" t="e">
        <f xml:space="preserve">
IF($A$4&lt;=12,SUMIFS(#REF!,#REF!,$A$4,#REF!,5),SUMIFS(#REF!,#REF!,5))</f>
        <v>#REF!</v>
      </c>
      <c r="AR14" s="265" t="e">
        <f xml:space="preserve">
IF($A$4&lt;=12,SUMIFS(#REF!,#REF!,$A$4,#REF!,5),SUMIFS(#REF!,#REF!,5))</f>
        <v>#REF!</v>
      </c>
      <c r="AS14" s="266" t="e">
        <f xml:space="preserve">
IF($A$4&lt;=12,SUMIFS(#REF!,#REF!,$A$4,#REF!,5),SUMIFS(#REF!,#REF!,5))</f>
        <v>#REF!</v>
      </c>
    </row>
    <row r="15" spans="1:45" x14ac:dyDescent="0.3">
      <c r="A15" s="163" t="s">
        <v>176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325"/>
      <c r="AM15" s="269"/>
      <c r="AN15" s="269"/>
      <c r="AO15" s="269"/>
      <c r="AP15" s="269"/>
      <c r="AQ15" s="269"/>
      <c r="AR15" s="269"/>
      <c r="AS15" s="270"/>
    </row>
    <row r="16" spans="1:45" x14ac:dyDescent="0.3">
      <c r="A16" s="244" t="s">
        <v>167</v>
      </c>
      <c r="B16" s="259" t="e">
        <f xml:space="preserve">
IF($A$4&lt;=12,SUMIFS(#REF!,#REF!,$A$4,#REF!,7),SUMIFS(#REF!,#REF!,7))</f>
        <v>#REF!</v>
      </c>
      <c r="C16" s="260" t="e">
        <f xml:space="preserve">
IF($A$4&lt;=12,SUMIFS(#REF!,#REF!,$A$4,#REF!,7),SUMIFS(#REF!,#REF!,7))</f>
        <v>#REF!</v>
      </c>
      <c r="D16" s="261" t="e">
        <f xml:space="preserve">
IF($A$4&lt;=12,SUMIFS(#REF!,#REF!,$A$4,#REF!,7),SUMIFS(#REF!,#REF!,7))</f>
        <v>#REF!</v>
      </c>
      <c r="E16" s="261" t="e">
        <f xml:space="preserve">
IF($A$4&lt;=12,SUMIFS(#REF!,#REF!,$A$4,#REF!,7),SUMIFS(#REF!,#REF!,7))</f>
        <v>#REF!</v>
      </c>
      <c r="F16" s="261" t="e">
        <f xml:space="preserve">
IF($A$4&lt;=12,SUMIFS(#REF!,#REF!,$A$4,#REF!,7),SUMIFS(#REF!,#REF!,7))</f>
        <v>#REF!</v>
      </c>
      <c r="G16" s="261" t="e">
        <f xml:space="preserve">
IF($A$4&lt;=12,SUMIFS(#REF!,#REF!,$A$4,#REF!,7),SUMIFS(#REF!,#REF!,7))</f>
        <v>#REF!</v>
      </c>
      <c r="H16" s="261" t="e">
        <f xml:space="preserve">
IF($A$4&lt;=12,SUMIFS(#REF!,#REF!,$A$4,#REF!,7),SUMIFS(#REF!,#REF!,7))</f>
        <v>#REF!</v>
      </c>
      <c r="I16" s="261" t="e">
        <f xml:space="preserve">
IF($A$4&lt;=12,SUMIFS(#REF!,#REF!,$A$4,#REF!,7),SUMIFS(#REF!,#REF!,7))</f>
        <v>#REF!</v>
      </c>
      <c r="J16" s="261" t="e">
        <f xml:space="preserve">
IF($A$4&lt;=12,SUMIFS(#REF!,#REF!,$A$4,#REF!,7),SUMIFS(#REF!,#REF!,7))</f>
        <v>#REF!</v>
      </c>
      <c r="K16" s="261" t="e">
        <f xml:space="preserve">
IF($A$4&lt;=12,SUMIFS(#REF!,#REF!,$A$4,#REF!,7),SUMIFS(#REF!,#REF!,7))</f>
        <v>#REF!</v>
      </c>
      <c r="L16" s="261" t="e">
        <f xml:space="preserve">
IF($A$4&lt;=12,SUMIFS(#REF!,#REF!,$A$4,#REF!,7),SUMIFS(#REF!,#REF!,7))</f>
        <v>#REF!</v>
      </c>
      <c r="M16" s="261" t="e">
        <f xml:space="preserve">
IF($A$4&lt;=12,SUMIFS(#REF!,#REF!,$A$4,#REF!,7),SUMIFS(#REF!,#REF!,7))</f>
        <v>#REF!</v>
      </c>
      <c r="N16" s="261" t="e">
        <f xml:space="preserve">
IF($A$4&lt;=12,SUMIFS(#REF!,#REF!,$A$4,#REF!,7),SUMIFS(#REF!,#REF!,7))</f>
        <v>#REF!</v>
      </c>
      <c r="O16" s="261" t="e">
        <f xml:space="preserve">
IF($A$4&lt;=12,SUMIFS(#REF!,#REF!,$A$4,#REF!,7),SUMIFS(#REF!,#REF!,7))</f>
        <v>#REF!</v>
      </c>
      <c r="P16" s="261" t="e">
        <f xml:space="preserve">
IF($A$4&lt;=12,SUMIFS(#REF!,#REF!,$A$4,#REF!,7),SUMIFS(#REF!,#REF!,7))</f>
        <v>#REF!</v>
      </c>
      <c r="Q16" s="261" t="e">
        <f xml:space="preserve">
IF($A$4&lt;=12,SUMIFS(#REF!,#REF!,$A$4,#REF!,7),SUMIFS(#REF!,#REF!,7))</f>
        <v>#REF!</v>
      </c>
      <c r="R16" s="261" t="e">
        <f xml:space="preserve">
IF($A$4&lt;=12,SUMIFS(#REF!,#REF!,$A$4,#REF!,7),SUMIFS(#REF!,#REF!,7))</f>
        <v>#REF!</v>
      </c>
      <c r="S16" s="261" t="e">
        <f xml:space="preserve">
IF($A$4&lt;=12,SUMIFS(#REF!,#REF!,$A$4,#REF!,7),SUMIFS(#REF!,#REF!,7))</f>
        <v>#REF!</v>
      </c>
      <c r="T16" s="261" t="e">
        <f xml:space="preserve">
IF($A$4&lt;=12,SUMIFS(#REF!,#REF!,$A$4,#REF!,7),SUMIFS(#REF!,#REF!,7))</f>
        <v>#REF!</v>
      </c>
      <c r="U16" s="261" t="e">
        <f xml:space="preserve">
IF($A$4&lt;=12,SUMIFS(#REF!,#REF!,$A$4,#REF!,7),SUMIFS(#REF!,#REF!,7))</f>
        <v>#REF!</v>
      </c>
      <c r="V16" s="261" t="e">
        <f xml:space="preserve">
IF($A$4&lt;=12,SUMIFS(#REF!,#REF!,$A$4,#REF!,7),SUMIFS(#REF!,#REF!,7))</f>
        <v>#REF!</v>
      </c>
      <c r="W16" s="261" t="e">
        <f xml:space="preserve">
IF($A$4&lt;=12,SUMIFS(#REF!,#REF!,$A$4,#REF!,7),SUMIFS(#REF!,#REF!,7))</f>
        <v>#REF!</v>
      </c>
      <c r="X16" s="261" t="e">
        <f xml:space="preserve">
IF($A$4&lt;=12,SUMIFS(#REF!,#REF!,$A$4,#REF!,7),SUMIFS(#REF!,#REF!,7))</f>
        <v>#REF!</v>
      </c>
      <c r="Y16" s="261" t="e">
        <f xml:space="preserve">
IF($A$4&lt;=12,SUMIFS(#REF!,#REF!,$A$4,#REF!,7),SUMIFS(#REF!,#REF!,7))</f>
        <v>#REF!</v>
      </c>
      <c r="Z16" s="261" t="e">
        <f xml:space="preserve">
IF($A$4&lt;=12,SUMIFS(#REF!,#REF!,$A$4,#REF!,7),SUMIFS(#REF!,#REF!,7))</f>
        <v>#REF!</v>
      </c>
      <c r="AA16" s="261" t="e">
        <f xml:space="preserve">
IF($A$4&lt;=12,SUMIFS(#REF!,#REF!,$A$4,#REF!,7),SUMIFS(#REF!,#REF!,7))</f>
        <v>#REF!</v>
      </c>
      <c r="AB16" s="261" t="e">
        <f xml:space="preserve">
IF($A$4&lt;=12,SUMIFS(#REF!,#REF!,$A$4,#REF!,7),SUMIFS(#REF!,#REF!,7))</f>
        <v>#REF!</v>
      </c>
      <c r="AC16" s="261" t="e">
        <f xml:space="preserve">
IF($A$4&lt;=12,SUMIFS(#REF!,#REF!,$A$4,#REF!,7),SUMIFS(#REF!,#REF!,7))</f>
        <v>#REF!</v>
      </c>
      <c r="AD16" s="261" t="e">
        <f xml:space="preserve">
IF($A$4&lt;=12,SUMIFS(#REF!,#REF!,$A$4,#REF!,7),SUMIFS(#REF!,#REF!,7))</f>
        <v>#REF!</v>
      </c>
      <c r="AE16" s="261" t="e">
        <f xml:space="preserve">
IF($A$4&lt;=12,SUMIFS(#REF!,#REF!,$A$4,#REF!,7),SUMIFS(#REF!,#REF!,7))</f>
        <v>#REF!</v>
      </c>
      <c r="AF16" s="261" t="e">
        <f xml:space="preserve">
IF($A$4&lt;=12,SUMIFS(#REF!,#REF!,$A$4,#REF!,7),SUMIFS(#REF!,#REF!,7))</f>
        <v>#REF!</v>
      </c>
      <c r="AG16" s="261" t="e">
        <f xml:space="preserve">
IF($A$4&lt;=12,SUMIFS(#REF!,#REF!,$A$4,#REF!,7),SUMIFS(#REF!,#REF!,7))</f>
        <v>#REF!</v>
      </c>
      <c r="AH16" s="261" t="e">
        <f xml:space="preserve">
IF($A$4&lt;=12,SUMIFS(#REF!,#REF!,$A$4,#REF!,7),SUMIFS(#REF!,#REF!,7))</f>
        <v>#REF!</v>
      </c>
      <c r="AI16" s="261" t="e">
        <f xml:space="preserve">
IF($A$4&lt;=12,SUMIFS(#REF!,#REF!,$A$4,#REF!,7),SUMIFS(#REF!,#REF!,7))</f>
        <v>#REF!</v>
      </c>
      <c r="AJ16" s="261" t="e">
        <f xml:space="preserve">
IF($A$4&lt;=12,SUMIFS(#REF!,#REF!,$A$4,#REF!,7),SUMIFS(#REF!,#REF!,7))</f>
        <v>#REF!</v>
      </c>
      <c r="AK16" s="261" t="e">
        <f xml:space="preserve">
IF($A$4&lt;=12,SUMIFS(#REF!,#REF!,$A$4,#REF!,7),SUMIFS(#REF!,#REF!,7))</f>
        <v>#REF!</v>
      </c>
      <c r="AL16" s="260" t="e">
        <f xml:space="preserve">
IF($A$4&lt;=12,SUMIFS(#REF!,#REF!,$A$4,#REF!,7),SUMIFS(#REF!,#REF!,7))</f>
        <v>#REF!</v>
      </c>
      <c r="AM16" s="261" t="e">
        <f xml:space="preserve">
IF($A$4&lt;=12,SUMIFS(#REF!,#REF!,$A$4,#REF!,7),SUMIFS(#REF!,#REF!,7))</f>
        <v>#REF!</v>
      </c>
      <c r="AN16" s="261" t="e">
        <f xml:space="preserve">
IF($A$4&lt;=12,SUMIFS(#REF!,#REF!,$A$4,#REF!,7),SUMIFS(#REF!,#REF!,7))</f>
        <v>#REF!</v>
      </c>
      <c r="AO16" s="261" t="e">
        <f xml:space="preserve">
IF($A$4&lt;=12,SUMIFS(#REF!,#REF!,$A$4,#REF!,7),SUMIFS(#REF!,#REF!,7))</f>
        <v>#REF!</v>
      </c>
      <c r="AP16" s="261" t="e">
        <f xml:space="preserve">
IF($A$4&lt;=12,SUMIFS(#REF!,#REF!,$A$4,#REF!,7),SUMIFS(#REF!,#REF!,7))</f>
        <v>#REF!</v>
      </c>
      <c r="AQ16" s="261" t="e">
        <f xml:space="preserve">
IF($A$4&lt;=12,SUMIFS(#REF!,#REF!,$A$4,#REF!,7),SUMIFS(#REF!,#REF!,7))</f>
        <v>#REF!</v>
      </c>
      <c r="AR16" s="261" t="e">
        <f xml:space="preserve">
IF($A$4&lt;=12,SUMIFS(#REF!,#REF!,$A$4,#REF!,7),SUMIFS(#REF!,#REF!,7))</f>
        <v>#REF!</v>
      </c>
      <c r="AS16" s="262" t="e">
        <f xml:space="preserve">
IF($A$4&lt;=12,SUMIFS(#REF!,#REF!,$A$4,#REF!,7),SUMIFS(#REF!,#REF!,7))</f>
        <v>#REF!</v>
      </c>
    </row>
    <row r="17" spans="1:45" x14ac:dyDescent="0.3">
      <c r="A17" s="244" t="s">
        <v>168</v>
      </c>
      <c r="B17" s="259" t="e">
        <f xml:space="preserve">
IF($A$4&lt;=12,SUMIFS(#REF!,#REF!,$A$4,#REF!,8),SUMIFS(#REF!,#REF!,8))</f>
        <v>#REF!</v>
      </c>
      <c r="C17" s="260" t="e">
        <f xml:space="preserve">
IF($A$4&lt;=12,SUMIFS(#REF!,#REF!,$A$4,#REF!,8),SUMIFS(#REF!,#REF!,8))</f>
        <v>#REF!</v>
      </c>
      <c r="D17" s="261" t="e">
        <f xml:space="preserve">
IF($A$4&lt;=12,SUMIFS(#REF!,#REF!,$A$4,#REF!,8),SUMIFS(#REF!,#REF!,8))</f>
        <v>#REF!</v>
      </c>
      <c r="E17" s="261" t="e">
        <f xml:space="preserve">
IF($A$4&lt;=12,SUMIFS(#REF!,#REF!,$A$4,#REF!,8),SUMIFS(#REF!,#REF!,8))</f>
        <v>#REF!</v>
      </c>
      <c r="F17" s="261" t="e">
        <f xml:space="preserve">
IF($A$4&lt;=12,SUMIFS(#REF!,#REF!,$A$4,#REF!,8),SUMIFS(#REF!,#REF!,8))</f>
        <v>#REF!</v>
      </c>
      <c r="G17" s="261" t="e">
        <f xml:space="preserve">
IF($A$4&lt;=12,SUMIFS(#REF!,#REF!,$A$4,#REF!,8),SUMIFS(#REF!,#REF!,8))</f>
        <v>#REF!</v>
      </c>
      <c r="H17" s="261" t="e">
        <f xml:space="preserve">
IF($A$4&lt;=12,SUMIFS(#REF!,#REF!,$A$4,#REF!,8),SUMIFS(#REF!,#REF!,8))</f>
        <v>#REF!</v>
      </c>
      <c r="I17" s="261" t="e">
        <f xml:space="preserve">
IF($A$4&lt;=12,SUMIFS(#REF!,#REF!,$A$4,#REF!,8),SUMIFS(#REF!,#REF!,8))</f>
        <v>#REF!</v>
      </c>
      <c r="J17" s="261" t="e">
        <f xml:space="preserve">
IF($A$4&lt;=12,SUMIFS(#REF!,#REF!,$A$4,#REF!,8),SUMIFS(#REF!,#REF!,8))</f>
        <v>#REF!</v>
      </c>
      <c r="K17" s="261" t="e">
        <f xml:space="preserve">
IF($A$4&lt;=12,SUMIFS(#REF!,#REF!,$A$4,#REF!,8),SUMIFS(#REF!,#REF!,8))</f>
        <v>#REF!</v>
      </c>
      <c r="L17" s="261" t="e">
        <f xml:space="preserve">
IF($A$4&lt;=12,SUMIFS(#REF!,#REF!,$A$4,#REF!,8),SUMIFS(#REF!,#REF!,8))</f>
        <v>#REF!</v>
      </c>
      <c r="M17" s="261" t="e">
        <f xml:space="preserve">
IF($A$4&lt;=12,SUMIFS(#REF!,#REF!,$A$4,#REF!,8),SUMIFS(#REF!,#REF!,8))</f>
        <v>#REF!</v>
      </c>
      <c r="N17" s="261" t="e">
        <f xml:space="preserve">
IF($A$4&lt;=12,SUMIFS(#REF!,#REF!,$A$4,#REF!,8),SUMIFS(#REF!,#REF!,8))</f>
        <v>#REF!</v>
      </c>
      <c r="O17" s="261" t="e">
        <f xml:space="preserve">
IF($A$4&lt;=12,SUMIFS(#REF!,#REF!,$A$4,#REF!,8),SUMIFS(#REF!,#REF!,8))</f>
        <v>#REF!</v>
      </c>
      <c r="P17" s="261" t="e">
        <f xml:space="preserve">
IF($A$4&lt;=12,SUMIFS(#REF!,#REF!,$A$4,#REF!,8),SUMIFS(#REF!,#REF!,8))</f>
        <v>#REF!</v>
      </c>
      <c r="Q17" s="261" t="e">
        <f xml:space="preserve">
IF($A$4&lt;=12,SUMIFS(#REF!,#REF!,$A$4,#REF!,8),SUMIFS(#REF!,#REF!,8))</f>
        <v>#REF!</v>
      </c>
      <c r="R17" s="261" t="e">
        <f xml:space="preserve">
IF($A$4&lt;=12,SUMIFS(#REF!,#REF!,$A$4,#REF!,8),SUMIFS(#REF!,#REF!,8))</f>
        <v>#REF!</v>
      </c>
      <c r="S17" s="261" t="e">
        <f xml:space="preserve">
IF($A$4&lt;=12,SUMIFS(#REF!,#REF!,$A$4,#REF!,8),SUMIFS(#REF!,#REF!,8))</f>
        <v>#REF!</v>
      </c>
      <c r="T17" s="261" t="e">
        <f xml:space="preserve">
IF($A$4&lt;=12,SUMIFS(#REF!,#REF!,$A$4,#REF!,8),SUMIFS(#REF!,#REF!,8))</f>
        <v>#REF!</v>
      </c>
      <c r="U17" s="261" t="e">
        <f xml:space="preserve">
IF($A$4&lt;=12,SUMIFS(#REF!,#REF!,$A$4,#REF!,8),SUMIFS(#REF!,#REF!,8))</f>
        <v>#REF!</v>
      </c>
      <c r="V17" s="261" t="e">
        <f xml:space="preserve">
IF($A$4&lt;=12,SUMIFS(#REF!,#REF!,$A$4,#REF!,8),SUMIFS(#REF!,#REF!,8))</f>
        <v>#REF!</v>
      </c>
      <c r="W17" s="261" t="e">
        <f xml:space="preserve">
IF($A$4&lt;=12,SUMIFS(#REF!,#REF!,$A$4,#REF!,8),SUMIFS(#REF!,#REF!,8))</f>
        <v>#REF!</v>
      </c>
      <c r="X17" s="261" t="e">
        <f xml:space="preserve">
IF($A$4&lt;=12,SUMIFS(#REF!,#REF!,$A$4,#REF!,8),SUMIFS(#REF!,#REF!,8))</f>
        <v>#REF!</v>
      </c>
      <c r="Y17" s="261" t="e">
        <f xml:space="preserve">
IF($A$4&lt;=12,SUMIFS(#REF!,#REF!,$A$4,#REF!,8),SUMIFS(#REF!,#REF!,8))</f>
        <v>#REF!</v>
      </c>
      <c r="Z17" s="261" t="e">
        <f xml:space="preserve">
IF($A$4&lt;=12,SUMIFS(#REF!,#REF!,$A$4,#REF!,8),SUMIFS(#REF!,#REF!,8))</f>
        <v>#REF!</v>
      </c>
      <c r="AA17" s="261" t="e">
        <f xml:space="preserve">
IF($A$4&lt;=12,SUMIFS(#REF!,#REF!,$A$4,#REF!,8),SUMIFS(#REF!,#REF!,8))</f>
        <v>#REF!</v>
      </c>
      <c r="AB17" s="261" t="e">
        <f xml:space="preserve">
IF($A$4&lt;=12,SUMIFS(#REF!,#REF!,$A$4,#REF!,8),SUMIFS(#REF!,#REF!,8))</f>
        <v>#REF!</v>
      </c>
      <c r="AC17" s="261" t="e">
        <f xml:space="preserve">
IF($A$4&lt;=12,SUMIFS(#REF!,#REF!,$A$4,#REF!,8),SUMIFS(#REF!,#REF!,8))</f>
        <v>#REF!</v>
      </c>
      <c r="AD17" s="261" t="e">
        <f xml:space="preserve">
IF($A$4&lt;=12,SUMIFS(#REF!,#REF!,$A$4,#REF!,8),SUMIFS(#REF!,#REF!,8))</f>
        <v>#REF!</v>
      </c>
      <c r="AE17" s="261" t="e">
        <f xml:space="preserve">
IF($A$4&lt;=12,SUMIFS(#REF!,#REF!,$A$4,#REF!,8),SUMIFS(#REF!,#REF!,8))</f>
        <v>#REF!</v>
      </c>
      <c r="AF17" s="261" t="e">
        <f xml:space="preserve">
IF($A$4&lt;=12,SUMIFS(#REF!,#REF!,$A$4,#REF!,8),SUMIFS(#REF!,#REF!,8))</f>
        <v>#REF!</v>
      </c>
      <c r="AG17" s="261" t="e">
        <f xml:space="preserve">
IF($A$4&lt;=12,SUMIFS(#REF!,#REF!,$A$4,#REF!,8),SUMIFS(#REF!,#REF!,8))</f>
        <v>#REF!</v>
      </c>
      <c r="AH17" s="261" t="e">
        <f xml:space="preserve">
IF($A$4&lt;=12,SUMIFS(#REF!,#REF!,$A$4,#REF!,8),SUMIFS(#REF!,#REF!,8))</f>
        <v>#REF!</v>
      </c>
      <c r="AI17" s="261" t="e">
        <f xml:space="preserve">
IF($A$4&lt;=12,SUMIFS(#REF!,#REF!,$A$4,#REF!,8),SUMIFS(#REF!,#REF!,8))</f>
        <v>#REF!</v>
      </c>
      <c r="AJ17" s="261" t="e">
        <f xml:space="preserve">
IF($A$4&lt;=12,SUMIFS(#REF!,#REF!,$A$4,#REF!,8),SUMIFS(#REF!,#REF!,8))</f>
        <v>#REF!</v>
      </c>
      <c r="AK17" s="261" t="e">
        <f xml:space="preserve">
IF($A$4&lt;=12,SUMIFS(#REF!,#REF!,$A$4,#REF!,8),SUMIFS(#REF!,#REF!,8))</f>
        <v>#REF!</v>
      </c>
      <c r="AL17" s="260" t="e">
        <f xml:space="preserve">
IF($A$4&lt;=12,SUMIFS(#REF!,#REF!,$A$4,#REF!,8),SUMIFS(#REF!,#REF!,8))</f>
        <v>#REF!</v>
      </c>
      <c r="AM17" s="261" t="e">
        <f xml:space="preserve">
IF($A$4&lt;=12,SUMIFS(#REF!,#REF!,$A$4,#REF!,8),SUMIFS(#REF!,#REF!,8))</f>
        <v>#REF!</v>
      </c>
      <c r="AN17" s="261" t="e">
        <f xml:space="preserve">
IF($A$4&lt;=12,SUMIFS(#REF!,#REF!,$A$4,#REF!,8),SUMIFS(#REF!,#REF!,8))</f>
        <v>#REF!</v>
      </c>
      <c r="AO17" s="261" t="e">
        <f xml:space="preserve">
IF($A$4&lt;=12,SUMIFS(#REF!,#REF!,$A$4,#REF!,8),SUMIFS(#REF!,#REF!,8))</f>
        <v>#REF!</v>
      </c>
      <c r="AP17" s="261" t="e">
        <f xml:space="preserve">
IF($A$4&lt;=12,SUMIFS(#REF!,#REF!,$A$4,#REF!,8),SUMIFS(#REF!,#REF!,8))</f>
        <v>#REF!</v>
      </c>
      <c r="AQ17" s="261" t="e">
        <f xml:space="preserve">
IF($A$4&lt;=12,SUMIFS(#REF!,#REF!,$A$4,#REF!,8),SUMIFS(#REF!,#REF!,8))</f>
        <v>#REF!</v>
      </c>
      <c r="AR17" s="261" t="e">
        <f xml:space="preserve">
IF($A$4&lt;=12,SUMIFS(#REF!,#REF!,$A$4,#REF!,8),SUMIFS(#REF!,#REF!,8))</f>
        <v>#REF!</v>
      </c>
      <c r="AS17" s="262" t="e">
        <f xml:space="preserve">
IF($A$4&lt;=12,SUMIFS(#REF!,#REF!,$A$4,#REF!,8),SUMIFS(#REF!,#REF!,8))</f>
        <v>#REF!</v>
      </c>
    </row>
    <row r="18" spans="1:45" x14ac:dyDescent="0.3">
      <c r="A18" s="244" t="s">
        <v>169</v>
      </c>
      <c r="B18" s="259" t="e">
        <f xml:space="preserve">
B19-B16-B17</f>
        <v>#REF!</v>
      </c>
      <c r="C18" s="260" t="e">
        <f t="shared" ref="C18:H18" si="0" xml:space="preserve">
C19-C16-C17</f>
        <v>#REF!</v>
      </c>
      <c r="D18" s="261" t="e">
        <f t="shared" si="0"/>
        <v>#REF!</v>
      </c>
      <c r="E18" s="261" t="e">
        <f t="shared" si="0"/>
        <v>#REF!</v>
      </c>
      <c r="F18" s="261" t="e">
        <f t="shared" si="0"/>
        <v>#REF!</v>
      </c>
      <c r="G18" s="261" t="e">
        <f t="shared" si="0"/>
        <v>#REF!</v>
      </c>
      <c r="H18" s="261" t="e">
        <f t="shared" si="0"/>
        <v>#REF!</v>
      </c>
      <c r="I18" s="261" t="e">
        <f t="shared" ref="I18:AI18" si="1" xml:space="preserve">
I19-I16-I17</f>
        <v>#REF!</v>
      </c>
      <c r="J18" s="261" t="e">
        <f t="shared" si="1"/>
        <v>#REF!</v>
      </c>
      <c r="K18" s="261" t="e">
        <f t="shared" si="1"/>
        <v>#REF!</v>
      </c>
      <c r="L18" s="261" t="e">
        <f t="shared" si="1"/>
        <v>#REF!</v>
      </c>
      <c r="M18" s="261" t="e">
        <f t="shared" si="1"/>
        <v>#REF!</v>
      </c>
      <c r="N18" s="261" t="e">
        <f t="shared" si="1"/>
        <v>#REF!</v>
      </c>
      <c r="O18" s="261" t="e">
        <f t="shared" si="1"/>
        <v>#REF!</v>
      </c>
      <c r="P18" s="261" t="e">
        <f t="shared" si="1"/>
        <v>#REF!</v>
      </c>
      <c r="Q18" s="261" t="e">
        <f t="shared" si="1"/>
        <v>#REF!</v>
      </c>
      <c r="R18" s="261" t="e">
        <f t="shared" si="1"/>
        <v>#REF!</v>
      </c>
      <c r="S18" s="261" t="e">
        <f t="shared" si="1"/>
        <v>#REF!</v>
      </c>
      <c r="T18" s="261" t="e">
        <f t="shared" si="1"/>
        <v>#REF!</v>
      </c>
      <c r="U18" s="261" t="e">
        <f t="shared" si="1"/>
        <v>#REF!</v>
      </c>
      <c r="V18" s="261" t="e">
        <f t="shared" si="1"/>
        <v>#REF!</v>
      </c>
      <c r="W18" s="261" t="e">
        <f t="shared" si="1"/>
        <v>#REF!</v>
      </c>
      <c r="X18" s="261" t="e">
        <f t="shared" si="1"/>
        <v>#REF!</v>
      </c>
      <c r="Y18" s="261" t="e">
        <f t="shared" si="1"/>
        <v>#REF!</v>
      </c>
      <c r="Z18" s="261" t="e">
        <f t="shared" si="1"/>
        <v>#REF!</v>
      </c>
      <c r="AA18" s="261" t="e">
        <f t="shared" si="1"/>
        <v>#REF!</v>
      </c>
      <c r="AB18" s="261" t="e">
        <f t="shared" si="1"/>
        <v>#REF!</v>
      </c>
      <c r="AC18" s="261" t="e">
        <f t="shared" si="1"/>
        <v>#REF!</v>
      </c>
      <c r="AD18" s="261" t="e">
        <f t="shared" si="1"/>
        <v>#REF!</v>
      </c>
      <c r="AE18" s="261" t="e">
        <f t="shared" si="1"/>
        <v>#REF!</v>
      </c>
      <c r="AF18" s="261" t="e">
        <f t="shared" si="1"/>
        <v>#REF!</v>
      </c>
      <c r="AG18" s="261" t="e">
        <f t="shared" si="1"/>
        <v>#REF!</v>
      </c>
      <c r="AH18" s="261" t="e">
        <f t="shared" si="1"/>
        <v>#REF!</v>
      </c>
      <c r="AI18" s="261" t="e">
        <f t="shared" si="1"/>
        <v>#REF!</v>
      </c>
      <c r="AJ18" s="261" t="e">
        <f t="shared" ref="AJ18:AS18" si="2" xml:space="preserve">
AJ19-AJ16-AJ17</f>
        <v>#REF!</v>
      </c>
      <c r="AK18" s="261" t="e">
        <f t="shared" si="2"/>
        <v>#REF!</v>
      </c>
      <c r="AL18" s="260" t="e">
        <f t="shared" si="2"/>
        <v>#REF!</v>
      </c>
      <c r="AM18" s="261" t="e">
        <f t="shared" si="2"/>
        <v>#REF!</v>
      </c>
      <c r="AN18" s="261" t="e">
        <f t="shared" si="2"/>
        <v>#REF!</v>
      </c>
      <c r="AO18" s="261" t="e">
        <f t="shared" si="2"/>
        <v>#REF!</v>
      </c>
      <c r="AP18" s="261" t="e">
        <f t="shared" si="2"/>
        <v>#REF!</v>
      </c>
      <c r="AQ18" s="261" t="e">
        <f t="shared" si="2"/>
        <v>#REF!</v>
      </c>
      <c r="AR18" s="261" t="e">
        <f t="shared" si="2"/>
        <v>#REF!</v>
      </c>
      <c r="AS18" s="262" t="e">
        <f t="shared" si="2"/>
        <v>#REF!</v>
      </c>
    </row>
    <row r="19" spans="1:45" ht="15" thickBot="1" x14ac:dyDescent="0.35">
      <c r="A19" s="245" t="s">
        <v>170</v>
      </c>
      <c r="B19" s="271" t="e">
        <f xml:space="preserve">
IF($A$4&lt;=12,SUMIFS(#REF!,#REF!,$A$4,#REF!,9),SUMIFS(#REF!,#REF!,9))</f>
        <v>#REF!</v>
      </c>
      <c r="C19" s="272" t="e">
        <f xml:space="preserve">
IF($A$4&lt;=12,SUMIFS(#REF!,#REF!,$A$4,#REF!,9),SUMIFS(#REF!,#REF!,9))</f>
        <v>#REF!</v>
      </c>
      <c r="D19" s="273" t="e">
        <f xml:space="preserve">
IF($A$4&lt;=12,SUMIFS(#REF!,#REF!,$A$4,#REF!,9),SUMIFS(#REF!,#REF!,9))</f>
        <v>#REF!</v>
      </c>
      <c r="E19" s="273" t="e">
        <f xml:space="preserve">
IF($A$4&lt;=12,SUMIFS(#REF!,#REF!,$A$4,#REF!,9),SUMIFS(#REF!,#REF!,9))</f>
        <v>#REF!</v>
      </c>
      <c r="F19" s="273" t="e">
        <f xml:space="preserve">
IF($A$4&lt;=12,SUMIFS(#REF!,#REF!,$A$4,#REF!,9),SUMIFS(#REF!,#REF!,9))</f>
        <v>#REF!</v>
      </c>
      <c r="G19" s="273" t="e">
        <f xml:space="preserve">
IF($A$4&lt;=12,SUMIFS(#REF!,#REF!,$A$4,#REF!,9),SUMIFS(#REF!,#REF!,9))</f>
        <v>#REF!</v>
      </c>
      <c r="H19" s="273" t="e">
        <f xml:space="preserve">
IF($A$4&lt;=12,SUMIFS(#REF!,#REF!,$A$4,#REF!,9),SUMIFS(#REF!,#REF!,9))</f>
        <v>#REF!</v>
      </c>
      <c r="I19" s="273" t="e">
        <f xml:space="preserve">
IF($A$4&lt;=12,SUMIFS(#REF!,#REF!,$A$4,#REF!,9),SUMIFS(#REF!,#REF!,9))</f>
        <v>#REF!</v>
      </c>
      <c r="J19" s="273" t="e">
        <f xml:space="preserve">
IF($A$4&lt;=12,SUMIFS(#REF!,#REF!,$A$4,#REF!,9),SUMIFS(#REF!,#REF!,9))</f>
        <v>#REF!</v>
      </c>
      <c r="K19" s="273" t="e">
        <f xml:space="preserve">
IF($A$4&lt;=12,SUMIFS(#REF!,#REF!,$A$4,#REF!,9),SUMIFS(#REF!,#REF!,9))</f>
        <v>#REF!</v>
      </c>
      <c r="L19" s="273" t="e">
        <f xml:space="preserve">
IF($A$4&lt;=12,SUMIFS(#REF!,#REF!,$A$4,#REF!,9),SUMIFS(#REF!,#REF!,9))</f>
        <v>#REF!</v>
      </c>
      <c r="M19" s="273" t="e">
        <f xml:space="preserve">
IF($A$4&lt;=12,SUMIFS(#REF!,#REF!,$A$4,#REF!,9),SUMIFS(#REF!,#REF!,9))</f>
        <v>#REF!</v>
      </c>
      <c r="N19" s="273" t="e">
        <f xml:space="preserve">
IF($A$4&lt;=12,SUMIFS(#REF!,#REF!,$A$4,#REF!,9),SUMIFS(#REF!,#REF!,9))</f>
        <v>#REF!</v>
      </c>
      <c r="O19" s="273" t="e">
        <f xml:space="preserve">
IF($A$4&lt;=12,SUMIFS(#REF!,#REF!,$A$4,#REF!,9),SUMIFS(#REF!,#REF!,9))</f>
        <v>#REF!</v>
      </c>
      <c r="P19" s="273" t="e">
        <f xml:space="preserve">
IF($A$4&lt;=12,SUMIFS(#REF!,#REF!,$A$4,#REF!,9),SUMIFS(#REF!,#REF!,9))</f>
        <v>#REF!</v>
      </c>
      <c r="Q19" s="273" t="e">
        <f xml:space="preserve">
IF($A$4&lt;=12,SUMIFS(#REF!,#REF!,$A$4,#REF!,9),SUMIFS(#REF!,#REF!,9))</f>
        <v>#REF!</v>
      </c>
      <c r="R19" s="273" t="e">
        <f xml:space="preserve">
IF($A$4&lt;=12,SUMIFS(#REF!,#REF!,$A$4,#REF!,9),SUMIFS(#REF!,#REF!,9))</f>
        <v>#REF!</v>
      </c>
      <c r="S19" s="273" t="e">
        <f xml:space="preserve">
IF($A$4&lt;=12,SUMIFS(#REF!,#REF!,$A$4,#REF!,9),SUMIFS(#REF!,#REF!,9))</f>
        <v>#REF!</v>
      </c>
      <c r="T19" s="273" t="e">
        <f xml:space="preserve">
IF($A$4&lt;=12,SUMIFS(#REF!,#REF!,$A$4,#REF!,9),SUMIFS(#REF!,#REF!,9))</f>
        <v>#REF!</v>
      </c>
      <c r="U19" s="273" t="e">
        <f xml:space="preserve">
IF($A$4&lt;=12,SUMIFS(#REF!,#REF!,$A$4,#REF!,9),SUMIFS(#REF!,#REF!,9))</f>
        <v>#REF!</v>
      </c>
      <c r="V19" s="273" t="e">
        <f xml:space="preserve">
IF($A$4&lt;=12,SUMIFS(#REF!,#REF!,$A$4,#REF!,9),SUMIFS(#REF!,#REF!,9))</f>
        <v>#REF!</v>
      </c>
      <c r="W19" s="273" t="e">
        <f xml:space="preserve">
IF($A$4&lt;=12,SUMIFS(#REF!,#REF!,$A$4,#REF!,9),SUMIFS(#REF!,#REF!,9))</f>
        <v>#REF!</v>
      </c>
      <c r="X19" s="273" t="e">
        <f xml:space="preserve">
IF($A$4&lt;=12,SUMIFS(#REF!,#REF!,$A$4,#REF!,9),SUMIFS(#REF!,#REF!,9))</f>
        <v>#REF!</v>
      </c>
      <c r="Y19" s="273" t="e">
        <f xml:space="preserve">
IF($A$4&lt;=12,SUMIFS(#REF!,#REF!,$A$4,#REF!,9),SUMIFS(#REF!,#REF!,9))</f>
        <v>#REF!</v>
      </c>
      <c r="Z19" s="273" t="e">
        <f xml:space="preserve">
IF($A$4&lt;=12,SUMIFS(#REF!,#REF!,$A$4,#REF!,9),SUMIFS(#REF!,#REF!,9))</f>
        <v>#REF!</v>
      </c>
      <c r="AA19" s="273" t="e">
        <f xml:space="preserve">
IF($A$4&lt;=12,SUMIFS(#REF!,#REF!,$A$4,#REF!,9),SUMIFS(#REF!,#REF!,9))</f>
        <v>#REF!</v>
      </c>
      <c r="AB19" s="273" t="e">
        <f xml:space="preserve">
IF($A$4&lt;=12,SUMIFS(#REF!,#REF!,$A$4,#REF!,9),SUMIFS(#REF!,#REF!,9))</f>
        <v>#REF!</v>
      </c>
      <c r="AC19" s="273" t="e">
        <f xml:space="preserve">
IF($A$4&lt;=12,SUMIFS(#REF!,#REF!,$A$4,#REF!,9),SUMIFS(#REF!,#REF!,9))</f>
        <v>#REF!</v>
      </c>
      <c r="AD19" s="273" t="e">
        <f xml:space="preserve">
IF($A$4&lt;=12,SUMIFS(#REF!,#REF!,$A$4,#REF!,9),SUMIFS(#REF!,#REF!,9))</f>
        <v>#REF!</v>
      </c>
      <c r="AE19" s="273" t="e">
        <f xml:space="preserve">
IF($A$4&lt;=12,SUMIFS(#REF!,#REF!,$A$4,#REF!,9),SUMIFS(#REF!,#REF!,9))</f>
        <v>#REF!</v>
      </c>
      <c r="AF19" s="273" t="e">
        <f xml:space="preserve">
IF($A$4&lt;=12,SUMIFS(#REF!,#REF!,$A$4,#REF!,9),SUMIFS(#REF!,#REF!,9))</f>
        <v>#REF!</v>
      </c>
      <c r="AG19" s="273" t="e">
        <f xml:space="preserve">
IF($A$4&lt;=12,SUMIFS(#REF!,#REF!,$A$4,#REF!,9),SUMIFS(#REF!,#REF!,9))</f>
        <v>#REF!</v>
      </c>
      <c r="AH19" s="273" t="e">
        <f xml:space="preserve">
IF($A$4&lt;=12,SUMIFS(#REF!,#REF!,$A$4,#REF!,9),SUMIFS(#REF!,#REF!,9))</f>
        <v>#REF!</v>
      </c>
      <c r="AI19" s="273" t="e">
        <f xml:space="preserve">
IF($A$4&lt;=12,SUMIFS(#REF!,#REF!,$A$4,#REF!,9),SUMIFS(#REF!,#REF!,9))</f>
        <v>#REF!</v>
      </c>
      <c r="AJ19" s="273" t="e">
        <f xml:space="preserve">
IF($A$4&lt;=12,SUMIFS(#REF!,#REF!,$A$4,#REF!,9),SUMIFS(#REF!,#REF!,9))</f>
        <v>#REF!</v>
      </c>
      <c r="AK19" s="273" t="e">
        <f xml:space="preserve">
IF($A$4&lt;=12,SUMIFS(#REF!,#REF!,$A$4,#REF!,9),SUMIFS(#REF!,#REF!,9))</f>
        <v>#REF!</v>
      </c>
      <c r="AL19" s="272" t="e">
        <f xml:space="preserve">
IF($A$4&lt;=12,SUMIFS(#REF!,#REF!,$A$4,#REF!,9),SUMIFS(#REF!,#REF!,9))</f>
        <v>#REF!</v>
      </c>
      <c r="AM19" s="273" t="e">
        <f xml:space="preserve">
IF($A$4&lt;=12,SUMIFS(#REF!,#REF!,$A$4,#REF!,9),SUMIFS(#REF!,#REF!,9))</f>
        <v>#REF!</v>
      </c>
      <c r="AN19" s="273" t="e">
        <f xml:space="preserve">
IF($A$4&lt;=12,SUMIFS(#REF!,#REF!,$A$4,#REF!,9),SUMIFS(#REF!,#REF!,9))</f>
        <v>#REF!</v>
      </c>
      <c r="AO19" s="273" t="e">
        <f xml:space="preserve">
IF($A$4&lt;=12,SUMIFS(#REF!,#REF!,$A$4,#REF!,9),SUMIFS(#REF!,#REF!,9))</f>
        <v>#REF!</v>
      </c>
      <c r="AP19" s="273" t="e">
        <f xml:space="preserve">
IF($A$4&lt;=12,SUMIFS(#REF!,#REF!,$A$4,#REF!,9),SUMIFS(#REF!,#REF!,9))</f>
        <v>#REF!</v>
      </c>
      <c r="AQ19" s="273" t="e">
        <f xml:space="preserve">
IF($A$4&lt;=12,SUMIFS(#REF!,#REF!,$A$4,#REF!,9),SUMIFS(#REF!,#REF!,9))</f>
        <v>#REF!</v>
      </c>
      <c r="AR19" s="273" t="e">
        <f xml:space="preserve">
IF($A$4&lt;=12,SUMIFS(#REF!,#REF!,$A$4,#REF!,9),SUMIFS(#REF!,#REF!,9))</f>
        <v>#REF!</v>
      </c>
      <c r="AS19" s="274" t="e">
        <f xml:space="preserve">
IF($A$4&lt;=12,SUMIFS(#REF!,#REF!,$A$4,#REF!,9),SUMIFS(#REF!,#REF!,9))</f>
        <v>#REF!</v>
      </c>
    </row>
    <row r="20" spans="1:45" ht="15" collapsed="1" thickBot="1" x14ac:dyDescent="0.35">
      <c r="A20" s="246" t="s">
        <v>71</v>
      </c>
      <c r="B20" s="275" t="e">
        <f xml:space="preserve">
IF($A$4&lt;=12,SUMIFS(#REF!,#REF!,$A$4,#REF!,6),SUMIFS(#REF!,#REF!,6))</f>
        <v>#REF!</v>
      </c>
      <c r="C20" s="276" t="e">
        <f xml:space="preserve">
IF($A$4&lt;=12,SUMIFS(#REF!,#REF!,$A$4,#REF!,6),SUMIFS(#REF!,#REF!,6))</f>
        <v>#REF!</v>
      </c>
      <c r="D20" s="277" t="e">
        <f xml:space="preserve">
IF($A$4&lt;=12,SUMIFS(#REF!,#REF!,$A$4,#REF!,6),SUMIFS(#REF!,#REF!,6))</f>
        <v>#REF!</v>
      </c>
      <c r="E20" s="277" t="e">
        <f xml:space="preserve">
IF($A$4&lt;=12,SUMIFS(#REF!,#REF!,$A$4,#REF!,6),SUMIFS(#REF!,#REF!,6))</f>
        <v>#REF!</v>
      </c>
      <c r="F20" s="277" t="e">
        <f xml:space="preserve">
IF($A$4&lt;=12,SUMIFS(#REF!,#REF!,$A$4,#REF!,6),SUMIFS(#REF!,#REF!,6))</f>
        <v>#REF!</v>
      </c>
      <c r="G20" s="277" t="e">
        <f xml:space="preserve">
IF($A$4&lt;=12,SUMIFS(#REF!,#REF!,$A$4,#REF!,6),SUMIFS(#REF!,#REF!,6))</f>
        <v>#REF!</v>
      </c>
      <c r="H20" s="277" t="e">
        <f xml:space="preserve">
IF($A$4&lt;=12,SUMIFS(#REF!,#REF!,$A$4,#REF!,6),SUMIFS(#REF!,#REF!,6))</f>
        <v>#REF!</v>
      </c>
      <c r="I20" s="277" t="e">
        <f xml:space="preserve">
IF($A$4&lt;=12,SUMIFS(#REF!,#REF!,$A$4,#REF!,6),SUMIFS(#REF!,#REF!,6))</f>
        <v>#REF!</v>
      </c>
      <c r="J20" s="277" t="e">
        <f xml:space="preserve">
IF($A$4&lt;=12,SUMIFS(#REF!,#REF!,$A$4,#REF!,6),SUMIFS(#REF!,#REF!,6))</f>
        <v>#REF!</v>
      </c>
      <c r="K20" s="277" t="e">
        <f xml:space="preserve">
IF($A$4&lt;=12,SUMIFS(#REF!,#REF!,$A$4,#REF!,6),SUMIFS(#REF!,#REF!,6))</f>
        <v>#REF!</v>
      </c>
      <c r="L20" s="277" t="e">
        <f xml:space="preserve">
IF($A$4&lt;=12,SUMIFS(#REF!,#REF!,$A$4,#REF!,6),SUMIFS(#REF!,#REF!,6))</f>
        <v>#REF!</v>
      </c>
      <c r="M20" s="277" t="e">
        <f xml:space="preserve">
IF($A$4&lt;=12,SUMIFS(#REF!,#REF!,$A$4,#REF!,6),SUMIFS(#REF!,#REF!,6))</f>
        <v>#REF!</v>
      </c>
      <c r="N20" s="277" t="e">
        <f xml:space="preserve">
IF($A$4&lt;=12,SUMIFS(#REF!,#REF!,$A$4,#REF!,6),SUMIFS(#REF!,#REF!,6))</f>
        <v>#REF!</v>
      </c>
      <c r="O20" s="277" t="e">
        <f xml:space="preserve">
IF($A$4&lt;=12,SUMIFS(#REF!,#REF!,$A$4,#REF!,6),SUMIFS(#REF!,#REF!,6))</f>
        <v>#REF!</v>
      </c>
      <c r="P20" s="277" t="e">
        <f xml:space="preserve">
IF($A$4&lt;=12,SUMIFS(#REF!,#REF!,$A$4,#REF!,6),SUMIFS(#REF!,#REF!,6))</f>
        <v>#REF!</v>
      </c>
      <c r="Q20" s="277" t="e">
        <f xml:space="preserve">
IF($A$4&lt;=12,SUMIFS(#REF!,#REF!,$A$4,#REF!,6),SUMIFS(#REF!,#REF!,6))</f>
        <v>#REF!</v>
      </c>
      <c r="R20" s="277" t="e">
        <f xml:space="preserve">
IF($A$4&lt;=12,SUMIFS(#REF!,#REF!,$A$4,#REF!,6),SUMIFS(#REF!,#REF!,6))</f>
        <v>#REF!</v>
      </c>
      <c r="S20" s="277" t="e">
        <f xml:space="preserve">
IF($A$4&lt;=12,SUMIFS(#REF!,#REF!,$A$4,#REF!,6),SUMIFS(#REF!,#REF!,6))</f>
        <v>#REF!</v>
      </c>
      <c r="T20" s="277" t="e">
        <f xml:space="preserve">
IF($A$4&lt;=12,SUMIFS(#REF!,#REF!,$A$4,#REF!,6),SUMIFS(#REF!,#REF!,6))</f>
        <v>#REF!</v>
      </c>
      <c r="U20" s="277" t="e">
        <f xml:space="preserve">
IF($A$4&lt;=12,SUMIFS(#REF!,#REF!,$A$4,#REF!,6),SUMIFS(#REF!,#REF!,6))</f>
        <v>#REF!</v>
      </c>
      <c r="V20" s="277" t="e">
        <f xml:space="preserve">
IF($A$4&lt;=12,SUMIFS(#REF!,#REF!,$A$4,#REF!,6),SUMIFS(#REF!,#REF!,6))</f>
        <v>#REF!</v>
      </c>
      <c r="W20" s="277" t="e">
        <f xml:space="preserve">
IF($A$4&lt;=12,SUMIFS(#REF!,#REF!,$A$4,#REF!,6),SUMIFS(#REF!,#REF!,6))</f>
        <v>#REF!</v>
      </c>
      <c r="X20" s="277" t="e">
        <f xml:space="preserve">
IF($A$4&lt;=12,SUMIFS(#REF!,#REF!,$A$4,#REF!,6),SUMIFS(#REF!,#REF!,6))</f>
        <v>#REF!</v>
      </c>
      <c r="Y20" s="277" t="e">
        <f xml:space="preserve">
IF($A$4&lt;=12,SUMIFS(#REF!,#REF!,$A$4,#REF!,6),SUMIFS(#REF!,#REF!,6))</f>
        <v>#REF!</v>
      </c>
      <c r="Z20" s="277" t="e">
        <f xml:space="preserve">
IF($A$4&lt;=12,SUMIFS(#REF!,#REF!,$A$4,#REF!,6),SUMIFS(#REF!,#REF!,6))</f>
        <v>#REF!</v>
      </c>
      <c r="AA20" s="277" t="e">
        <f xml:space="preserve">
IF($A$4&lt;=12,SUMIFS(#REF!,#REF!,$A$4,#REF!,6),SUMIFS(#REF!,#REF!,6))</f>
        <v>#REF!</v>
      </c>
      <c r="AB20" s="277" t="e">
        <f xml:space="preserve">
IF($A$4&lt;=12,SUMIFS(#REF!,#REF!,$A$4,#REF!,6),SUMIFS(#REF!,#REF!,6))</f>
        <v>#REF!</v>
      </c>
      <c r="AC20" s="277" t="e">
        <f xml:space="preserve">
IF($A$4&lt;=12,SUMIFS(#REF!,#REF!,$A$4,#REF!,6),SUMIFS(#REF!,#REF!,6))</f>
        <v>#REF!</v>
      </c>
      <c r="AD20" s="277" t="e">
        <f xml:space="preserve">
IF($A$4&lt;=12,SUMIFS(#REF!,#REF!,$A$4,#REF!,6),SUMIFS(#REF!,#REF!,6))</f>
        <v>#REF!</v>
      </c>
      <c r="AE20" s="277" t="e">
        <f xml:space="preserve">
IF($A$4&lt;=12,SUMIFS(#REF!,#REF!,$A$4,#REF!,6),SUMIFS(#REF!,#REF!,6))</f>
        <v>#REF!</v>
      </c>
      <c r="AF20" s="277" t="e">
        <f xml:space="preserve">
IF($A$4&lt;=12,SUMIFS(#REF!,#REF!,$A$4,#REF!,6),SUMIFS(#REF!,#REF!,6))</f>
        <v>#REF!</v>
      </c>
      <c r="AG20" s="277" t="e">
        <f xml:space="preserve">
IF($A$4&lt;=12,SUMIFS(#REF!,#REF!,$A$4,#REF!,6),SUMIFS(#REF!,#REF!,6))</f>
        <v>#REF!</v>
      </c>
      <c r="AH20" s="277" t="e">
        <f xml:space="preserve">
IF($A$4&lt;=12,SUMIFS(#REF!,#REF!,$A$4,#REF!,6),SUMIFS(#REF!,#REF!,6))</f>
        <v>#REF!</v>
      </c>
      <c r="AI20" s="277" t="e">
        <f xml:space="preserve">
IF($A$4&lt;=12,SUMIFS(#REF!,#REF!,$A$4,#REF!,6),SUMIFS(#REF!,#REF!,6))</f>
        <v>#REF!</v>
      </c>
      <c r="AJ20" s="277" t="e">
        <f xml:space="preserve">
IF($A$4&lt;=12,SUMIFS(#REF!,#REF!,$A$4,#REF!,6),SUMIFS(#REF!,#REF!,6))</f>
        <v>#REF!</v>
      </c>
      <c r="AK20" s="277" t="e">
        <f xml:space="preserve">
IF($A$4&lt;=12,SUMIFS(#REF!,#REF!,$A$4,#REF!,6),SUMIFS(#REF!,#REF!,6))</f>
        <v>#REF!</v>
      </c>
      <c r="AL20" s="276" t="e">
        <f xml:space="preserve">
IF($A$4&lt;=12,SUMIFS(#REF!,#REF!,$A$4,#REF!,6),SUMIFS(#REF!,#REF!,6))</f>
        <v>#REF!</v>
      </c>
      <c r="AM20" s="277" t="e">
        <f xml:space="preserve">
IF($A$4&lt;=12,SUMIFS(#REF!,#REF!,$A$4,#REF!,6),SUMIFS(#REF!,#REF!,6))</f>
        <v>#REF!</v>
      </c>
      <c r="AN20" s="277" t="e">
        <f xml:space="preserve">
IF($A$4&lt;=12,SUMIFS(#REF!,#REF!,$A$4,#REF!,6),SUMIFS(#REF!,#REF!,6))</f>
        <v>#REF!</v>
      </c>
      <c r="AO20" s="277" t="e">
        <f xml:space="preserve">
IF($A$4&lt;=12,SUMIFS(#REF!,#REF!,$A$4,#REF!,6),SUMIFS(#REF!,#REF!,6))</f>
        <v>#REF!</v>
      </c>
      <c r="AP20" s="277" t="e">
        <f xml:space="preserve">
IF($A$4&lt;=12,SUMIFS(#REF!,#REF!,$A$4,#REF!,6),SUMIFS(#REF!,#REF!,6))</f>
        <v>#REF!</v>
      </c>
      <c r="AQ20" s="277" t="e">
        <f xml:space="preserve">
IF($A$4&lt;=12,SUMIFS(#REF!,#REF!,$A$4,#REF!,6),SUMIFS(#REF!,#REF!,6))</f>
        <v>#REF!</v>
      </c>
      <c r="AR20" s="277" t="e">
        <f xml:space="preserve">
IF($A$4&lt;=12,SUMIFS(#REF!,#REF!,$A$4,#REF!,6),SUMIFS(#REF!,#REF!,6))</f>
        <v>#REF!</v>
      </c>
      <c r="AS20" s="278" t="e">
        <f xml:space="preserve">
IF($A$4&lt;=12,SUMIFS(#REF!,#REF!,$A$4,#REF!,6),SUMIFS(#REF!,#REF!,6))</f>
        <v>#REF!</v>
      </c>
    </row>
    <row r="21" spans="1:45" hidden="1" outlineLevel="1" x14ac:dyDescent="0.3">
      <c r="A21" s="239" t="s">
        <v>105</v>
      </c>
      <c r="B21" s="259" t="e">
        <f xml:space="preserve">
IF($A$4&lt;=12,SUMIFS(#REF!,#REF!,$A$4,#REF!,12),SUMIFS(#REF!,#REF!,12))</f>
        <v>#REF!</v>
      </c>
      <c r="C21" s="260" t="e">
        <f xml:space="preserve">
IF($A$4&lt;=12,SUMIFS(#REF!,#REF!,$A$4,#REF!,12),SUMIFS(#REF!,#REF!,12))</f>
        <v>#REF!</v>
      </c>
      <c r="D21" s="261" t="e">
        <f xml:space="preserve">
IF($A$4&lt;=12,SUMIFS(#REF!,#REF!,$A$4,#REF!,12),SUMIFS(#REF!,#REF!,12))</f>
        <v>#REF!</v>
      </c>
      <c r="E21" s="261" t="e">
        <f xml:space="preserve">
IF($A$4&lt;=12,SUMIFS(#REF!,#REF!,$A$4,#REF!,12),SUMIFS(#REF!,#REF!,12))</f>
        <v>#REF!</v>
      </c>
      <c r="F21" s="261" t="e">
        <f xml:space="preserve">
IF($A$4&lt;=12,SUMIFS(#REF!,#REF!,$A$4,#REF!,12),SUMIFS(#REF!,#REF!,12))</f>
        <v>#REF!</v>
      </c>
      <c r="G21" s="261" t="e">
        <f xml:space="preserve">
IF($A$4&lt;=12,SUMIFS(#REF!,#REF!,$A$4,#REF!,12),SUMIFS(#REF!,#REF!,12))</f>
        <v>#REF!</v>
      </c>
      <c r="H21" s="261" t="e">
        <f xml:space="preserve">
IF($A$4&lt;=12,SUMIFS(#REF!,#REF!,$A$4,#REF!,12),SUMIFS(#REF!,#REF!,12))</f>
        <v>#REF!</v>
      </c>
      <c r="I21" s="261" t="e">
        <f xml:space="preserve">
IF($A$4&lt;=12,SUMIFS(#REF!,#REF!,$A$4,#REF!,12),SUMIFS(#REF!,#REF!,12))</f>
        <v>#REF!</v>
      </c>
      <c r="J21" s="261" t="e">
        <f xml:space="preserve">
IF($A$4&lt;=12,SUMIFS(#REF!,#REF!,$A$4,#REF!,12),SUMIFS(#REF!,#REF!,12))</f>
        <v>#REF!</v>
      </c>
      <c r="K21" s="261" t="e">
        <f xml:space="preserve">
IF($A$4&lt;=12,SUMIFS(#REF!,#REF!,$A$4,#REF!,12),SUMIFS(#REF!,#REF!,12))</f>
        <v>#REF!</v>
      </c>
      <c r="L21" s="261" t="e">
        <f xml:space="preserve">
IF($A$4&lt;=12,SUMIFS(#REF!,#REF!,$A$4,#REF!,12),SUMIFS(#REF!,#REF!,12))</f>
        <v>#REF!</v>
      </c>
      <c r="M21" s="261" t="e">
        <f xml:space="preserve">
IF($A$4&lt;=12,SUMIFS(#REF!,#REF!,$A$4,#REF!,12),SUMIFS(#REF!,#REF!,12))</f>
        <v>#REF!</v>
      </c>
      <c r="N21" s="261" t="e">
        <f xml:space="preserve">
IF($A$4&lt;=12,SUMIFS(#REF!,#REF!,$A$4,#REF!,12),SUMIFS(#REF!,#REF!,12))</f>
        <v>#REF!</v>
      </c>
      <c r="O21" s="261" t="e">
        <f xml:space="preserve">
IF($A$4&lt;=12,SUMIFS(#REF!,#REF!,$A$4,#REF!,12),SUMIFS(#REF!,#REF!,12))</f>
        <v>#REF!</v>
      </c>
      <c r="P21" s="261" t="e">
        <f xml:space="preserve">
IF($A$4&lt;=12,SUMIFS(#REF!,#REF!,$A$4,#REF!,12),SUMIFS(#REF!,#REF!,12))</f>
        <v>#REF!</v>
      </c>
      <c r="Q21" s="261" t="e">
        <f xml:space="preserve">
IF($A$4&lt;=12,SUMIFS(#REF!,#REF!,$A$4,#REF!,12),SUMIFS(#REF!,#REF!,12))</f>
        <v>#REF!</v>
      </c>
      <c r="R21" s="261" t="e">
        <f xml:space="preserve">
IF($A$4&lt;=12,SUMIFS(#REF!,#REF!,$A$4,#REF!,12),SUMIFS(#REF!,#REF!,12))</f>
        <v>#REF!</v>
      </c>
      <c r="S21" s="261" t="e">
        <f xml:space="preserve">
IF($A$4&lt;=12,SUMIFS(#REF!,#REF!,$A$4,#REF!,12),SUMIFS(#REF!,#REF!,12))</f>
        <v>#REF!</v>
      </c>
      <c r="T21" s="261" t="e">
        <f xml:space="preserve">
IF($A$4&lt;=12,SUMIFS(#REF!,#REF!,$A$4,#REF!,12),SUMIFS(#REF!,#REF!,12))</f>
        <v>#REF!</v>
      </c>
      <c r="U21" s="261" t="e">
        <f xml:space="preserve">
IF($A$4&lt;=12,SUMIFS(#REF!,#REF!,$A$4,#REF!,12),SUMIFS(#REF!,#REF!,12))</f>
        <v>#REF!</v>
      </c>
      <c r="V21" s="261" t="e">
        <f xml:space="preserve">
IF($A$4&lt;=12,SUMIFS(#REF!,#REF!,$A$4,#REF!,12),SUMIFS(#REF!,#REF!,12))</f>
        <v>#REF!</v>
      </c>
      <c r="W21" s="261" t="e">
        <f xml:space="preserve">
IF($A$4&lt;=12,SUMIFS(#REF!,#REF!,$A$4,#REF!,12),SUMIFS(#REF!,#REF!,12))</f>
        <v>#REF!</v>
      </c>
      <c r="X21" s="261" t="e">
        <f xml:space="preserve">
IF($A$4&lt;=12,SUMIFS(#REF!,#REF!,$A$4,#REF!,12),SUMIFS(#REF!,#REF!,12))</f>
        <v>#REF!</v>
      </c>
      <c r="Y21" s="261" t="e">
        <f xml:space="preserve">
IF($A$4&lt;=12,SUMIFS(#REF!,#REF!,$A$4,#REF!,12),SUMIFS(#REF!,#REF!,12))</f>
        <v>#REF!</v>
      </c>
      <c r="Z21" s="261" t="e">
        <f xml:space="preserve">
IF($A$4&lt;=12,SUMIFS(#REF!,#REF!,$A$4,#REF!,12),SUMIFS(#REF!,#REF!,12))</f>
        <v>#REF!</v>
      </c>
      <c r="AA21" s="261" t="e">
        <f xml:space="preserve">
IF($A$4&lt;=12,SUMIFS(#REF!,#REF!,$A$4,#REF!,12),SUMIFS(#REF!,#REF!,12))</f>
        <v>#REF!</v>
      </c>
      <c r="AB21" s="261" t="e">
        <f xml:space="preserve">
IF($A$4&lt;=12,SUMIFS(#REF!,#REF!,$A$4,#REF!,12),SUMIFS(#REF!,#REF!,12))</f>
        <v>#REF!</v>
      </c>
      <c r="AC21" s="261" t="e">
        <f xml:space="preserve">
IF($A$4&lt;=12,SUMIFS(#REF!,#REF!,$A$4,#REF!,12),SUMIFS(#REF!,#REF!,12))</f>
        <v>#REF!</v>
      </c>
      <c r="AD21" s="261" t="e">
        <f xml:space="preserve">
IF($A$4&lt;=12,SUMIFS(#REF!,#REF!,$A$4,#REF!,12),SUMIFS(#REF!,#REF!,12))</f>
        <v>#REF!</v>
      </c>
      <c r="AE21" s="261" t="e">
        <f xml:space="preserve">
IF($A$4&lt;=12,SUMIFS(#REF!,#REF!,$A$4,#REF!,12),SUMIFS(#REF!,#REF!,12))</f>
        <v>#REF!</v>
      </c>
      <c r="AF21" s="261" t="e">
        <f xml:space="preserve">
IF($A$4&lt;=12,SUMIFS(#REF!,#REF!,$A$4,#REF!,12),SUMIFS(#REF!,#REF!,12))</f>
        <v>#REF!</v>
      </c>
      <c r="AG21" s="261" t="e">
        <f xml:space="preserve">
IF($A$4&lt;=12,SUMIFS(#REF!,#REF!,$A$4,#REF!,12),SUMIFS(#REF!,#REF!,12))</f>
        <v>#REF!</v>
      </c>
      <c r="AH21" s="261" t="e">
        <f xml:space="preserve">
IF($A$4&lt;=12,SUMIFS(#REF!,#REF!,$A$4,#REF!,12),SUMIFS(#REF!,#REF!,12))</f>
        <v>#REF!</v>
      </c>
      <c r="AI21" s="261" t="e">
        <f xml:space="preserve">
IF($A$4&lt;=12,SUMIFS(#REF!,#REF!,$A$4,#REF!,12),SUMIFS(#REF!,#REF!,12))</f>
        <v>#REF!</v>
      </c>
      <c r="AJ21" s="261" t="e">
        <f xml:space="preserve">
IF($A$4&lt;=12,SUMIFS(#REF!,#REF!,$A$4,#REF!,12),SUMIFS(#REF!,#REF!,12))</f>
        <v>#REF!</v>
      </c>
      <c r="AK21" s="262" t="e">
        <f xml:space="preserve">
IF($A$4&lt;=12,SUMIFS(#REF!,#REF!,$A$4,#REF!,12),SUMIFS(#REF!,#REF!,12))</f>
        <v>#REF!</v>
      </c>
    </row>
    <row r="22" spans="1:45" hidden="1" outlineLevel="1" x14ac:dyDescent="0.3">
      <c r="A22" s="239" t="s">
        <v>73</v>
      </c>
      <c r="B22" s="313" t="e">
        <f xml:space="preserve">
IF(OR(B21="",B21=0),"",B20/B21)</f>
        <v>#REF!</v>
      </c>
      <c r="C22" s="314" t="e">
        <f t="shared" ref="C22:H22" si="3" xml:space="preserve">
IF(OR(C21="",C21=0),"",C20/C21)</f>
        <v>#REF!</v>
      </c>
      <c r="D22" s="315" t="e">
        <f t="shared" si="3"/>
        <v>#REF!</v>
      </c>
      <c r="E22" s="315" t="e">
        <f t="shared" si="3"/>
        <v>#REF!</v>
      </c>
      <c r="F22" s="315" t="e">
        <f t="shared" si="3"/>
        <v>#REF!</v>
      </c>
      <c r="G22" s="315" t="e">
        <f t="shared" si="3"/>
        <v>#REF!</v>
      </c>
      <c r="H22" s="315" t="e">
        <f t="shared" si="3"/>
        <v>#REF!</v>
      </c>
      <c r="I22" s="315" t="e">
        <f t="shared" ref="I22:AK22" si="4" xml:space="preserve">
IF(OR(I21="",I21=0),"",I20/I21)</f>
        <v>#REF!</v>
      </c>
      <c r="J22" s="315" t="e">
        <f t="shared" si="4"/>
        <v>#REF!</v>
      </c>
      <c r="K22" s="315" t="e">
        <f t="shared" si="4"/>
        <v>#REF!</v>
      </c>
      <c r="L22" s="315" t="e">
        <f t="shared" si="4"/>
        <v>#REF!</v>
      </c>
      <c r="M22" s="315" t="e">
        <f t="shared" si="4"/>
        <v>#REF!</v>
      </c>
      <c r="N22" s="315" t="e">
        <f t="shared" si="4"/>
        <v>#REF!</v>
      </c>
      <c r="O22" s="315" t="e">
        <f t="shared" si="4"/>
        <v>#REF!</v>
      </c>
      <c r="P22" s="315" t="e">
        <f t="shared" si="4"/>
        <v>#REF!</v>
      </c>
      <c r="Q22" s="315" t="e">
        <f t="shared" si="4"/>
        <v>#REF!</v>
      </c>
      <c r="R22" s="315" t="e">
        <f t="shared" si="4"/>
        <v>#REF!</v>
      </c>
      <c r="S22" s="315" t="e">
        <f t="shared" si="4"/>
        <v>#REF!</v>
      </c>
      <c r="T22" s="315" t="e">
        <f t="shared" si="4"/>
        <v>#REF!</v>
      </c>
      <c r="U22" s="315" t="e">
        <f t="shared" si="4"/>
        <v>#REF!</v>
      </c>
      <c r="V22" s="315" t="e">
        <f t="shared" si="4"/>
        <v>#REF!</v>
      </c>
      <c r="W22" s="315" t="e">
        <f t="shared" si="4"/>
        <v>#REF!</v>
      </c>
      <c r="X22" s="315" t="e">
        <f t="shared" si="4"/>
        <v>#REF!</v>
      </c>
      <c r="Y22" s="315" t="e">
        <f t="shared" si="4"/>
        <v>#REF!</v>
      </c>
      <c r="Z22" s="315" t="e">
        <f t="shared" si="4"/>
        <v>#REF!</v>
      </c>
      <c r="AA22" s="315" t="e">
        <f t="shared" si="4"/>
        <v>#REF!</v>
      </c>
      <c r="AB22" s="315" t="e">
        <f t="shared" si="4"/>
        <v>#REF!</v>
      </c>
      <c r="AC22" s="315" t="e">
        <f t="shared" si="4"/>
        <v>#REF!</v>
      </c>
      <c r="AD22" s="315" t="e">
        <f t="shared" si="4"/>
        <v>#REF!</v>
      </c>
      <c r="AE22" s="315" t="e">
        <f t="shared" si="4"/>
        <v>#REF!</v>
      </c>
      <c r="AF22" s="315" t="e">
        <f t="shared" si="4"/>
        <v>#REF!</v>
      </c>
      <c r="AG22" s="315" t="e">
        <f t="shared" si="4"/>
        <v>#REF!</v>
      </c>
      <c r="AH22" s="315" t="e">
        <f t="shared" si="4"/>
        <v>#REF!</v>
      </c>
      <c r="AI22" s="315" t="e">
        <f t="shared" si="4"/>
        <v>#REF!</v>
      </c>
      <c r="AJ22" s="315" t="e">
        <f t="shared" si="4"/>
        <v>#REF!</v>
      </c>
      <c r="AK22" s="316" t="e">
        <f t="shared" si="4"/>
        <v>#REF!</v>
      </c>
    </row>
    <row r="23" spans="1:45" ht="15" hidden="1" outlineLevel="1" thickBot="1" x14ac:dyDescent="0.35">
      <c r="A23" s="247" t="s">
        <v>66</v>
      </c>
      <c r="B23" s="263" t="e">
        <f xml:space="preserve">
IF(B21="","",B20-B21)</f>
        <v>#REF!</v>
      </c>
      <c r="C23" s="264" t="e">
        <f t="shared" ref="C23:H23" si="5" xml:space="preserve">
IF(C21="","",C20-C21)</f>
        <v>#REF!</v>
      </c>
      <c r="D23" s="265" t="e">
        <f t="shared" si="5"/>
        <v>#REF!</v>
      </c>
      <c r="E23" s="265" t="e">
        <f t="shared" si="5"/>
        <v>#REF!</v>
      </c>
      <c r="F23" s="265" t="e">
        <f t="shared" si="5"/>
        <v>#REF!</v>
      </c>
      <c r="G23" s="265" t="e">
        <f t="shared" si="5"/>
        <v>#REF!</v>
      </c>
      <c r="H23" s="265" t="e">
        <f t="shared" si="5"/>
        <v>#REF!</v>
      </c>
      <c r="I23" s="265" t="e">
        <f t="shared" ref="I23:AK23" si="6" xml:space="preserve">
IF(I21="","",I20-I21)</f>
        <v>#REF!</v>
      </c>
      <c r="J23" s="265" t="e">
        <f t="shared" si="6"/>
        <v>#REF!</v>
      </c>
      <c r="K23" s="265" t="e">
        <f t="shared" si="6"/>
        <v>#REF!</v>
      </c>
      <c r="L23" s="265" t="e">
        <f t="shared" si="6"/>
        <v>#REF!</v>
      </c>
      <c r="M23" s="265" t="e">
        <f t="shared" si="6"/>
        <v>#REF!</v>
      </c>
      <c r="N23" s="265" t="e">
        <f t="shared" si="6"/>
        <v>#REF!</v>
      </c>
      <c r="O23" s="265" t="e">
        <f t="shared" si="6"/>
        <v>#REF!</v>
      </c>
      <c r="P23" s="265" t="e">
        <f t="shared" si="6"/>
        <v>#REF!</v>
      </c>
      <c r="Q23" s="265" t="e">
        <f t="shared" si="6"/>
        <v>#REF!</v>
      </c>
      <c r="R23" s="265" t="e">
        <f t="shared" si="6"/>
        <v>#REF!</v>
      </c>
      <c r="S23" s="265" t="e">
        <f t="shared" si="6"/>
        <v>#REF!</v>
      </c>
      <c r="T23" s="265" t="e">
        <f t="shared" si="6"/>
        <v>#REF!</v>
      </c>
      <c r="U23" s="265" t="e">
        <f t="shared" si="6"/>
        <v>#REF!</v>
      </c>
      <c r="V23" s="265" t="e">
        <f t="shared" si="6"/>
        <v>#REF!</v>
      </c>
      <c r="W23" s="265" t="e">
        <f t="shared" si="6"/>
        <v>#REF!</v>
      </c>
      <c r="X23" s="265" t="e">
        <f t="shared" si="6"/>
        <v>#REF!</v>
      </c>
      <c r="Y23" s="265" t="e">
        <f t="shared" si="6"/>
        <v>#REF!</v>
      </c>
      <c r="Z23" s="265" t="e">
        <f t="shared" si="6"/>
        <v>#REF!</v>
      </c>
      <c r="AA23" s="265" t="e">
        <f t="shared" si="6"/>
        <v>#REF!</v>
      </c>
      <c r="AB23" s="265" t="e">
        <f t="shared" si="6"/>
        <v>#REF!</v>
      </c>
      <c r="AC23" s="265" t="e">
        <f t="shared" si="6"/>
        <v>#REF!</v>
      </c>
      <c r="AD23" s="265" t="e">
        <f t="shared" si="6"/>
        <v>#REF!</v>
      </c>
      <c r="AE23" s="265" t="e">
        <f t="shared" si="6"/>
        <v>#REF!</v>
      </c>
      <c r="AF23" s="265" t="e">
        <f t="shared" si="6"/>
        <v>#REF!</v>
      </c>
      <c r="AG23" s="265" t="e">
        <f t="shared" si="6"/>
        <v>#REF!</v>
      </c>
      <c r="AH23" s="265" t="e">
        <f t="shared" si="6"/>
        <v>#REF!</v>
      </c>
      <c r="AI23" s="265" t="e">
        <f t="shared" si="6"/>
        <v>#REF!</v>
      </c>
      <c r="AJ23" s="265" t="e">
        <f t="shared" si="6"/>
        <v>#REF!</v>
      </c>
      <c r="AK23" s="266" t="e">
        <f t="shared" si="6"/>
        <v>#REF!</v>
      </c>
    </row>
    <row r="24" spans="1:45" x14ac:dyDescent="0.3">
      <c r="A24" s="241" t="s">
        <v>171</v>
      </c>
      <c r="B24" s="296" t="s">
        <v>3</v>
      </c>
      <c r="C24" s="404" t="s">
        <v>182</v>
      </c>
      <c r="D24" s="405"/>
      <c r="E24" s="405"/>
      <c r="F24" s="405"/>
      <c r="G24" s="406"/>
      <c r="H24" s="406"/>
      <c r="I24" s="406"/>
      <c r="J24" s="407"/>
      <c r="K24" s="410" t="s">
        <v>183</v>
      </c>
      <c r="L24" s="411"/>
      <c r="M24" s="411"/>
      <c r="N24" s="411"/>
      <c r="O24" s="411"/>
      <c r="P24" s="411"/>
      <c r="Q24" s="411"/>
      <c r="R24" s="411"/>
      <c r="S24" s="411"/>
      <c r="T24" s="411"/>
      <c r="U24" s="411"/>
      <c r="V24" s="411"/>
      <c r="W24" s="411"/>
      <c r="X24" s="411"/>
      <c r="Y24" s="411"/>
      <c r="Z24" s="411"/>
      <c r="AA24" s="411"/>
      <c r="AB24" s="411"/>
      <c r="AC24" s="411"/>
      <c r="AD24" s="411"/>
      <c r="AE24" s="411"/>
      <c r="AF24" s="411"/>
      <c r="AG24" s="411"/>
      <c r="AH24" s="411"/>
      <c r="AI24" s="411"/>
      <c r="AJ24" s="411"/>
      <c r="AK24" s="411"/>
      <c r="AL24" s="411"/>
      <c r="AM24" s="411"/>
      <c r="AN24" s="411"/>
      <c r="AO24" s="411"/>
      <c r="AP24" s="411"/>
      <c r="AQ24" s="411"/>
      <c r="AR24" s="412"/>
      <c r="AS24" s="318" t="s">
        <v>184</v>
      </c>
    </row>
    <row r="25" spans="1:45" x14ac:dyDescent="0.3">
      <c r="A25" s="242" t="s">
        <v>71</v>
      </c>
      <c r="B25" s="259" t="e">
        <f xml:space="preserve">
SUM(C25:AS25)</f>
        <v>#REF!</v>
      </c>
      <c r="C25" s="408" t="e">
        <f xml:space="preserve">
IF($A$4&lt;=12,SUMIFS(#REF!,#REF!,$A$4,#REF!,10),SUMIFS(#REF!,#REF!,10))</f>
        <v>#REF!</v>
      </c>
      <c r="D25" s="409"/>
      <c r="E25" s="409"/>
      <c r="F25" s="409"/>
      <c r="G25" s="396"/>
      <c r="H25" s="396"/>
      <c r="I25" s="396"/>
      <c r="J25" s="397"/>
      <c r="K25" s="413" t="e">
        <f xml:space="preserve">
IF($A$4&lt;=12,SUMIFS(#REF!,#REF!,$A$4,#REF!,10),SUMIFS(#REF!,#REF!,10))</f>
        <v>#REF!</v>
      </c>
      <c r="L25" s="396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6"/>
      <c r="AK25" s="396"/>
      <c r="AL25" s="396"/>
      <c r="AM25" s="396"/>
      <c r="AN25" s="396"/>
      <c r="AO25" s="396"/>
      <c r="AP25" s="396"/>
      <c r="AQ25" s="396"/>
      <c r="AR25" s="397"/>
      <c r="AS25" s="319" t="e">
        <f xml:space="preserve">
IF($A$4&lt;=12,SUMIFS(#REF!,#REF!,$A$4,#REF!,10),SUMIFS(#REF!,#REF!,10))</f>
        <v>#REF!</v>
      </c>
    </row>
    <row r="26" spans="1:45" x14ac:dyDescent="0.3">
      <c r="A26" s="248" t="s">
        <v>181</v>
      </c>
      <c r="B26" s="271" t="e">
        <f xml:space="preserve">
SUM(C26:AS26)</f>
        <v>#REF!</v>
      </c>
      <c r="C26" s="408" t="e">
        <f xml:space="preserve">
IF($A$4&lt;=12,SUMIFS(#REF!,#REF!,$A$4,#REF!,11),SUMIFS(#REF!,#REF!,11))</f>
        <v>#REF!</v>
      </c>
      <c r="D26" s="409"/>
      <c r="E26" s="409"/>
      <c r="F26" s="409"/>
      <c r="G26" s="396"/>
      <c r="H26" s="396"/>
      <c r="I26" s="396"/>
      <c r="J26" s="397"/>
      <c r="K26" s="414" t="e">
        <f xml:space="preserve">
IF($A$4&lt;=12,SUMIFS(#REF!,#REF!,$A$4,#REF!,11),SUMIFS(#REF!,#REF!,11))</f>
        <v>#REF!</v>
      </c>
      <c r="L26" s="415"/>
      <c r="M26" s="415"/>
      <c r="N26" s="415"/>
      <c r="O26" s="415"/>
      <c r="P26" s="415"/>
      <c r="Q26" s="415"/>
      <c r="R26" s="415"/>
      <c r="S26" s="415"/>
      <c r="T26" s="415"/>
      <c r="U26" s="415"/>
      <c r="V26" s="415"/>
      <c r="W26" s="415"/>
      <c r="X26" s="415"/>
      <c r="Y26" s="415"/>
      <c r="Z26" s="415"/>
      <c r="AA26" s="415"/>
      <c r="AB26" s="415"/>
      <c r="AC26" s="415"/>
      <c r="AD26" s="415"/>
      <c r="AE26" s="415"/>
      <c r="AF26" s="415"/>
      <c r="AG26" s="415"/>
      <c r="AH26" s="415"/>
      <c r="AI26" s="415"/>
      <c r="AJ26" s="415"/>
      <c r="AK26" s="415"/>
      <c r="AL26" s="415"/>
      <c r="AM26" s="415"/>
      <c r="AN26" s="415"/>
      <c r="AO26" s="415"/>
      <c r="AP26" s="415"/>
      <c r="AQ26" s="415"/>
      <c r="AR26" s="416"/>
      <c r="AS26" s="319" t="e">
        <f xml:space="preserve">
IF($A$4&lt;=12,SUMIFS(#REF!,#REF!,$A$4,#REF!,11),SUMIFS(#REF!,#REF!,11))</f>
        <v>#REF!</v>
      </c>
    </row>
    <row r="27" spans="1:45" x14ac:dyDescent="0.3">
      <c r="A27" s="248" t="s">
        <v>73</v>
      </c>
      <c r="B27" s="297" t="e">
        <f xml:space="preserve">
IF(B26=0,0,B25/B26)</f>
        <v>#REF!</v>
      </c>
      <c r="C27" s="394" t="e">
        <f xml:space="preserve">
IF(C26=0,0,C25/C26)</f>
        <v>#REF!</v>
      </c>
      <c r="D27" s="395"/>
      <c r="E27" s="395"/>
      <c r="F27" s="395"/>
      <c r="G27" s="396"/>
      <c r="H27" s="396"/>
      <c r="I27" s="396"/>
      <c r="J27" s="397"/>
      <c r="K27" s="402" t="e">
        <f xml:space="preserve">
IF(K26=0,0,K25/K26)</f>
        <v>#REF!</v>
      </c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96"/>
      <c r="AL27" s="396"/>
      <c r="AM27" s="396"/>
      <c r="AN27" s="396"/>
      <c r="AO27" s="396"/>
      <c r="AP27" s="396"/>
      <c r="AQ27" s="396"/>
      <c r="AR27" s="397"/>
      <c r="AS27" s="320" t="e">
        <f xml:space="preserve">
IF(AS26=0,0,AS25/AS26)</f>
        <v>#REF!</v>
      </c>
    </row>
    <row r="28" spans="1:45" ht="15" thickBot="1" x14ac:dyDescent="0.35">
      <c r="A28" s="248" t="s">
        <v>180</v>
      </c>
      <c r="B28" s="271" t="e">
        <f xml:space="preserve">
SUM(C28:AS28)</f>
        <v>#REF!</v>
      </c>
      <c r="C28" s="398" t="e">
        <f xml:space="preserve">
C26-C25</f>
        <v>#REF!</v>
      </c>
      <c r="D28" s="399"/>
      <c r="E28" s="399"/>
      <c r="F28" s="399"/>
      <c r="G28" s="400"/>
      <c r="H28" s="400"/>
      <c r="I28" s="400"/>
      <c r="J28" s="401"/>
      <c r="K28" s="403" t="e">
        <f xml:space="preserve">
K26-K25</f>
        <v>#REF!</v>
      </c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0"/>
      <c r="Z28" s="400"/>
      <c r="AA28" s="400"/>
      <c r="AB28" s="400"/>
      <c r="AC28" s="400"/>
      <c r="AD28" s="400"/>
      <c r="AE28" s="400"/>
      <c r="AF28" s="400"/>
      <c r="AG28" s="400"/>
      <c r="AH28" s="400"/>
      <c r="AI28" s="400"/>
      <c r="AJ28" s="400"/>
      <c r="AK28" s="400"/>
      <c r="AL28" s="400"/>
      <c r="AM28" s="400"/>
      <c r="AN28" s="400"/>
      <c r="AO28" s="400"/>
      <c r="AP28" s="400"/>
      <c r="AQ28" s="400"/>
      <c r="AR28" s="401"/>
      <c r="AS28" s="321" t="e">
        <f xml:space="preserve">
AS26-AS25</f>
        <v>#REF!</v>
      </c>
    </row>
    <row r="29" spans="1:45" x14ac:dyDescent="0.3">
      <c r="A29" s="249"/>
      <c r="B29" s="249"/>
      <c r="C29" s="250"/>
      <c r="D29" s="249"/>
      <c r="E29" s="249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49"/>
      <c r="AH29" s="249"/>
      <c r="AI29" s="249"/>
      <c r="AJ29" s="249"/>
      <c r="AK29" s="249"/>
    </row>
    <row r="30" spans="1:45" x14ac:dyDescent="0.3">
      <c r="A30" s="113" t="s">
        <v>152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51"/>
      <c r="AJ30" s="151"/>
      <c r="AK30" s="151"/>
    </row>
    <row r="31" spans="1:45" x14ac:dyDescent="0.3">
      <c r="A31" s="114" t="s">
        <v>178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51"/>
      <c r="AJ31" s="151"/>
      <c r="AK31" s="151"/>
    </row>
    <row r="32" spans="1:45" ht="14.4" customHeight="1" x14ac:dyDescent="0.3">
      <c r="A32" s="293" t="s">
        <v>175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</row>
    <row r="33" spans="1:1" x14ac:dyDescent="0.3">
      <c r="A33" s="295" t="s">
        <v>229</v>
      </c>
    </row>
    <row r="34" spans="1:1" x14ac:dyDescent="0.3">
      <c r="A34" s="295" t="s">
        <v>230</v>
      </c>
    </row>
    <row r="35" spans="1:1" x14ac:dyDescent="0.3">
      <c r="A35" s="295" t="s">
        <v>231</v>
      </c>
    </row>
    <row r="36" spans="1:1" x14ac:dyDescent="0.3">
      <c r="A36" s="295" t="s">
        <v>185</v>
      </c>
    </row>
  </sheetData>
  <mergeCells count="12">
    <mergeCell ref="B3:B4"/>
    <mergeCell ref="A1:AS1"/>
    <mergeCell ref="C27:J27"/>
    <mergeCell ref="C28:J28"/>
    <mergeCell ref="K27:AR27"/>
    <mergeCell ref="K28:AR28"/>
    <mergeCell ref="C24:J24"/>
    <mergeCell ref="C25:J25"/>
    <mergeCell ref="C26:J26"/>
    <mergeCell ref="K24:AR24"/>
    <mergeCell ref="K25:AR25"/>
    <mergeCell ref="K26:AR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AK22">
    <cfRule type="cellIs" dxfId="6" priority="6" operator="greaterThan">
      <formula>1</formula>
    </cfRule>
  </conditionalFormatting>
  <conditionalFormatting sqref="B23:AK23">
    <cfRule type="cellIs" dxfId="5" priority="5" operator="greaterThan">
      <formula>0</formula>
    </cfRule>
  </conditionalFormatting>
  <conditionalFormatting sqref="AS27">
    <cfRule type="cellIs" dxfId="4" priority="4" operator="greaterThan">
      <formula>1</formula>
    </cfRule>
  </conditionalFormatting>
  <conditionalFormatting sqref="AS28">
    <cfRule type="cellIs" dxfId="3" priority="3" operator="lessThan">
      <formula>0</formula>
    </cfRule>
  </conditionalFormatting>
  <conditionalFormatting sqref="K28">
    <cfRule type="cellIs" dxfId="2" priority="1" operator="lessThan">
      <formula>0</formula>
    </cfRule>
  </conditionalFormatting>
  <conditionalFormatting sqref="K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417" t="s">
        <v>469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0" t="s">
        <v>253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124</v>
      </c>
      <c r="B3" s="221">
        <f>SUBTOTAL(9,B6:B1048576)/2</f>
        <v>1119237</v>
      </c>
      <c r="C3" s="222">
        <f t="shared" ref="C3:R3" si="0">SUBTOTAL(9,C6:C1048576)</f>
        <v>2</v>
      </c>
      <c r="D3" s="222">
        <f>SUBTOTAL(9,D6:D1048576)/2</f>
        <v>1111190</v>
      </c>
      <c r="E3" s="222">
        <f t="shared" si="0"/>
        <v>0.77437397083906268</v>
      </c>
      <c r="F3" s="222">
        <f>SUBTOTAL(9,F6:F1048576)/2</f>
        <v>805581.00000000012</v>
      </c>
      <c r="G3" s="223">
        <f>IF(B3&lt;&gt;0,F3/B3,"")</f>
        <v>0.71975908587725401</v>
      </c>
      <c r="H3" s="224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5" t="str">
        <f>IF(H3&lt;&gt;0,L3/H3,"")</f>
        <v/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18" t="s">
        <v>218</v>
      </c>
      <c r="B4" s="419" t="s">
        <v>97</v>
      </c>
      <c r="C4" s="420"/>
      <c r="D4" s="420"/>
      <c r="E4" s="420"/>
      <c r="F4" s="420"/>
      <c r="G4" s="421"/>
      <c r="H4" s="419" t="s">
        <v>98</v>
      </c>
      <c r="I4" s="420"/>
      <c r="J4" s="420"/>
      <c r="K4" s="420"/>
      <c r="L4" s="420"/>
      <c r="M4" s="421"/>
      <c r="N4" s="419" t="s">
        <v>99</v>
      </c>
      <c r="O4" s="420"/>
      <c r="P4" s="420"/>
      <c r="Q4" s="420"/>
      <c r="R4" s="420"/>
      <c r="S4" s="421"/>
    </row>
    <row r="5" spans="1:19" ht="14.4" customHeight="1" thickBot="1" x14ac:dyDescent="0.35">
      <c r="A5" s="537"/>
      <c r="B5" s="538">
        <v>2014</v>
      </c>
      <c r="C5" s="539"/>
      <c r="D5" s="539">
        <v>2015</v>
      </c>
      <c r="E5" s="539"/>
      <c r="F5" s="539">
        <v>2016</v>
      </c>
      <c r="G5" s="540" t="s">
        <v>2</v>
      </c>
      <c r="H5" s="538">
        <v>2014</v>
      </c>
      <c r="I5" s="539"/>
      <c r="J5" s="539">
        <v>2015</v>
      </c>
      <c r="K5" s="539"/>
      <c r="L5" s="539">
        <v>2016</v>
      </c>
      <c r="M5" s="540" t="s">
        <v>2</v>
      </c>
      <c r="N5" s="538">
        <v>2014</v>
      </c>
      <c r="O5" s="539"/>
      <c r="P5" s="539">
        <v>2015</v>
      </c>
      <c r="Q5" s="539"/>
      <c r="R5" s="539">
        <v>2016</v>
      </c>
      <c r="S5" s="540" t="s">
        <v>2</v>
      </c>
    </row>
    <row r="6" spans="1:19" ht="14.4" customHeight="1" x14ac:dyDescent="0.3">
      <c r="A6" s="547" t="s">
        <v>466</v>
      </c>
      <c r="B6" s="541"/>
      <c r="C6" s="525"/>
      <c r="D6" s="541">
        <v>670184.32999999996</v>
      </c>
      <c r="E6" s="525"/>
      <c r="F6" s="541">
        <v>805330.00000000012</v>
      </c>
      <c r="G6" s="502"/>
      <c r="H6" s="541"/>
      <c r="I6" s="525"/>
      <c r="J6" s="541"/>
      <c r="K6" s="525"/>
      <c r="L6" s="541"/>
      <c r="M6" s="502"/>
      <c r="N6" s="541"/>
      <c r="O6" s="525"/>
      <c r="P6" s="541"/>
      <c r="Q6" s="525"/>
      <c r="R6" s="541"/>
      <c r="S6" s="122"/>
    </row>
    <row r="7" spans="1:19" ht="14.4" customHeight="1" x14ac:dyDescent="0.3">
      <c r="A7" s="548" t="s">
        <v>467</v>
      </c>
      <c r="B7" s="542"/>
      <c r="C7" s="529"/>
      <c r="D7" s="542">
        <v>7651.67</v>
      </c>
      <c r="E7" s="529"/>
      <c r="F7" s="542">
        <v>251</v>
      </c>
      <c r="G7" s="543"/>
      <c r="H7" s="542"/>
      <c r="I7" s="529"/>
      <c r="J7" s="542"/>
      <c r="K7" s="529"/>
      <c r="L7" s="542"/>
      <c r="M7" s="543"/>
      <c r="N7" s="542"/>
      <c r="O7" s="529"/>
      <c r="P7" s="542"/>
      <c r="Q7" s="529"/>
      <c r="R7" s="542"/>
      <c r="S7" s="544"/>
    </row>
    <row r="8" spans="1:19" ht="14.4" customHeight="1" thickBot="1" x14ac:dyDescent="0.35">
      <c r="A8" s="549" t="s">
        <v>468</v>
      </c>
      <c r="B8" s="545">
        <v>1119237</v>
      </c>
      <c r="C8" s="534">
        <v>1</v>
      </c>
      <c r="D8" s="545">
        <v>433354</v>
      </c>
      <c r="E8" s="534">
        <v>0.38718698541953134</v>
      </c>
      <c r="F8" s="545"/>
      <c r="G8" s="506"/>
      <c r="H8" s="545"/>
      <c r="I8" s="534"/>
      <c r="J8" s="545"/>
      <c r="K8" s="534"/>
      <c r="L8" s="545"/>
      <c r="M8" s="506"/>
      <c r="N8" s="545"/>
      <c r="O8" s="534"/>
      <c r="P8" s="545"/>
      <c r="Q8" s="534"/>
      <c r="R8" s="545"/>
      <c r="S8" s="546"/>
    </row>
    <row r="9" spans="1:19" ht="14.4" customHeight="1" thickBot="1" x14ac:dyDescent="0.35"/>
    <row r="10" spans="1:19" ht="14.4" customHeight="1" x14ac:dyDescent="0.3">
      <c r="A10" s="547" t="s">
        <v>314</v>
      </c>
      <c r="B10" s="541">
        <v>1119237</v>
      </c>
      <c r="C10" s="525">
        <v>1</v>
      </c>
      <c r="D10" s="541">
        <v>433354</v>
      </c>
      <c r="E10" s="525">
        <v>0.38718698541953134</v>
      </c>
      <c r="F10" s="541"/>
      <c r="G10" s="502"/>
      <c r="H10" s="541"/>
      <c r="I10" s="525"/>
      <c r="J10" s="541"/>
      <c r="K10" s="525"/>
      <c r="L10" s="541"/>
      <c r="M10" s="502"/>
      <c r="N10" s="541"/>
      <c r="O10" s="525"/>
      <c r="P10" s="541"/>
      <c r="Q10" s="525"/>
      <c r="R10" s="541"/>
      <c r="S10" s="122"/>
    </row>
    <row r="11" spans="1:19" ht="14.4" customHeight="1" thickBot="1" x14ac:dyDescent="0.35">
      <c r="A11" s="549" t="s">
        <v>334</v>
      </c>
      <c r="B11" s="545"/>
      <c r="C11" s="534"/>
      <c r="D11" s="545">
        <v>677836</v>
      </c>
      <c r="E11" s="534"/>
      <c r="F11" s="545">
        <v>805581.00000000012</v>
      </c>
      <c r="G11" s="506"/>
      <c r="H11" s="545"/>
      <c r="I11" s="534"/>
      <c r="J11" s="545"/>
      <c r="K11" s="534"/>
      <c r="L11" s="545"/>
      <c r="M11" s="506"/>
      <c r="N11" s="545"/>
      <c r="O11" s="534"/>
      <c r="P11" s="545"/>
      <c r="Q11" s="534"/>
      <c r="R11" s="545"/>
      <c r="S11" s="546"/>
    </row>
    <row r="12" spans="1:19" ht="14.4" customHeight="1" x14ac:dyDescent="0.3">
      <c r="A12" s="470" t="s">
        <v>320</v>
      </c>
    </row>
    <row r="13" spans="1:19" ht="14.4" customHeight="1" x14ac:dyDescent="0.3">
      <c r="A13" s="471" t="s">
        <v>321</v>
      </c>
    </row>
    <row r="14" spans="1:19" ht="14.4" customHeight="1" x14ac:dyDescent="0.3">
      <c r="A14" s="470" t="s">
        <v>470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417" t="s">
        <v>489</v>
      </c>
      <c r="B1" s="330"/>
      <c r="C1" s="330"/>
      <c r="D1" s="330"/>
      <c r="E1" s="330"/>
      <c r="F1" s="330"/>
      <c r="G1" s="330"/>
    </row>
    <row r="2" spans="1:7" ht="14.4" customHeight="1" thickBot="1" x14ac:dyDescent="0.35">
      <c r="A2" s="230" t="s">
        <v>253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124</v>
      </c>
      <c r="B3" s="310">
        <f t="shared" ref="B3:G3" si="0">SUBTOTAL(9,B6:B1048576)</f>
        <v>2324</v>
      </c>
      <c r="C3" s="311">
        <f t="shared" si="0"/>
        <v>2424</v>
      </c>
      <c r="D3" s="311">
        <f t="shared" si="0"/>
        <v>1685</v>
      </c>
      <c r="E3" s="224">
        <f t="shared" si="0"/>
        <v>1119237</v>
      </c>
      <c r="F3" s="222">
        <f t="shared" si="0"/>
        <v>1111190</v>
      </c>
      <c r="G3" s="312">
        <f t="shared" si="0"/>
        <v>805581.00000000012</v>
      </c>
    </row>
    <row r="4" spans="1:7" ht="14.4" customHeight="1" x14ac:dyDescent="0.3">
      <c r="A4" s="418" t="s">
        <v>131</v>
      </c>
      <c r="B4" s="419" t="s">
        <v>214</v>
      </c>
      <c r="C4" s="420"/>
      <c r="D4" s="420"/>
      <c r="E4" s="422" t="s">
        <v>97</v>
      </c>
      <c r="F4" s="423"/>
      <c r="G4" s="424"/>
    </row>
    <row r="5" spans="1:7" ht="14.4" customHeight="1" thickBot="1" x14ac:dyDescent="0.35">
      <c r="A5" s="537"/>
      <c r="B5" s="538">
        <v>2014</v>
      </c>
      <c r="C5" s="539">
        <v>2015</v>
      </c>
      <c r="D5" s="539">
        <v>2016</v>
      </c>
      <c r="E5" s="538">
        <v>2014</v>
      </c>
      <c r="F5" s="539">
        <v>2015</v>
      </c>
      <c r="G5" s="539">
        <v>2016</v>
      </c>
    </row>
    <row r="6" spans="1:7" ht="14.4" customHeight="1" x14ac:dyDescent="0.3">
      <c r="A6" s="547" t="s">
        <v>471</v>
      </c>
      <c r="B6" s="116"/>
      <c r="C6" s="116">
        <v>1</v>
      </c>
      <c r="D6" s="116">
        <v>31</v>
      </c>
      <c r="E6" s="541"/>
      <c r="F6" s="541">
        <v>36</v>
      </c>
      <c r="G6" s="550">
        <v>1279</v>
      </c>
    </row>
    <row r="7" spans="1:7" ht="14.4" customHeight="1" x14ac:dyDescent="0.3">
      <c r="A7" s="548" t="s">
        <v>472</v>
      </c>
      <c r="B7" s="532"/>
      <c r="C7" s="532"/>
      <c r="D7" s="532">
        <v>12</v>
      </c>
      <c r="E7" s="542"/>
      <c r="F7" s="542"/>
      <c r="G7" s="551">
        <v>466</v>
      </c>
    </row>
    <row r="8" spans="1:7" ht="14.4" customHeight="1" x14ac:dyDescent="0.3">
      <c r="A8" s="548" t="s">
        <v>473</v>
      </c>
      <c r="B8" s="532"/>
      <c r="C8" s="532">
        <v>7</v>
      </c>
      <c r="D8" s="532">
        <v>6</v>
      </c>
      <c r="E8" s="542"/>
      <c r="F8" s="542">
        <v>608</v>
      </c>
      <c r="G8" s="551">
        <v>332</v>
      </c>
    </row>
    <row r="9" spans="1:7" ht="14.4" customHeight="1" x14ac:dyDescent="0.3">
      <c r="A9" s="548" t="s">
        <v>474</v>
      </c>
      <c r="B9" s="532">
        <v>254</v>
      </c>
      <c r="C9" s="532">
        <v>67</v>
      </c>
      <c r="D9" s="532"/>
      <c r="E9" s="542">
        <v>56520</v>
      </c>
      <c r="F9" s="542">
        <v>11251.33</v>
      </c>
      <c r="G9" s="551"/>
    </row>
    <row r="10" spans="1:7" ht="14.4" customHeight="1" x14ac:dyDescent="0.3">
      <c r="A10" s="548" t="s">
        <v>475</v>
      </c>
      <c r="B10" s="532">
        <v>5</v>
      </c>
      <c r="C10" s="532"/>
      <c r="D10" s="532"/>
      <c r="E10" s="542">
        <v>936</v>
      </c>
      <c r="F10" s="542"/>
      <c r="G10" s="551"/>
    </row>
    <row r="11" spans="1:7" ht="14.4" customHeight="1" x14ac:dyDescent="0.3">
      <c r="A11" s="548" t="s">
        <v>476</v>
      </c>
      <c r="B11" s="532"/>
      <c r="C11" s="532">
        <v>22</v>
      </c>
      <c r="D11" s="532"/>
      <c r="E11" s="542"/>
      <c r="F11" s="542">
        <v>5764</v>
      </c>
      <c r="G11" s="551"/>
    </row>
    <row r="12" spans="1:7" ht="14.4" customHeight="1" x14ac:dyDescent="0.3">
      <c r="A12" s="548" t="s">
        <v>477</v>
      </c>
      <c r="B12" s="532"/>
      <c r="C12" s="532"/>
      <c r="D12" s="532">
        <v>5</v>
      </c>
      <c r="E12" s="542"/>
      <c r="F12" s="542"/>
      <c r="G12" s="551">
        <v>207</v>
      </c>
    </row>
    <row r="13" spans="1:7" ht="14.4" customHeight="1" x14ac:dyDescent="0.3">
      <c r="A13" s="548" t="s">
        <v>478</v>
      </c>
      <c r="B13" s="532"/>
      <c r="C13" s="532">
        <v>1</v>
      </c>
      <c r="D13" s="532"/>
      <c r="E13" s="542"/>
      <c r="F13" s="542">
        <v>125</v>
      </c>
      <c r="G13" s="551"/>
    </row>
    <row r="14" spans="1:7" ht="14.4" customHeight="1" x14ac:dyDescent="0.3">
      <c r="A14" s="548" t="s">
        <v>479</v>
      </c>
      <c r="B14" s="532"/>
      <c r="C14" s="532">
        <v>1</v>
      </c>
      <c r="D14" s="532">
        <v>1</v>
      </c>
      <c r="E14" s="542"/>
      <c r="F14" s="542">
        <v>125</v>
      </c>
      <c r="G14" s="551">
        <v>37</v>
      </c>
    </row>
    <row r="15" spans="1:7" ht="14.4" customHeight="1" x14ac:dyDescent="0.3">
      <c r="A15" s="548" t="s">
        <v>480</v>
      </c>
      <c r="B15" s="532"/>
      <c r="C15" s="532"/>
      <c r="D15" s="532">
        <v>1</v>
      </c>
      <c r="E15" s="542"/>
      <c r="F15" s="542"/>
      <c r="G15" s="551">
        <v>59</v>
      </c>
    </row>
    <row r="16" spans="1:7" ht="14.4" customHeight="1" x14ac:dyDescent="0.3">
      <c r="A16" s="548" t="s">
        <v>323</v>
      </c>
      <c r="B16" s="532">
        <v>163</v>
      </c>
      <c r="C16" s="532">
        <v>101</v>
      </c>
      <c r="D16" s="532">
        <v>1</v>
      </c>
      <c r="E16" s="542">
        <v>35966</v>
      </c>
      <c r="F16" s="542">
        <v>16787.669999999998</v>
      </c>
      <c r="G16" s="551">
        <v>251</v>
      </c>
    </row>
    <row r="17" spans="1:7" ht="14.4" customHeight="1" x14ac:dyDescent="0.3">
      <c r="A17" s="548" t="s">
        <v>481</v>
      </c>
      <c r="B17" s="532">
        <v>1030</v>
      </c>
      <c r="C17" s="532">
        <v>361</v>
      </c>
      <c r="D17" s="532"/>
      <c r="E17" s="542">
        <v>478107</v>
      </c>
      <c r="F17" s="542">
        <v>173515</v>
      </c>
      <c r="G17" s="551"/>
    </row>
    <row r="18" spans="1:7" ht="14.4" customHeight="1" x14ac:dyDescent="0.3">
      <c r="A18" s="548" t="s">
        <v>482</v>
      </c>
      <c r="B18" s="532"/>
      <c r="C18" s="532">
        <v>6</v>
      </c>
      <c r="D18" s="532">
        <v>4</v>
      </c>
      <c r="E18" s="542"/>
      <c r="F18" s="542">
        <v>216</v>
      </c>
      <c r="G18" s="551">
        <v>170</v>
      </c>
    </row>
    <row r="19" spans="1:7" ht="14.4" customHeight="1" x14ac:dyDescent="0.3">
      <c r="A19" s="548" t="s">
        <v>483</v>
      </c>
      <c r="B19" s="532"/>
      <c r="C19" s="532">
        <v>11</v>
      </c>
      <c r="D19" s="532">
        <v>5</v>
      </c>
      <c r="E19" s="542"/>
      <c r="F19" s="542">
        <v>875</v>
      </c>
      <c r="G19" s="551">
        <v>229</v>
      </c>
    </row>
    <row r="20" spans="1:7" ht="14.4" customHeight="1" x14ac:dyDescent="0.3">
      <c r="A20" s="548" t="s">
        <v>484</v>
      </c>
      <c r="B20" s="532"/>
      <c r="C20" s="532">
        <v>10</v>
      </c>
      <c r="D20" s="532">
        <v>3</v>
      </c>
      <c r="E20" s="542"/>
      <c r="F20" s="542">
        <v>716</v>
      </c>
      <c r="G20" s="551">
        <v>133</v>
      </c>
    </row>
    <row r="21" spans="1:7" ht="14.4" customHeight="1" x14ac:dyDescent="0.3">
      <c r="A21" s="548" t="s">
        <v>485</v>
      </c>
      <c r="B21" s="532"/>
      <c r="C21" s="532"/>
      <c r="D21" s="532">
        <v>10</v>
      </c>
      <c r="E21" s="542"/>
      <c r="F21" s="542"/>
      <c r="G21" s="551">
        <v>370</v>
      </c>
    </row>
    <row r="22" spans="1:7" ht="14.4" customHeight="1" x14ac:dyDescent="0.3">
      <c r="A22" s="548" t="s">
        <v>486</v>
      </c>
      <c r="B22" s="532">
        <v>872</v>
      </c>
      <c r="C22" s="532">
        <v>1830</v>
      </c>
      <c r="D22" s="532">
        <v>1604</v>
      </c>
      <c r="E22" s="542">
        <v>547708</v>
      </c>
      <c r="F22" s="542">
        <v>900688</v>
      </c>
      <c r="G22" s="551">
        <v>801974.00000000012</v>
      </c>
    </row>
    <row r="23" spans="1:7" ht="14.4" customHeight="1" x14ac:dyDescent="0.3">
      <c r="A23" s="548" t="s">
        <v>487</v>
      </c>
      <c r="B23" s="532"/>
      <c r="C23" s="532">
        <v>1</v>
      </c>
      <c r="D23" s="532">
        <v>1</v>
      </c>
      <c r="E23" s="542"/>
      <c r="F23" s="542">
        <v>125</v>
      </c>
      <c r="G23" s="551">
        <v>37</v>
      </c>
    </row>
    <row r="24" spans="1:7" ht="14.4" customHeight="1" thickBot="1" x14ac:dyDescent="0.35">
      <c r="A24" s="549" t="s">
        <v>488</v>
      </c>
      <c r="B24" s="505"/>
      <c r="C24" s="505">
        <v>5</v>
      </c>
      <c r="D24" s="505">
        <v>1</v>
      </c>
      <c r="E24" s="545"/>
      <c r="F24" s="545">
        <v>358</v>
      </c>
      <c r="G24" s="552">
        <v>37</v>
      </c>
    </row>
    <row r="25" spans="1:7" ht="14.4" customHeight="1" x14ac:dyDescent="0.3">
      <c r="A25" s="470" t="s">
        <v>320</v>
      </c>
    </row>
    <row r="26" spans="1:7" ht="14.4" customHeight="1" x14ac:dyDescent="0.3">
      <c r="A26" s="471" t="s">
        <v>321</v>
      </c>
    </row>
    <row r="27" spans="1:7" ht="14.4" customHeight="1" x14ac:dyDescent="0.3">
      <c r="A27" s="470" t="s">
        <v>470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7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30" t="s">
        <v>527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0" t="s">
        <v>253</v>
      </c>
      <c r="B2" s="317"/>
      <c r="C2" s="131"/>
      <c r="D2" s="309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124</v>
      </c>
      <c r="F3" s="102">
        <f t="shared" ref="F3:O3" si="0">SUBTOTAL(9,F6:F1048576)</f>
        <v>2324</v>
      </c>
      <c r="G3" s="103">
        <f t="shared" si="0"/>
        <v>1119237</v>
      </c>
      <c r="H3" s="74"/>
      <c r="I3" s="74"/>
      <c r="J3" s="103">
        <f t="shared" si="0"/>
        <v>2424</v>
      </c>
      <c r="K3" s="103">
        <f t="shared" si="0"/>
        <v>1111190</v>
      </c>
      <c r="L3" s="74"/>
      <c r="M3" s="74"/>
      <c r="N3" s="103">
        <f t="shared" si="0"/>
        <v>1685</v>
      </c>
      <c r="O3" s="103">
        <f t="shared" si="0"/>
        <v>805581</v>
      </c>
      <c r="P3" s="75">
        <f>IF(G3=0,0,O3/G3)</f>
        <v>0.7197590858772539</v>
      </c>
      <c r="Q3" s="104">
        <f>IF(N3=0,0,O3/N3)</f>
        <v>478.08961424332347</v>
      </c>
    </row>
    <row r="4" spans="1:17" ht="14.4" customHeight="1" x14ac:dyDescent="0.3">
      <c r="A4" s="426" t="s">
        <v>93</v>
      </c>
      <c r="B4" s="433" t="s">
        <v>0</v>
      </c>
      <c r="C4" s="427" t="s">
        <v>94</v>
      </c>
      <c r="D4" s="432" t="s">
        <v>69</v>
      </c>
      <c r="E4" s="428" t="s">
        <v>68</v>
      </c>
      <c r="F4" s="429">
        <v>2014</v>
      </c>
      <c r="G4" s="430"/>
      <c r="H4" s="101"/>
      <c r="I4" s="101"/>
      <c r="J4" s="429">
        <v>2015</v>
      </c>
      <c r="K4" s="430"/>
      <c r="L4" s="101"/>
      <c r="M4" s="101"/>
      <c r="N4" s="429">
        <v>2016</v>
      </c>
      <c r="O4" s="430"/>
      <c r="P4" s="431" t="s">
        <v>2</v>
      </c>
      <c r="Q4" s="425" t="s">
        <v>96</v>
      </c>
    </row>
    <row r="5" spans="1:17" ht="14.4" customHeight="1" thickBot="1" x14ac:dyDescent="0.35">
      <c r="A5" s="553"/>
      <c r="B5" s="554"/>
      <c r="C5" s="555"/>
      <c r="D5" s="556"/>
      <c r="E5" s="557"/>
      <c r="F5" s="558" t="s">
        <v>70</v>
      </c>
      <c r="G5" s="559" t="s">
        <v>13</v>
      </c>
      <c r="H5" s="560"/>
      <c r="I5" s="560"/>
      <c r="J5" s="558" t="s">
        <v>70</v>
      </c>
      <c r="K5" s="559" t="s">
        <v>13</v>
      </c>
      <c r="L5" s="560"/>
      <c r="M5" s="560"/>
      <c r="N5" s="558" t="s">
        <v>70</v>
      </c>
      <c r="O5" s="559" t="s">
        <v>13</v>
      </c>
      <c r="P5" s="561"/>
      <c r="Q5" s="562"/>
    </row>
    <row r="6" spans="1:17" ht="14.4" customHeight="1" x14ac:dyDescent="0.3">
      <c r="A6" s="501" t="s">
        <v>490</v>
      </c>
      <c r="B6" s="525" t="s">
        <v>334</v>
      </c>
      <c r="C6" s="525" t="s">
        <v>491</v>
      </c>
      <c r="D6" s="525" t="s">
        <v>492</v>
      </c>
      <c r="E6" s="525" t="s">
        <v>493</v>
      </c>
      <c r="F6" s="116"/>
      <c r="G6" s="116"/>
      <c r="H6" s="525"/>
      <c r="I6" s="525"/>
      <c r="J6" s="116">
        <v>125</v>
      </c>
      <c r="K6" s="116">
        <v>4375</v>
      </c>
      <c r="L6" s="525"/>
      <c r="M6" s="525">
        <v>35</v>
      </c>
      <c r="N6" s="116">
        <v>215</v>
      </c>
      <c r="O6" s="116">
        <v>7955</v>
      </c>
      <c r="P6" s="502"/>
      <c r="Q6" s="503">
        <v>37</v>
      </c>
    </row>
    <row r="7" spans="1:17" ht="14.4" customHeight="1" x14ac:dyDescent="0.3">
      <c r="A7" s="528" t="s">
        <v>490</v>
      </c>
      <c r="B7" s="529" t="s">
        <v>334</v>
      </c>
      <c r="C7" s="529" t="s">
        <v>491</v>
      </c>
      <c r="D7" s="529" t="s">
        <v>494</v>
      </c>
      <c r="E7" s="529" t="s">
        <v>495</v>
      </c>
      <c r="F7" s="532"/>
      <c r="G7" s="532"/>
      <c r="H7" s="529"/>
      <c r="I7" s="529"/>
      <c r="J7" s="532">
        <v>73</v>
      </c>
      <c r="K7" s="532">
        <v>31974</v>
      </c>
      <c r="L7" s="529"/>
      <c r="M7" s="529">
        <v>438</v>
      </c>
      <c r="N7" s="532">
        <v>84</v>
      </c>
      <c r="O7" s="532">
        <v>39396</v>
      </c>
      <c r="P7" s="543"/>
      <c r="Q7" s="533">
        <v>469</v>
      </c>
    </row>
    <row r="8" spans="1:17" ht="14.4" customHeight="1" x14ac:dyDescent="0.3">
      <c r="A8" s="528" t="s">
        <v>490</v>
      </c>
      <c r="B8" s="529" t="s">
        <v>334</v>
      </c>
      <c r="C8" s="529" t="s">
        <v>491</v>
      </c>
      <c r="D8" s="529" t="s">
        <v>496</v>
      </c>
      <c r="E8" s="529" t="s">
        <v>497</v>
      </c>
      <c r="F8" s="532"/>
      <c r="G8" s="532"/>
      <c r="H8" s="529"/>
      <c r="I8" s="529"/>
      <c r="J8" s="532">
        <v>75</v>
      </c>
      <c r="K8" s="532">
        <v>1533.33</v>
      </c>
      <c r="L8" s="529"/>
      <c r="M8" s="529">
        <v>20.444399999999998</v>
      </c>
      <c r="N8" s="532">
        <v>96</v>
      </c>
      <c r="O8" s="532">
        <v>3200</v>
      </c>
      <c r="P8" s="543"/>
      <c r="Q8" s="533">
        <v>33.333333333333336</v>
      </c>
    </row>
    <row r="9" spans="1:17" ht="14.4" customHeight="1" x14ac:dyDescent="0.3">
      <c r="A9" s="528" t="s">
        <v>490</v>
      </c>
      <c r="B9" s="529" t="s">
        <v>334</v>
      </c>
      <c r="C9" s="529" t="s">
        <v>491</v>
      </c>
      <c r="D9" s="529" t="s">
        <v>498</v>
      </c>
      <c r="E9" s="529" t="s">
        <v>499</v>
      </c>
      <c r="F9" s="532"/>
      <c r="G9" s="532"/>
      <c r="H9" s="529"/>
      <c r="I9" s="529"/>
      <c r="J9" s="532">
        <v>25</v>
      </c>
      <c r="K9" s="532">
        <v>900</v>
      </c>
      <c r="L9" s="529"/>
      <c r="M9" s="529">
        <v>36</v>
      </c>
      <c r="N9" s="532">
        <v>63</v>
      </c>
      <c r="O9" s="532">
        <v>2331</v>
      </c>
      <c r="P9" s="543"/>
      <c r="Q9" s="533">
        <v>37</v>
      </c>
    </row>
    <row r="10" spans="1:17" ht="14.4" customHeight="1" x14ac:dyDescent="0.3">
      <c r="A10" s="528" t="s">
        <v>490</v>
      </c>
      <c r="B10" s="529" t="s">
        <v>334</v>
      </c>
      <c r="C10" s="529" t="s">
        <v>491</v>
      </c>
      <c r="D10" s="529" t="s">
        <v>500</v>
      </c>
      <c r="E10" s="529" t="s">
        <v>501</v>
      </c>
      <c r="F10" s="532"/>
      <c r="G10" s="532"/>
      <c r="H10" s="529"/>
      <c r="I10" s="529"/>
      <c r="J10" s="532">
        <v>19</v>
      </c>
      <c r="K10" s="532">
        <v>2375</v>
      </c>
      <c r="L10" s="529"/>
      <c r="M10" s="529">
        <v>125</v>
      </c>
      <c r="N10" s="532"/>
      <c r="O10" s="532"/>
      <c r="P10" s="543"/>
      <c r="Q10" s="533"/>
    </row>
    <row r="11" spans="1:17" ht="14.4" customHeight="1" x14ac:dyDescent="0.3">
      <c r="A11" s="528" t="s">
        <v>490</v>
      </c>
      <c r="B11" s="529" t="s">
        <v>334</v>
      </c>
      <c r="C11" s="529" t="s">
        <v>491</v>
      </c>
      <c r="D11" s="529" t="s">
        <v>502</v>
      </c>
      <c r="E11" s="529" t="s">
        <v>503</v>
      </c>
      <c r="F11" s="532"/>
      <c r="G11" s="532"/>
      <c r="H11" s="529"/>
      <c r="I11" s="529"/>
      <c r="J11" s="532">
        <v>2</v>
      </c>
      <c r="K11" s="532">
        <v>1306</v>
      </c>
      <c r="L11" s="529"/>
      <c r="M11" s="529">
        <v>653</v>
      </c>
      <c r="N11" s="532"/>
      <c r="O11" s="532"/>
      <c r="P11" s="543"/>
      <c r="Q11" s="533"/>
    </row>
    <row r="12" spans="1:17" ht="14.4" customHeight="1" x14ac:dyDescent="0.3">
      <c r="A12" s="528" t="s">
        <v>490</v>
      </c>
      <c r="B12" s="529" t="s">
        <v>334</v>
      </c>
      <c r="C12" s="529" t="s">
        <v>491</v>
      </c>
      <c r="D12" s="529" t="s">
        <v>504</v>
      </c>
      <c r="E12" s="529" t="s">
        <v>505</v>
      </c>
      <c r="F12" s="532"/>
      <c r="G12" s="532"/>
      <c r="H12" s="529"/>
      <c r="I12" s="529"/>
      <c r="J12" s="532">
        <v>5</v>
      </c>
      <c r="K12" s="532">
        <v>1095</v>
      </c>
      <c r="L12" s="529"/>
      <c r="M12" s="529">
        <v>219</v>
      </c>
      <c r="N12" s="532">
        <v>13</v>
      </c>
      <c r="O12" s="532">
        <v>3055</v>
      </c>
      <c r="P12" s="543"/>
      <c r="Q12" s="533">
        <v>235</v>
      </c>
    </row>
    <row r="13" spans="1:17" ht="14.4" customHeight="1" x14ac:dyDescent="0.3">
      <c r="A13" s="528" t="s">
        <v>490</v>
      </c>
      <c r="B13" s="529" t="s">
        <v>334</v>
      </c>
      <c r="C13" s="529" t="s">
        <v>491</v>
      </c>
      <c r="D13" s="529" t="s">
        <v>506</v>
      </c>
      <c r="E13" s="529" t="s">
        <v>507</v>
      </c>
      <c r="F13" s="532"/>
      <c r="G13" s="532"/>
      <c r="H13" s="529"/>
      <c r="I13" s="529"/>
      <c r="J13" s="532">
        <v>1</v>
      </c>
      <c r="K13" s="532">
        <v>70</v>
      </c>
      <c r="L13" s="529"/>
      <c r="M13" s="529">
        <v>70</v>
      </c>
      <c r="N13" s="532"/>
      <c r="O13" s="532"/>
      <c r="P13" s="543"/>
      <c r="Q13" s="533"/>
    </row>
    <row r="14" spans="1:17" ht="14.4" customHeight="1" x14ac:dyDescent="0.3">
      <c r="A14" s="528" t="s">
        <v>490</v>
      </c>
      <c r="B14" s="529" t="s">
        <v>334</v>
      </c>
      <c r="C14" s="529" t="s">
        <v>491</v>
      </c>
      <c r="D14" s="529" t="s">
        <v>508</v>
      </c>
      <c r="E14" s="529" t="s">
        <v>509</v>
      </c>
      <c r="F14" s="532"/>
      <c r="G14" s="532"/>
      <c r="H14" s="529"/>
      <c r="I14" s="529"/>
      <c r="J14" s="532"/>
      <c r="K14" s="532"/>
      <c r="L14" s="529"/>
      <c r="M14" s="529"/>
      <c r="N14" s="532">
        <v>19</v>
      </c>
      <c r="O14" s="532">
        <v>1121</v>
      </c>
      <c r="P14" s="543"/>
      <c r="Q14" s="533">
        <v>59</v>
      </c>
    </row>
    <row r="15" spans="1:17" ht="14.4" customHeight="1" x14ac:dyDescent="0.3">
      <c r="A15" s="528" t="s">
        <v>490</v>
      </c>
      <c r="B15" s="529" t="s">
        <v>334</v>
      </c>
      <c r="C15" s="529" t="s">
        <v>491</v>
      </c>
      <c r="D15" s="529" t="s">
        <v>510</v>
      </c>
      <c r="E15" s="529" t="s">
        <v>511</v>
      </c>
      <c r="F15" s="532"/>
      <c r="G15" s="532"/>
      <c r="H15" s="529"/>
      <c r="I15" s="529"/>
      <c r="J15" s="532">
        <v>1059</v>
      </c>
      <c r="K15" s="532">
        <v>277458</v>
      </c>
      <c r="L15" s="529"/>
      <c r="M15" s="529">
        <v>262</v>
      </c>
      <c r="N15" s="532">
        <v>1063</v>
      </c>
      <c r="O15" s="532">
        <v>278506</v>
      </c>
      <c r="P15" s="543"/>
      <c r="Q15" s="533">
        <v>262</v>
      </c>
    </row>
    <row r="16" spans="1:17" ht="14.4" customHeight="1" x14ac:dyDescent="0.3">
      <c r="A16" s="528" t="s">
        <v>490</v>
      </c>
      <c r="B16" s="529" t="s">
        <v>334</v>
      </c>
      <c r="C16" s="529" t="s">
        <v>491</v>
      </c>
      <c r="D16" s="529" t="s">
        <v>512</v>
      </c>
      <c r="E16" s="529" t="s">
        <v>513</v>
      </c>
      <c r="F16" s="532"/>
      <c r="G16" s="532"/>
      <c r="H16" s="529"/>
      <c r="I16" s="529"/>
      <c r="J16" s="532">
        <v>93</v>
      </c>
      <c r="K16" s="532">
        <v>333498</v>
      </c>
      <c r="L16" s="529"/>
      <c r="M16" s="529">
        <v>3586</v>
      </c>
      <c r="N16" s="532">
        <v>131</v>
      </c>
      <c r="O16" s="532">
        <v>469766</v>
      </c>
      <c r="P16" s="543"/>
      <c r="Q16" s="533">
        <v>3586</v>
      </c>
    </row>
    <row r="17" spans="1:17" ht="14.4" customHeight="1" x14ac:dyDescent="0.3">
      <c r="A17" s="528" t="s">
        <v>490</v>
      </c>
      <c r="B17" s="529" t="s">
        <v>334</v>
      </c>
      <c r="C17" s="529" t="s">
        <v>491</v>
      </c>
      <c r="D17" s="529" t="s">
        <v>514</v>
      </c>
      <c r="E17" s="529" t="s">
        <v>513</v>
      </c>
      <c r="F17" s="532"/>
      <c r="G17" s="532"/>
      <c r="H17" s="529"/>
      <c r="I17" s="529"/>
      <c r="J17" s="532">
        <v>3</v>
      </c>
      <c r="K17" s="532">
        <v>15600</v>
      </c>
      <c r="L17" s="529"/>
      <c r="M17" s="529">
        <v>5200</v>
      </c>
      <c r="N17" s="532"/>
      <c r="O17" s="532"/>
      <c r="P17" s="543"/>
      <c r="Q17" s="533"/>
    </row>
    <row r="18" spans="1:17" ht="14.4" customHeight="1" x14ac:dyDescent="0.3">
      <c r="A18" s="528" t="s">
        <v>515</v>
      </c>
      <c r="B18" s="529" t="s">
        <v>334</v>
      </c>
      <c r="C18" s="529" t="s">
        <v>491</v>
      </c>
      <c r="D18" s="529" t="s">
        <v>516</v>
      </c>
      <c r="E18" s="529" t="s">
        <v>517</v>
      </c>
      <c r="F18" s="532"/>
      <c r="G18" s="532"/>
      <c r="H18" s="529"/>
      <c r="I18" s="529"/>
      <c r="J18" s="532">
        <v>31</v>
      </c>
      <c r="K18" s="532">
        <v>7285</v>
      </c>
      <c r="L18" s="529"/>
      <c r="M18" s="529">
        <v>235</v>
      </c>
      <c r="N18" s="532">
        <v>1</v>
      </c>
      <c r="O18" s="532">
        <v>251</v>
      </c>
      <c r="P18" s="543"/>
      <c r="Q18" s="533">
        <v>251</v>
      </c>
    </row>
    <row r="19" spans="1:17" ht="14.4" customHeight="1" x14ac:dyDescent="0.3">
      <c r="A19" s="528" t="s">
        <v>515</v>
      </c>
      <c r="B19" s="529" t="s">
        <v>334</v>
      </c>
      <c r="C19" s="529" t="s">
        <v>491</v>
      </c>
      <c r="D19" s="529" t="s">
        <v>496</v>
      </c>
      <c r="E19" s="529" t="s">
        <v>497</v>
      </c>
      <c r="F19" s="532"/>
      <c r="G19" s="532"/>
      <c r="H19" s="529"/>
      <c r="I19" s="529"/>
      <c r="J19" s="532">
        <v>31</v>
      </c>
      <c r="K19" s="532">
        <v>366.67</v>
      </c>
      <c r="L19" s="529"/>
      <c r="M19" s="529">
        <v>11.828064516129032</v>
      </c>
      <c r="N19" s="532"/>
      <c r="O19" s="532"/>
      <c r="P19" s="543"/>
      <c r="Q19" s="533"/>
    </row>
    <row r="20" spans="1:17" ht="14.4" customHeight="1" x14ac:dyDescent="0.3">
      <c r="A20" s="528" t="s">
        <v>518</v>
      </c>
      <c r="B20" s="529" t="s">
        <v>314</v>
      </c>
      <c r="C20" s="529" t="s">
        <v>491</v>
      </c>
      <c r="D20" s="529" t="s">
        <v>519</v>
      </c>
      <c r="E20" s="529" t="s">
        <v>520</v>
      </c>
      <c r="F20" s="532">
        <v>131</v>
      </c>
      <c r="G20" s="532">
        <v>44440</v>
      </c>
      <c r="H20" s="529">
        <v>1</v>
      </c>
      <c r="I20" s="529">
        <v>339.23664122137404</v>
      </c>
      <c r="J20" s="532">
        <v>19</v>
      </c>
      <c r="K20" s="532">
        <v>6498</v>
      </c>
      <c r="L20" s="529">
        <v>0.14621962196219623</v>
      </c>
      <c r="M20" s="529">
        <v>342</v>
      </c>
      <c r="N20" s="532"/>
      <c r="O20" s="532"/>
      <c r="P20" s="543"/>
      <c r="Q20" s="533"/>
    </row>
    <row r="21" spans="1:17" ht="14.4" customHeight="1" x14ac:dyDescent="0.3">
      <c r="A21" s="528" t="s">
        <v>518</v>
      </c>
      <c r="B21" s="529" t="s">
        <v>314</v>
      </c>
      <c r="C21" s="529" t="s">
        <v>491</v>
      </c>
      <c r="D21" s="529" t="s">
        <v>492</v>
      </c>
      <c r="E21" s="529" t="s">
        <v>493</v>
      </c>
      <c r="F21" s="532">
        <v>3</v>
      </c>
      <c r="G21" s="532">
        <v>105</v>
      </c>
      <c r="H21" s="529">
        <v>1</v>
      </c>
      <c r="I21" s="529">
        <v>35</v>
      </c>
      <c r="J21" s="532">
        <v>3</v>
      </c>
      <c r="K21" s="532">
        <v>105</v>
      </c>
      <c r="L21" s="529">
        <v>1</v>
      </c>
      <c r="M21" s="529">
        <v>35</v>
      </c>
      <c r="N21" s="532"/>
      <c r="O21" s="532"/>
      <c r="P21" s="543"/>
      <c r="Q21" s="533"/>
    </row>
    <row r="22" spans="1:17" ht="14.4" customHeight="1" x14ac:dyDescent="0.3">
      <c r="A22" s="528" t="s">
        <v>518</v>
      </c>
      <c r="B22" s="529" t="s">
        <v>314</v>
      </c>
      <c r="C22" s="529" t="s">
        <v>491</v>
      </c>
      <c r="D22" s="529" t="s">
        <v>521</v>
      </c>
      <c r="E22" s="529" t="s">
        <v>522</v>
      </c>
      <c r="F22" s="532">
        <v>253</v>
      </c>
      <c r="G22" s="532">
        <v>59058</v>
      </c>
      <c r="H22" s="529">
        <v>1</v>
      </c>
      <c r="I22" s="529">
        <v>233.43083003952569</v>
      </c>
      <c r="J22" s="532">
        <v>67</v>
      </c>
      <c r="K22" s="532">
        <v>15745</v>
      </c>
      <c r="L22" s="529">
        <v>0.26660232313996413</v>
      </c>
      <c r="M22" s="529">
        <v>235</v>
      </c>
      <c r="N22" s="532"/>
      <c r="O22" s="532"/>
      <c r="P22" s="543"/>
      <c r="Q22" s="533"/>
    </row>
    <row r="23" spans="1:17" ht="14.4" customHeight="1" x14ac:dyDescent="0.3">
      <c r="A23" s="528" t="s">
        <v>518</v>
      </c>
      <c r="B23" s="529" t="s">
        <v>314</v>
      </c>
      <c r="C23" s="529" t="s">
        <v>491</v>
      </c>
      <c r="D23" s="529" t="s">
        <v>496</v>
      </c>
      <c r="E23" s="529" t="s">
        <v>497</v>
      </c>
      <c r="F23" s="532">
        <v>77</v>
      </c>
      <c r="G23" s="532">
        <v>0</v>
      </c>
      <c r="H23" s="529"/>
      <c r="I23" s="529">
        <v>0</v>
      </c>
      <c r="J23" s="532"/>
      <c r="K23" s="532"/>
      <c r="L23" s="529"/>
      <c r="M23" s="529"/>
      <c r="N23" s="532"/>
      <c r="O23" s="532"/>
      <c r="P23" s="543"/>
      <c r="Q23" s="533"/>
    </row>
    <row r="24" spans="1:17" ht="14.4" customHeight="1" x14ac:dyDescent="0.3">
      <c r="A24" s="528" t="s">
        <v>518</v>
      </c>
      <c r="B24" s="529" t="s">
        <v>314</v>
      </c>
      <c r="C24" s="529" t="s">
        <v>491</v>
      </c>
      <c r="D24" s="529" t="s">
        <v>523</v>
      </c>
      <c r="E24" s="529" t="s">
        <v>524</v>
      </c>
      <c r="F24" s="532">
        <v>122</v>
      </c>
      <c r="G24" s="532">
        <v>11818</v>
      </c>
      <c r="H24" s="529">
        <v>1</v>
      </c>
      <c r="I24" s="529">
        <v>96.868852459016395</v>
      </c>
      <c r="J24" s="532">
        <v>16</v>
      </c>
      <c r="K24" s="532">
        <v>1568</v>
      </c>
      <c r="L24" s="529">
        <v>0.13267896429175832</v>
      </c>
      <c r="M24" s="529">
        <v>98</v>
      </c>
      <c r="N24" s="532"/>
      <c r="O24" s="532"/>
      <c r="P24" s="543"/>
      <c r="Q24" s="533"/>
    </row>
    <row r="25" spans="1:17" ht="14.4" customHeight="1" x14ac:dyDescent="0.3">
      <c r="A25" s="528" t="s">
        <v>518</v>
      </c>
      <c r="B25" s="529" t="s">
        <v>314</v>
      </c>
      <c r="C25" s="529" t="s">
        <v>491</v>
      </c>
      <c r="D25" s="529" t="s">
        <v>510</v>
      </c>
      <c r="E25" s="529" t="s">
        <v>511</v>
      </c>
      <c r="F25" s="532">
        <v>1573</v>
      </c>
      <c r="G25" s="532">
        <v>412126</v>
      </c>
      <c r="H25" s="529">
        <v>1</v>
      </c>
      <c r="I25" s="529">
        <v>262</v>
      </c>
      <c r="J25" s="532">
        <v>711</v>
      </c>
      <c r="K25" s="532">
        <v>186282</v>
      </c>
      <c r="L25" s="529">
        <v>0.45200254291163383</v>
      </c>
      <c r="M25" s="529">
        <v>262</v>
      </c>
      <c r="N25" s="532"/>
      <c r="O25" s="532"/>
      <c r="P25" s="543"/>
      <c r="Q25" s="533"/>
    </row>
    <row r="26" spans="1:17" ht="14.4" customHeight="1" x14ac:dyDescent="0.3">
      <c r="A26" s="528" t="s">
        <v>518</v>
      </c>
      <c r="B26" s="529" t="s">
        <v>314</v>
      </c>
      <c r="C26" s="529" t="s">
        <v>491</v>
      </c>
      <c r="D26" s="529" t="s">
        <v>512</v>
      </c>
      <c r="E26" s="529" t="s">
        <v>513</v>
      </c>
      <c r="F26" s="532">
        <v>165</v>
      </c>
      <c r="G26" s="532">
        <v>591690</v>
      </c>
      <c r="H26" s="529">
        <v>1</v>
      </c>
      <c r="I26" s="529">
        <v>3586</v>
      </c>
      <c r="J26" s="532">
        <v>62</v>
      </c>
      <c r="K26" s="532">
        <v>222332</v>
      </c>
      <c r="L26" s="529">
        <v>0.37575757575757573</v>
      </c>
      <c r="M26" s="529">
        <v>3586</v>
      </c>
      <c r="N26" s="532"/>
      <c r="O26" s="532"/>
      <c r="P26" s="543"/>
      <c r="Q26" s="533"/>
    </row>
    <row r="27" spans="1:17" ht="14.4" customHeight="1" thickBot="1" x14ac:dyDescent="0.35">
      <c r="A27" s="504" t="s">
        <v>518</v>
      </c>
      <c r="B27" s="534" t="s">
        <v>314</v>
      </c>
      <c r="C27" s="534" t="s">
        <v>491</v>
      </c>
      <c r="D27" s="534" t="s">
        <v>525</v>
      </c>
      <c r="E27" s="534" t="s">
        <v>526</v>
      </c>
      <c r="F27" s="505"/>
      <c r="G27" s="505"/>
      <c r="H27" s="534"/>
      <c r="I27" s="534"/>
      <c r="J27" s="505">
        <v>4</v>
      </c>
      <c r="K27" s="505">
        <v>824</v>
      </c>
      <c r="L27" s="534"/>
      <c r="M27" s="534">
        <v>206</v>
      </c>
      <c r="N27" s="505"/>
      <c r="O27" s="505"/>
      <c r="P27" s="506"/>
      <c r="Q27" s="50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9" t="s">
        <v>123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0" t="s">
        <v>253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124</v>
      </c>
      <c r="B3" s="221">
        <f>SUBTOTAL(9,B6:B1048576)</f>
        <v>13774</v>
      </c>
      <c r="C3" s="222">
        <f t="shared" ref="C3:R3" si="0">SUBTOTAL(9,C6:C1048576)</f>
        <v>13</v>
      </c>
      <c r="D3" s="222">
        <f t="shared" si="0"/>
        <v>18832.66</v>
      </c>
      <c r="E3" s="222">
        <f t="shared" si="0"/>
        <v>21.25844900847251</v>
      </c>
      <c r="F3" s="222">
        <f t="shared" si="0"/>
        <v>9949</v>
      </c>
      <c r="G3" s="225">
        <f>IF(B3&lt;&gt;0,F3/B3,"")</f>
        <v>0.7223028895019602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18" t="s">
        <v>103</v>
      </c>
      <c r="B4" s="419" t="s">
        <v>97</v>
      </c>
      <c r="C4" s="420"/>
      <c r="D4" s="420"/>
      <c r="E4" s="420"/>
      <c r="F4" s="420"/>
      <c r="G4" s="421"/>
      <c r="H4" s="419" t="s">
        <v>98</v>
      </c>
      <c r="I4" s="420"/>
      <c r="J4" s="420"/>
      <c r="K4" s="420"/>
      <c r="L4" s="420"/>
      <c r="M4" s="421"/>
      <c r="N4" s="419" t="s">
        <v>99</v>
      </c>
      <c r="O4" s="420"/>
      <c r="P4" s="420"/>
      <c r="Q4" s="420"/>
      <c r="R4" s="420"/>
      <c r="S4" s="421"/>
    </row>
    <row r="5" spans="1:19" ht="14.4" customHeight="1" thickBot="1" x14ac:dyDescent="0.35">
      <c r="A5" s="537"/>
      <c r="B5" s="538">
        <v>2014</v>
      </c>
      <c r="C5" s="539"/>
      <c r="D5" s="539">
        <v>2015</v>
      </c>
      <c r="E5" s="539"/>
      <c r="F5" s="539">
        <v>2016</v>
      </c>
      <c r="G5" s="540" t="s">
        <v>2</v>
      </c>
      <c r="H5" s="538">
        <v>2014</v>
      </c>
      <c r="I5" s="539"/>
      <c r="J5" s="539">
        <v>2015</v>
      </c>
      <c r="K5" s="539"/>
      <c r="L5" s="539">
        <v>2016</v>
      </c>
      <c r="M5" s="540" t="s">
        <v>2</v>
      </c>
      <c r="N5" s="538">
        <v>2014</v>
      </c>
      <c r="O5" s="539"/>
      <c r="P5" s="539">
        <v>2015</v>
      </c>
      <c r="Q5" s="539"/>
      <c r="R5" s="539">
        <v>2016</v>
      </c>
      <c r="S5" s="540" t="s">
        <v>2</v>
      </c>
    </row>
    <row r="6" spans="1:19" ht="14.4" customHeight="1" x14ac:dyDescent="0.3">
      <c r="A6" s="547" t="s">
        <v>528</v>
      </c>
      <c r="B6" s="541">
        <v>934</v>
      </c>
      <c r="C6" s="525">
        <v>1</v>
      </c>
      <c r="D6" s="541">
        <v>9839.33</v>
      </c>
      <c r="E6" s="525">
        <v>10.534614561027837</v>
      </c>
      <c r="F6" s="541">
        <v>4024</v>
      </c>
      <c r="G6" s="502">
        <v>4.3083511777301924</v>
      </c>
      <c r="H6" s="541"/>
      <c r="I6" s="525"/>
      <c r="J6" s="541"/>
      <c r="K6" s="525"/>
      <c r="L6" s="541"/>
      <c r="M6" s="502"/>
      <c r="N6" s="541"/>
      <c r="O6" s="525"/>
      <c r="P6" s="541"/>
      <c r="Q6" s="525"/>
      <c r="R6" s="541"/>
      <c r="S6" s="122"/>
    </row>
    <row r="7" spans="1:19" ht="14.4" customHeight="1" x14ac:dyDescent="0.3">
      <c r="A7" s="548" t="s">
        <v>529</v>
      </c>
      <c r="B7" s="542">
        <v>698</v>
      </c>
      <c r="C7" s="529">
        <v>1</v>
      </c>
      <c r="D7" s="542">
        <v>1346</v>
      </c>
      <c r="E7" s="529">
        <v>1.9283667621776504</v>
      </c>
      <c r="F7" s="542">
        <v>1716</v>
      </c>
      <c r="G7" s="543">
        <v>2.4584527220630372</v>
      </c>
      <c r="H7" s="542"/>
      <c r="I7" s="529"/>
      <c r="J7" s="542"/>
      <c r="K7" s="529"/>
      <c r="L7" s="542"/>
      <c r="M7" s="543"/>
      <c r="N7" s="542"/>
      <c r="O7" s="529"/>
      <c r="P7" s="542"/>
      <c r="Q7" s="529"/>
      <c r="R7" s="542"/>
      <c r="S7" s="544"/>
    </row>
    <row r="8" spans="1:19" ht="14.4" customHeight="1" x14ac:dyDescent="0.3">
      <c r="A8" s="548" t="s">
        <v>530</v>
      </c>
      <c r="B8" s="542">
        <v>4666</v>
      </c>
      <c r="C8" s="529">
        <v>1</v>
      </c>
      <c r="D8" s="542">
        <v>2820</v>
      </c>
      <c r="E8" s="529">
        <v>0.60437205315045006</v>
      </c>
      <c r="F8" s="542">
        <v>778</v>
      </c>
      <c r="G8" s="543">
        <v>0.16673810544363479</v>
      </c>
      <c r="H8" s="542"/>
      <c r="I8" s="529"/>
      <c r="J8" s="542"/>
      <c r="K8" s="529"/>
      <c r="L8" s="542"/>
      <c r="M8" s="543"/>
      <c r="N8" s="542"/>
      <c r="O8" s="529"/>
      <c r="P8" s="542"/>
      <c r="Q8" s="529"/>
      <c r="R8" s="542"/>
      <c r="S8" s="544"/>
    </row>
    <row r="9" spans="1:19" ht="14.4" customHeight="1" x14ac:dyDescent="0.3">
      <c r="A9" s="548" t="s">
        <v>531</v>
      </c>
      <c r="B9" s="542">
        <v>232</v>
      </c>
      <c r="C9" s="529">
        <v>1</v>
      </c>
      <c r="D9" s="542"/>
      <c r="E9" s="529"/>
      <c r="F9" s="542"/>
      <c r="G9" s="543"/>
      <c r="H9" s="542"/>
      <c r="I9" s="529"/>
      <c r="J9" s="542"/>
      <c r="K9" s="529"/>
      <c r="L9" s="542"/>
      <c r="M9" s="543"/>
      <c r="N9" s="542"/>
      <c r="O9" s="529"/>
      <c r="P9" s="542"/>
      <c r="Q9" s="529"/>
      <c r="R9" s="542"/>
      <c r="S9" s="544"/>
    </row>
    <row r="10" spans="1:19" ht="14.4" customHeight="1" x14ac:dyDescent="0.3">
      <c r="A10" s="548" t="s">
        <v>532</v>
      </c>
      <c r="B10" s="542">
        <v>234</v>
      </c>
      <c r="C10" s="529">
        <v>1</v>
      </c>
      <c r="D10" s="542">
        <v>235</v>
      </c>
      <c r="E10" s="529">
        <v>1.0042735042735043</v>
      </c>
      <c r="F10" s="542"/>
      <c r="G10" s="543"/>
      <c r="H10" s="542"/>
      <c r="I10" s="529"/>
      <c r="J10" s="542"/>
      <c r="K10" s="529"/>
      <c r="L10" s="542"/>
      <c r="M10" s="543"/>
      <c r="N10" s="542"/>
      <c r="O10" s="529"/>
      <c r="P10" s="542"/>
      <c r="Q10" s="529"/>
      <c r="R10" s="542"/>
      <c r="S10" s="544"/>
    </row>
    <row r="11" spans="1:19" ht="14.4" customHeight="1" x14ac:dyDescent="0.3">
      <c r="A11" s="548" t="s">
        <v>533</v>
      </c>
      <c r="B11" s="542"/>
      <c r="C11" s="529"/>
      <c r="D11" s="542">
        <v>35</v>
      </c>
      <c r="E11" s="529"/>
      <c r="F11" s="542"/>
      <c r="G11" s="543"/>
      <c r="H11" s="542"/>
      <c r="I11" s="529"/>
      <c r="J11" s="542"/>
      <c r="K11" s="529"/>
      <c r="L11" s="542"/>
      <c r="M11" s="543"/>
      <c r="N11" s="542"/>
      <c r="O11" s="529"/>
      <c r="P11" s="542"/>
      <c r="Q11" s="529"/>
      <c r="R11" s="542"/>
      <c r="S11" s="544"/>
    </row>
    <row r="12" spans="1:19" ht="14.4" customHeight="1" x14ac:dyDescent="0.3">
      <c r="A12" s="548" t="s">
        <v>534</v>
      </c>
      <c r="B12" s="542">
        <v>702</v>
      </c>
      <c r="C12" s="529">
        <v>1</v>
      </c>
      <c r="D12" s="542">
        <v>921.33</v>
      </c>
      <c r="E12" s="529">
        <v>1.3124358974358974</v>
      </c>
      <c r="F12" s="542">
        <v>469</v>
      </c>
      <c r="G12" s="543">
        <v>0.66809116809116809</v>
      </c>
      <c r="H12" s="542"/>
      <c r="I12" s="529"/>
      <c r="J12" s="542"/>
      <c r="K12" s="529"/>
      <c r="L12" s="542"/>
      <c r="M12" s="543"/>
      <c r="N12" s="542"/>
      <c r="O12" s="529"/>
      <c r="P12" s="542"/>
      <c r="Q12" s="529"/>
      <c r="R12" s="542"/>
      <c r="S12" s="544"/>
    </row>
    <row r="13" spans="1:19" ht="14.4" customHeight="1" x14ac:dyDescent="0.3">
      <c r="A13" s="548" t="s">
        <v>535</v>
      </c>
      <c r="B13" s="542">
        <v>468</v>
      </c>
      <c r="C13" s="529">
        <v>1</v>
      </c>
      <c r="D13" s="542">
        <v>1181</v>
      </c>
      <c r="E13" s="529">
        <v>2.5235042735042734</v>
      </c>
      <c r="F13" s="542">
        <v>1950</v>
      </c>
      <c r="G13" s="543">
        <v>4.166666666666667</v>
      </c>
      <c r="H13" s="542"/>
      <c r="I13" s="529"/>
      <c r="J13" s="542"/>
      <c r="K13" s="529"/>
      <c r="L13" s="542"/>
      <c r="M13" s="543"/>
      <c r="N13" s="542"/>
      <c r="O13" s="529"/>
      <c r="P13" s="542"/>
      <c r="Q13" s="529"/>
      <c r="R13" s="542"/>
      <c r="S13" s="544"/>
    </row>
    <row r="14" spans="1:19" ht="14.4" customHeight="1" x14ac:dyDescent="0.3">
      <c r="A14" s="548" t="s">
        <v>536</v>
      </c>
      <c r="B14" s="542">
        <v>234</v>
      </c>
      <c r="C14" s="529">
        <v>1</v>
      </c>
      <c r="D14" s="542">
        <v>505</v>
      </c>
      <c r="E14" s="529">
        <v>2.158119658119658</v>
      </c>
      <c r="F14" s="542">
        <v>543</v>
      </c>
      <c r="G14" s="543">
        <v>2.3205128205128207</v>
      </c>
      <c r="H14" s="542"/>
      <c r="I14" s="529"/>
      <c r="J14" s="542"/>
      <c r="K14" s="529"/>
      <c r="L14" s="542"/>
      <c r="M14" s="543"/>
      <c r="N14" s="542"/>
      <c r="O14" s="529"/>
      <c r="P14" s="542"/>
      <c r="Q14" s="529"/>
      <c r="R14" s="542"/>
      <c r="S14" s="544"/>
    </row>
    <row r="15" spans="1:19" ht="14.4" customHeight="1" x14ac:dyDescent="0.3">
      <c r="A15" s="548" t="s">
        <v>537</v>
      </c>
      <c r="B15" s="542">
        <v>234</v>
      </c>
      <c r="C15" s="529">
        <v>1</v>
      </c>
      <c r="D15" s="542"/>
      <c r="E15" s="529"/>
      <c r="F15" s="542"/>
      <c r="G15" s="543"/>
      <c r="H15" s="542"/>
      <c r="I15" s="529"/>
      <c r="J15" s="542"/>
      <c r="K15" s="529"/>
      <c r="L15" s="542"/>
      <c r="M15" s="543"/>
      <c r="N15" s="542"/>
      <c r="O15" s="529"/>
      <c r="P15" s="542"/>
      <c r="Q15" s="529"/>
      <c r="R15" s="542"/>
      <c r="S15" s="544"/>
    </row>
    <row r="16" spans="1:19" ht="14.4" customHeight="1" x14ac:dyDescent="0.3">
      <c r="A16" s="548" t="s">
        <v>538</v>
      </c>
      <c r="B16" s="542">
        <v>234</v>
      </c>
      <c r="C16" s="529">
        <v>1</v>
      </c>
      <c r="D16" s="542">
        <v>70</v>
      </c>
      <c r="E16" s="529">
        <v>0.29914529914529914</v>
      </c>
      <c r="F16" s="542">
        <v>469</v>
      </c>
      <c r="G16" s="543">
        <v>2.0042735042735043</v>
      </c>
      <c r="H16" s="542"/>
      <c r="I16" s="529"/>
      <c r="J16" s="542"/>
      <c r="K16" s="529"/>
      <c r="L16" s="542"/>
      <c r="M16" s="543"/>
      <c r="N16" s="542"/>
      <c r="O16" s="529"/>
      <c r="P16" s="542"/>
      <c r="Q16" s="529"/>
      <c r="R16" s="542"/>
      <c r="S16" s="544"/>
    </row>
    <row r="17" spans="1:19" ht="14.4" customHeight="1" x14ac:dyDescent="0.3">
      <c r="A17" s="548" t="s">
        <v>539</v>
      </c>
      <c r="B17" s="542">
        <v>4202</v>
      </c>
      <c r="C17" s="529">
        <v>1</v>
      </c>
      <c r="D17" s="542">
        <v>1645</v>
      </c>
      <c r="E17" s="529">
        <v>0.39148024750118993</v>
      </c>
      <c r="F17" s="542"/>
      <c r="G17" s="543"/>
      <c r="H17" s="542"/>
      <c r="I17" s="529"/>
      <c r="J17" s="542"/>
      <c r="K17" s="529"/>
      <c r="L17" s="542"/>
      <c r="M17" s="543"/>
      <c r="N17" s="542"/>
      <c r="O17" s="529"/>
      <c r="P17" s="542"/>
      <c r="Q17" s="529"/>
      <c r="R17" s="542"/>
      <c r="S17" s="544"/>
    </row>
    <row r="18" spans="1:19" ht="14.4" customHeight="1" x14ac:dyDescent="0.3">
      <c r="A18" s="548" t="s">
        <v>540</v>
      </c>
      <c r="B18" s="542">
        <v>468</v>
      </c>
      <c r="C18" s="529">
        <v>1</v>
      </c>
      <c r="D18" s="542"/>
      <c r="E18" s="529"/>
      <c r="F18" s="542"/>
      <c r="G18" s="543"/>
      <c r="H18" s="542"/>
      <c r="I18" s="529"/>
      <c r="J18" s="542"/>
      <c r="K18" s="529"/>
      <c r="L18" s="542"/>
      <c r="M18" s="543"/>
      <c r="N18" s="542"/>
      <c r="O18" s="529"/>
      <c r="P18" s="542"/>
      <c r="Q18" s="529"/>
      <c r="R18" s="542"/>
      <c r="S18" s="544"/>
    </row>
    <row r="19" spans="1:19" ht="14.4" customHeight="1" thickBot="1" x14ac:dyDescent="0.35">
      <c r="A19" s="549" t="s">
        <v>541</v>
      </c>
      <c r="B19" s="545">
        <v>468</v>
      </c>
      <c r="C19" s="534">
        <v>1</v>
      </c>
      <c r="D19" s="545">
        <v>235</v>
      </c>
      <c r="E19" s="534">
        <v>0.50213675213675213</v>
      </c>
      <c r="F19" s="545"/>
      <c r="G19" s="506"/>
      <c r="H19" s="545"/>
      <c r="I19" s="534"/>
      <c r="J19" s="545"/>
      <c r="K19" s="534"/>
      <c r="L19" s="545"/>
      <c r="M19" s="506"/>
      <c r="N19" s="545"/>
      <c r="O19" s="534"/>
      <c r="P19" s="545"/>
      <c r="Q19" s="534"/>
      <c r="R19" s="545"/>
      <c r="S19" s="5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30" t="s">
        <v>556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0" t="s">
        <v>253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124</v>
      </c>
      <c r="F3" s="102">
        <f t="shared" ref="F3:O3" si="0">SUBTOTAL(9,F6:F1048576)</f>
        <v>59</v>
      </c>
      <c r="G3" s="103">
        <f t="shared" si="0"/>
        <v>13774</v>
      </c>
      <c r="H3" s="103"/>
      <c r="I3" s="103"/>
      <c r="J3" s="103">
        <f t="shared" si="0"/>
        <v>74</v>
      </c>
      <c r="K3" s="103">
        <f t="shared" si="0"/>
        <v>18832.66</v>
      </c>
      <c r="L3" s="103"/>
      <c r="M3" s="103"/>
      <c r="N3" s="103">
        <f t="shared" si="0"/>
        <v>31</v>
      </c>
      <c r="O3" s="103">
        <f t="shared" si="0"/>
        <v>9949</v>
      </c>
      <c r="P3" s="75">
        <f>IF(G3=0,0,O3/G3)</f>
        <v>0.7223028895019602</v>
      </c>
      <c r="Q3" s="104">
        <f>IF(N3=0,0,O3/N3)</f>
        <v>320.93548387096774</v>
      </c>
    </row>
    <row r="4" spans="1:17" ht="14.4" customHeight="1" x14ac:dyDescent="0.3">
      <c r="A4" s="427" t="s">
        <v>67</v>
      </c>
      <c r="B4" s="426" t="s">
        <v>93</v>
      </c>
      <c r="C4" s="427" t="s">
        <v>94</v>
      </c>
      <c r="D4" s="436" t="s">
        <v>95</v>
      </c>
      <c r="E4" s="428" t="s">
        <v>68</v>
      </c>
      <c r="F4" s="434">
        <v>2014</v>
      </c>
      <c r="G4" s="435"/>
      <c r="H4" s="105"/>
      <c r="I4" s="105"/>
      <c r="J4" s="434">
        <v>2015</v>
      </c>
      <c r="K4" s="435"/>
      <c r="L4" s="105"/>
      <c r="M4" s="105"/>
      <c r="N4" s="434">
        <v>2016</v>
      </c>
      <c r="O4" s="435"/>
      <c r="P4" s="437" t="s">
        <v>2</v>
      </c>
      <c r="Q4" s="425" t="s">
        <v>96</v>
      </c>
    </row>
    <row r="5" spans="1:17" ht="14.4" customHeight="1" thickBot="1" x14ac:dyDescent="0.35">
      <c r="A5" s="555"/>
      <c r="B5" s="553"/>
      <c r="C5" s="555"/>
      <c r="D5" s="563"/>
      <c r="E5" s="557"/>
      <c r="F5" s="564" t="s">
        <v>70</v>
      </c>
      <c r="G5" s="565" t="s">
        <v>13</v>
      </c>
      <c r="H5" s="566"/>
      <c r="I5" s="566"/>
      <c r="J5" s="564" t="s">
        <v>70</v>
      </c>
      <c r="K5" s="565" t="s">
        <v>13</v>
      </c>
      <c r="L5" s="566"/>
      <c r="M5" s="566"/>
      <c r="N5" s="564" t="s">
        <v>70</v>
      </c>
      <c r="O5" s="565" t="s">
        <v>13</v>
      </c>
      <c r="P5" s="567"/>
      <c r="Q5" s="562"/>
    </row>
    <row r="6" spans="1:17" ht="14.4" customHeight="1" x14ac:dyDescent="0.3">
      <c r="A6" s="501" t="s">
        <v>542</v>
      </c>
      <c r="B6" s="525" t="s">
        <v>490</v>
      </c>
      <c r="C6" s="525" t="s">
        <v>491</v>
      </c>
      <c r="D6" s="525" t="s">
        <v>492</v>
      </c>
      <c r="E6" s="525" t="s">
        <v>493</v>
      </c>
      <c r="F6" s="116"/>
      <c r="G6" s="116"/>
      <c r="H6" s="116"/>
      <c r="I6" s="116"/>
      <c r="J6" s="116">
        <v>2</v>
      </c>
      <c r="K6" s="116">
        <v>70</v>
      </c>
      <c r="L6" s="116"/>
      <c r="M6" s="116">
        <v>35</v>
      </c>
      <c r="N6" s="116">
        <v>1</v>
      </c>
      <c r="O6" s="116">
        <v>37</v>
      </c>
      <c r="P6" s="502"/>
      <c r="Q6" s="503">
        <v>37</v>
      </c>
    </row>
    <row r="7" spans="1:17" ht="14.4" customHeight="1" x14ac:dyDescent="0.3">
      <c r="A7" s="528" t="s">
        <v>542</v>
      </c>
      <c r="B7" s="529" t="s">
        <v>490</v>
      </c>
      <c r="C7" s="529" t="s">
        <v>491</v>
      </c>
      <c r="D7" s="529" t="s">
        <v>494</v>
      </c>
      <c r="E7" s="529" t="s">
        <v>495</v>
      </c>
      <c r="F7" s="532"/>
      <c r="G7" s="532"/>
      <c r="H7" s="532"/>
      <c r="I7" s="532"/>
      <c r="J7" s="532">
        <v>22</v>
      </c>
      <c r="K7" s="532">
        <v>9636</v>
      </c>
      <c r="L7" s="532"/>
      <c r="M7" s="532">
        <v>438</v>
      </c>
      <c r="N7" s="532">
        <v>8</v>
      </c>
      <c r="O7" s="532">
        <v>3752</v>
      </c>
      <c r="P7" s="543"/>
      <c r="Q7" s="533">
        <v>469</v>
      </c>
    </row>
    <row r="8" spans="1:17" ht="14.4" customHeight="1" x14ac:dyDescent="0.3">
      <c r="A8" s="528" t="s">
        <v>542</v>
      </c>
      <c r="B8" s="529" t="s">
        <v>490</v>
      </c>
      <c r="C8" s="529" t="s">
        <v>491</v>
      </c>
      <c r="D8" s="529" t="s">
        <v>496</v>
      </c>
      <c r="E8" s="529" t="s">
        <v>497</v>
      </c>
      <c r="F8" s="532"/>
      <c r="G8" s="532"/>
      <c r="H8" s="532"/>
      <c r="I8" s="532"/>
      <c r="J8" s="532">
        <v>7</v>
      </c>
      <c r="K8" s="532">
        <v>133.32999999999998</v>
      </c>
      <c r="L8" s="532"/>
      <c r="M8" s="532">
        <v>19.047142857142855</v>
      </c>
      <c r="N8" s="532"/>
      <c r="O8" s="532"/>
      <c r="P8" s="543"/>
      <c r="Q8" s="533"/>
    </row>
    <row r="9" spans="1:17" ht="14.4" customHeight="1" x14ac:dyDescent="0.3">
      <c r="A9" s="528" t="s">
        <v>542</v>
      </c>
      <c r="B9" s="529" t="s">
        <v>490</v>
      </c>
      <c r="C9" s="529" t="s">
        <v>491</v>
      </c>
      <c r="D9" s="529" t="s">
        <v>504</v>
      </c>
      <c r="E9" s="529" t="s">
        <v>505</v>
      </c>
      <c r="F9" s="532"/>
      <c r="G9" s="532"/>
      <c r="H9" s="532"/>
      <c r="I9" s="532"/>
      <c r="J9" s="532"/>
      <c r="K9" s="532"/>
      <c r="L9" s="532"/>
      <c r="M9" s="532"/>
      <c r="N9" s="532">
        <v>1</v>
      </c>
      <c r="O9" s="532">
        <v>235</v>
      </c>
      <c r="P9" s="543"/>
      <c r="Q9" s="533">
        <v>235</v>
      </c>
    </row>
    <row r="10" spans="1:17" ht="14.4" customHeight="1" x14ac:dyDescent="0.3">
      <c r="A10" s="528" t="s">
        <v>542</v>
      </c>
      <c r="B10" s="529" t="s">
        <v>518</v>
      </c>
      <c r="C10" s="529" t="s">
        <v>491</v>
      </c>
      <c r="D10" s="529" t="s">
        <v>521</v>
      </c>
      <c r="E10" s="529" t="s">
        <v>522</v>
      </c>
      <c r="F10" s="532">
        <v>4</v>
      </c>
      <c r="G10" s="532">
        <v>934</v>
      </c>
      <c r="H10" s="532">
        <v>1</v>
      </c>
      <c r="I10" s="532">
        <v>233.5</v>
      </c>
      <c r="J10" s="532"/>
      <c r="K10" s="532"/>
      <c r="L10" s="532"/>
      <c r="M10" s="532"/>
      <c r="N10" s="532"/>
      <c r="O10" s="532"/>
      <c r="P10" s="543"/>
      <c r="Q10" s="533"/>
    </row>
    <row r="11" spans="1:17" ht="14.4" customHeight="1" x14ac:dyDescent="0.3">
      <c r="A11" s="528" t="s">
        <v>543</v>
      </c>
      <c r="B11" s="529" t="s">
        <v>490</v>
      </c>
      <c r="C11" s="529" t="s">
        <v>491</v>
      </c>
      <c r="D11" s="529" t="s">
        <v>492</v>
      </c>
      <c r="E11" s="529" t="s">
        <v>493</v>
      </c>
      <c r="F11" s="532"/>
      <c r="G11" s="532"/>
      <c r="H11" s="532"/>
      <c r="I11" s="532"/>
      <c r="J11" s="532"/>
      <c r="K11" s="532"/>
      <c r="L11" s="532"/>
      <c r="M11" s="532"/>
      <c r="N11" s="532">
        <v>2</v>
      </c>
      <c r="O11" s="532">
        <v>74</v>
      </c>
      <c r="P11" s="543"/>
      <c r="Q11" s="533">
        <v>37</v>
      </c>
    </row>
    <row r="12" spans="1:17" ht="14.4" customHeight="1" x14ac:dyDescent="0.3">
      <c r="A12" s="528" t="s">
        <v>543</v>
      </c>
      <c r="B12" s="529" t="s">
        <v>490</v>
      </c>
      <c r="C12" s="529" t="s">
        <v>491</v>
      </c>
      <c r="D12" s="529" t="s">
        <v>494</v>
      </c>
      <c r="E12" s="529" t="s">
        <v>495</v>
      </c>
      <c r="F12" s="532"/>
      <c r="G12" s="532"/>
      <c r="H12" s="532"/>
      <c r="I12" s="532"/>
      <c r="J12" s="532">
        <v>2</v>
      </c>
      <c r="K12" s="532">
        <v>876</v>
      </c>
      <c r="L12" s="532"/>
      <c r="M12" s="532">
        <v>438</v>
      </c>
      <c r="N12" s="532">
        <v>3</v>
      </c>
      <c r="O12" s="532">
        <v>1407</v>
      </c>
      <c r="P12" s="543"/>
      <c r="Q12" s="533">
        <v>469</v>
      </c>
    </row>
    <row r="13" spans="1:17" ht="14.4" customHeight="1" x14ac:dyDescent="0.3">
      <c r="A13" s="528" t="s">
        <v>543</v>
      </c>
      <c r="B13" s="529" t="s">
        <v>490</v>
      </c>
      <c r="C13" s="529" t="s">
        <v>491</v>
      </c>
      <c r="D13" s="529" t="s">
        <v>504</v>
      </c>
      <c r="E13" s="529" t="s">
        <v>505</v>
      </c>
      <c r="F13" s="532"/>
      <c r="G13" s="532"/>
      <c r="H13" s="532"/>
      <c r="I13" s="532"/>
      <c r="J13" s="532"/>
      <c r="K13" s="532"/>
      <c r="L13" s="532"/>
      <c r="M13" s="532"/>
      <c r="N13" s="532">
        <v>1</v>
      </c>
      <c r="O13" s="532">
        <v>235</v>
      </c>
      <c r="P13" s="543"/>
      <c r="Q13" s="533">
        <v>235</v>
      </c>
    </row>
    <row r="14" spans="1:17" ht="14.4" customHeight="1" x14ac:dyDescent="0.3">
      <c r="A14" s="528" t="s">
        <v>543</v>
      </c>
      <c r="B14" s="529" t="s">
        <v>518</v>
      </c>
      <c r="C14" s="529" t="s">
        <v>491</v>
      </c>
      <c r="D14" s="529" t="s">
        <v>521</v>
      </c>
      <c r="E14" s="529" t="s">
        <v>522</v>
      </c>
      <c r="F14" s="532">
        <v>3</v>
      </c>
      <c r="G14" s="532">
        <v>698</v>
      </c>
      <c r="H14" s="532">
        <v>1</v>
      </c>
      <c r="I14" s="532">
        <v>232.66666666666666</v>
      </c>
      <c r="J14" s="532">
        <v>2</v>
      </c>
      <c r="K14" s="532">
        <v>470</v>
      </c>
      <c r="L14" s="532">
        <v>0.67335243553008595</v>
      </c>
      <c r="M14" s="532">
        <v>235</v>
      </c>
      <c r="N14" s="532"/>
      <c r="O14" s="532"/>
      <c r="P14" s="543"/>
      <c r="Q14" s="533"/>
    </row>
    <row r="15" spans="1:17" ht="14.4" customHeight="1" x14ac:dyDescent="0.3">
      <c r="A15" s="528" t="s">
        <v>544</v>
      </c>
      <c r="B15" s="529" t="s">
        <v>490</v>
      </c>
      <c r="C15" s="529" t="s">
        <v>491</v>
      </c>
      <c r="D15" s="529" t="s">
        <v>492</v>
      </c>
      <c r="E15" s="529" t="s">
        <v>493</v>
      </c>
      <c r="F15" s="532"/>
      <c r="G15" s="532"/>
      <c r="H15" s="532"/>
      <c r="I15" s="532"/>
      <c r="J15" s="532"/>
      <c r="K15" s="532"/>
      <c r="L15" s="532"/>
      <c r="M15" s="532"/>
      <c r="N15" s="532">
        <v>2</v>
      </c>
      <c r="O15" s="532">
        <v>74</v>
      </c>
      <c r="P15" s="543"/>
      <c r="Q15" s="533">
        <v>37</v>
      </c>
    </row>
    <row r="16" spans="1:17" ht="14.4" customHeight="1" x14ac:dyDescent="0.3">
      <c r="A16" s="528" t="s">
        <v>544</v>
      </c>
      <c r="B16" s="529" t="s">
        <v>490</v>
      </c>
      <c r="C16" s="529" t="s">
        <v>491</v>
      </c>
      <c r="D16" s="529" t="s">
        <v>494</v>
      </c>
      <c r="E16" s="529" t="s">
        <v>495</v>
      </c>
      <c r="F16" s="532"/>
      <c r="G16" s="532"/>
      <c r="H16" s="532"/>
      <c r="I16" s="532"/>
      <c r="J16" s="532"/>
      <c r="K16" s="532"/>
      <c r="L16" s="532"/>
      <c r="M16" s="532"/>
      <c r="N16" s="532">
        <v>1</v>
      </c>
      <c r="O16" s="532">
        <v>469</v>
      </c>
      <c r="P16" s="543"/>
      <c r="Q16" s="533">
        <v>469</v>
      </c>
    </row>
    <row r="17" spans="1:17" ht="14.4" customHeight="1" x14ac:dyDescent="0.3">
      <c r="A17" s="528" t="s">
        <v>544</v>
      </c>
      <c r="B17" s="529" t="s">
        <v>490</v>
      </c>
      <c r="C17" s="529" t="s">
        <v>491</v>
      </c>
      <c r="D17" s="529" t="s">
        <v>504</v>
      </c>
      <c r="E17" s="529" t="s">
        <v>505</v>
      </c>
      <c r="F17" s="532"/>
      <c r="G17" s="532"/>
      <c r="H17" s="532"/>
      <c r="I17" s="532"/>
      <c r="J17" s="532"/>
      <c r="K17" s="532"/>
      <c r="L17" s="532"/>
      <c r="M17" s="532"/>
      <c r="N17" s="532">
        <v>1</v>
      </c>
      <c r="O17" s="532">
        <v>235</v>
      </c>
      <c r="P17" s="543"/>
      <c r="Q17" s="533">
        <v>235</v>
      </c>
    </row>
    <row r="18" spans="1:17" ht="14.4" customHeight="1" x14ac:dyDescent="0.3">
      <c r="A18" s="528" t="s">
        <v>544</v>
      </c>
      <c r="B18" s="529" t="s">
        <v>515</v>
      </c>
      <c r="C18" s="529" t="s">
        <v>491</v>
      </c>
      <c r="D18" s="529" t="s">
        <v>516</v>
      </c>
      <c r="E18" s="529" t="s">
        <v>517</v>
      </c>
      <c r="F18" s="532"/>
      <c r="G18" s="532"/>
      <c r="H18" s="532"/>
      <c r="I18" s="532"/>
      <c r="J18" s="532">
        <v>6</v>
      </c>
      <c r="K18" s="532">
        <v>1410</v>
      </c>
      <c r="L18" s="532"/>
      <c r="M18" s="532">
        <v>235</v>
      </c>
      <c r="N18" s="532"/>
      <c r="O18" s="532"/>
      <c r="P18" s="543"/>
      <c r="Q18" s="533"/>
    </row>
    <row r="19" spans="1:17" ht="14.4" customHeight="1" x14ac:dyDescent="0.3">
      <c r="A19" s="528" t="s">
        <v>544</v>
      </c>
      <c r="B19" s="529" t="s">
        <v>515</v>
      </c>
      <c r="C19" s="529" t="s">
        <v>491</v>
      </c>
      <c r="D19" s="529" t="s">
        <v>496</v>
      </c>
      <c r="E19" s="529" t="s">
        <v>497</v>
      </c>
      <c r="F19" s="532"/>
      <c r="G19" s="532"/>
      <c r="H19" s="532"/>
      <c r="I19" s="532"/>
      <c r="J19" s="532">
        <v>2</v>
      </c>
      <c r="K19" s="532">
        <v>0</v>
      </c>
      <c r="L19" s="532"/>
      <c r="M19" s="532">
        <v>0</v>
      </c>
      <c r="N19" s="532"/>
      <c r="O19" s="532"/>
      <c r="P19" s="543"/>
      <c r="Q19" s="533"/>
    </row>
    <row r="20" spans="1:17" ht="14.4" customHeight="1" x14ac:dyDescent="0.3">
      <c r="A20" s="528" t="s">
        <v>544</v>
      </c>
      <c r="B20" s="529" t="s">
        <v>518</v>
      </c>
      <c r="C20" s="529" t="s">
        <v>491</v>
      </c>
      <c r="D20" s="529" t="s">
        <v>521</v>
      </c>
      <c r="E20" s="529" t="s">
        <v>522</v>
      </c>
      <c r="F20" s="532">
        <v>20</v>
      </c>
      <c r="G20" s="532">
        <v>4666</v>
      </c>
      <c r="H20" s="532">
        <v>1</v>
      </c>
      <c r="I20" s="532">
        <v>233.3</v>
      </c>
      <c r="J20" s="532">
        <v>6</v>
      </c>
      <c r="K20" s="532">
        <v>1410</v>
      </c>
      <c r="L20" s="532">
        <v>0.30218602657522503</v>
      </c>
      <c r="M20" s="532">
        <v>235</v>
      </c>
      <c r="N20" s="532"/>
      <c r="O20" s="532"/>
      <c r="P20" s="543"/>
      <c r="Q20" s="533"/>
    </row>
    <row r="21" spans="1:17" ht="14.4" customHeight="1" x14ac:dyDescent="0.3">
      <c r="A21" s="528" t="s">
        <v>545</v>
      </c>
      <c r="B21" s="529" t="s">
        <v>518</v>
      </c>
      <c r="C21" s="529" t="s">
        <v>491</v>
      </c>
      <c r="D21" s="529" t="s">
        <v>521</v>
      </c>
      <c r="E21" s="529" t="s">
        <v>522</v>
      </c>
      <c r="F21" s="532">
        <v>1</v>
      </c>
      <c r="G21" s="532">
        <v>232</v>
      </c>
      <c r="H21" s="532">
        <v>1</v>
      </c>
      <c r="I21" s="532">
        <v>232</v>
      </c>
      <c r="J21" s="532"/>
      <c r="K21" s="532"/>
      <c r="L21" s="532"/>
      <c r="M21" s="532"/>
      <c r="N21" s="532"/>
      <c r="O21" s="532"/>
      <c r="P21" s="543"/>
      <c r="Q21" s="533"/>
    </row>
    <row r="22" spans="1:17" ht="14.4" customHeight="1" x14ac:dyDescent="0.3">
      <c r="A22" s="528" t="s">
        <v>546</v>
      </c>
      <c r="B22" s="529" t="s">
        <v>518</v>
      </c>
      <c r="C22" s="529" t="s">
        <v>491</v>
      </c>
      <c r="D22" s="529" t="s">
        <v>521</v>
      </c>
      <c r="E22" s="529" t="s">
        <v>522</v>
      </c>
      <c r="F22" s="532">
        <v>1</v>
      </c>
      <c r="G22" s="532">
        <v>234</v>
      </c>
      <c r="H22" s="532">
        <v>1</v>
      </c>
      <c r="I22" s="532">
        <v>234</v>
      </c>
      <c r="J22" s="532">
        <v>1</v>
      </c>
      <c r="K22" s="532">
        <v>235</v>
      </c>
      <c r="L22" s="532">
        <v>1.0042735042735043</v>
      </c>
      <c r="M22" s="532">
        <v>235</v>
      </c>
      <c r="N22" s="532"/>
      <c r="O22" s="532"/>
      <c r="P22" s="543"/>
      <c r="Q22" s="533"/>
    </row>
    <row r="23" spans="1:17" ht="14.4" customHeight="1" x14ac:dyDescent="0.3">
      <c r="A23" s="528" t="s">
        <v>547</v>
      </c>
      <c r="B23" s="529" t="s">
        <v>490</v>
      </c>
      <c r="C23" s="529" t="s">
        <v>491</v>
      </c>
      <c r="D23" s="529" t="s">
        <v>492</v>
      </c>
      <c r="E23" s="529" t="s">
        <v>493</v>
      </c>
      <c r="F23" s="532"/>
      <c r="G23" s="532"/>
      <c r="H23" s="532"/>
      <c r="I23" s="532"/>
      <c r="J23" s="532">
        <v>1</v>
      </c>
      <c r="K23" s="532">
        <v>35</v>
      </c>
      <c r="L23" s="532"/>
      <c r="M23" s="532">
        <v>35</v>
      </c>
      <c r="N23" s="532"/>
      <c r="O23" s="532"/>
      <c r="P23" s="543"/>
      <c r="Q23" s="533"/>
    </row>
    <row r="24" spans="1:17" ht="14.4" customHeight="1" x14ac:dyDescent="0.3">
      <c r="A24" s="528" t="s">
        <v>548</v>
      </c>
      <c r="B24" s="529" t="s">
        <v>490</v>
      </c>
      <c r="C24" s="529" t="s">
        <v>491</v>
      </c>
      <c r="D24" s="529" t="s">
        <v>494</v>
      </c>
      <c r="E24" s="529" t="s">
        <v>495</v>
      </c>
      <c r="F24" s="532"/>
      <c r="G24" s="532"/>
      <c r="H24" s="532"/>
      <c r="I24" s="532"/>
      <c r="J24" s="532"/>
      <c r="K24" s="532"/>
      <c r="L24" s="532"/>
      <c r="M24" s="532"/>
      <c r="N24" s="532">
        <v>1</v>
      </c>
      <c r="O24" s="532">
        <v>469</v>
      </c>
      <c r="P24" s="543"/>
      <c r="Q24" s="533">
        <v>469</v>
      </c>
    </row>
    <row r="25" spans="1:17" ht="14.4" customHeight="1" x14ac:dyDescent="0.3">
      <c r="A25" s="528" t="s">
        <v>548</v>
      </c>
      <c r="B25" s="529" t="s">
        <v>490</v>
      </c>
      <c r="C25" s="529" t="s">
        <v>491</v>
      </c>
      <c r="D25" s="529" t="s">
        <v>496</v>
      </c>
      <c r="E25" s="529" t="s">
        <v>497</v>
      </c>
      <c r="F25" s="532"/>
      <c r="G25" s="532"/>
      <c r="H25" s="532"/>
      <c r="I25" s="532"/>
      <c r="J25" s="532">
        <v>1</v>
      </c>
      <c r="K25" s="532">
        <v>33.33</v>
      </c>
      <c r="L25" s="532"/>
      <c r="M25" s="532">
        <v>33.33</v>
      </c>
      <c r="N25" s="532"/>
      <c r="O25" s="532"/>
      <c r="P25" s="543"/>
      <c r="Q25" s="533"/>
    </row>
    <row r="26" spans="1:17" ht="14.4" customHeight="1" x14ac:dyDescent="0.3">
      <c r="A26" s="528" t="s">
        <v>548</v>
      </c>
      <c r="B26" s="529" t="s">
        <v>490</v>
      </c>
      <c r="C26" s="529" t="s">
        <v>491</v>
      </c>
      <c r="D26" s="529" t="s">
        <v>502</v>
      </c>
      <c r="E26" s="529" t="s">
        <v>503</v>
      </c>
      <c r="F26" s="532"/>
      <c r="G26" s="532"/>
      <c r="H26" s="532"/>
      <c r="I26" s="532"/>
      <c r="J26" s="532">
        <v>1</v>
      </c>
      <c r="K26" s="532">
        <v>653</v>
      </c>
      <c r="L26" s="532"/>
      <c r="M26" s="532">
        <v>653</v>
      </c>
      <c r="N26" s="532"/>
      <c r="O26" s="532"/>
      <c r="P26" s="543"/>
      <c r="Q26" s="533"/>
    </row>
    <row r="27" spans="1:17" ht="14.4" customHeight="1" x14ac:dyDescent="0.3">
      <c r="A27" s="528" t="s">
        <v>548</v>
      </c>
      <c r="B27" s="529" t="s">
        <v>518</v>
      </c>
      <c r="C27" s="529" t="s">
        <v>491</v>
      </c>
      <c r="D27" s="529" t="s">
        <v>521</v>
      </c>
      <c r="E27" s="529" t="s">
        <v>522</v>
      </c>
      <c r="F27" s="532">
        <v>3</v>
      </c>
      <c r="G27" s="532">
        <v>702</v>
      </c>
      <c r="H27" s="532">
        <v>1</v>
      </c>
      <c r="I27" s="532">
        <v>234</v>
      </c>
      <c r="J27" s="532">
        <v>1</v>
      </c>
      <c r="K27" s="532">
        <v>235</v>
      </c>
      <c r="L27" s="532">
        <v>0.33475783475783477</v>
      </c>
      <c r="M27" s="532">
        <v>235</v>
      </c>
      <c r="N27" s="532"/>
      <c r="O27" s="532"/>
      <c r="P27" s="543"/>
      <c r="Q27" s="533"/>
    </row>
    <row r="28" spans="1:17" ht="14.4" customHeight="1" x14ac:dyDescent="0.3">
      <c r="A28" s="528" t="s">
        <v>549</v>
      </c>
      <c r="B28" s="529" t="s">
        <v>490</v>
      </c>
      <c r="C28" s="529" t="s">
        <v>491</v>
      </c>
      <c r="D28" s="529" t="s">
        <v>492</v>
      </c>
      <c r="E28" s="529" t="s">
        <v>493</v>
      </c>
      <c r="F28" s="532"/>
      <c r="G28" s="532"/>
      <c r="H28" s="532"/>
      <c r="I28" s="532"/>
      <c r="J28" s="532">
        <v>2</v>
      </c>
      <c r="K28" s="532">
        <v>70</v>
      </c>
      <c r="L28" s="532"/>
      <c r="M28" s="532">
        <v>35</v>
      </c>
      <c r="N28" s="532">
        <v>2</v>
      </c>
      <c r="O28" s="532">
        <v>74</v>
      </c>
      <c r="P28" s="543"/>
      <c r="Q28" s="533">
        <v>37</v>
      </c>
    </row>
    <row r="29" spans="1:17" ht="14.4" customHeight="1" x14ac:dyDescent="0.3">
      <c r="A29" s="528" t="s">
        <v>549</v>
      </c>
      <c r="B29" s="529" t="s">
        <v>490</v>
      </c>
      <c r="C29" s="529" t="s">
        <v>491</v>
      </c>
      <c r="D29" s="529" t="s">
        <v>494</v>
      </c>
      <c r="E29" s="529" t="s">
        <v>495</v>
      </c>
      <c r="F29" s="532"/>
      <c r="G29" s="532"/>
      <c r="H29" s="532"/>
      <c r="I29" s="532"/>
      <c r="J29" s="532">
        <v>2</v>
      </c>
      <c r="K29" s="532">
        <v>876</v>
      </c>
      <c r="L29" s="532"/>
      <c r="M29" s="532">
        <v>438</v>
      </c>
      <c r="N29" s="532">
        <v>4</v>
      </c>
      <c r="O29" s="532">
        <v>1876</v>
      </c>
      <c r="P29" s="543"/>
      <c r="Q29" s="533">
        <v>469</v>
      </c>
    </row>
    <row r="30" spans="1:17" ht="14.4" customHeight="1" x14ac:dyDescent="0.3">
      <c r="A30" s="528" t="s">
        <v>549</v>
      </c>
      <c r="B30" s="529" t="s">
        <v>518</v>
      </c>
      <c r="C30" s="529" t="s">
        <v>491</v>
      </c>
      <c r="D30" s="529" t="s">
        <v>521</v>
      </c>
      <c r="E30" s="529" t="s">
        <v>522</v>
      </c>
      <c r="F30" s="532">
        <v>2</v>
      </c>
      <c r="G30" s="532">
        <v>468</v>
      </c>
      <c r="H30" s="532">
        <v>1</v>
      </c>
      <c r="I30" s="532">
        <v>234</v>
      </c>
      <c r="J30" s="532">
        <v>1</v>
      </c>
      <c r="K30" s="532">
        <v>235</v>
      </c>
      <c r="L30" s="532">
        <v>0.50213675213675213</v>
      </c>
      <c r="M30" s="532">
        <v>235</v>
      </c>
      <c r="N30" s="532"/>
      <c r="O30" s="532"/>
      <c r="P30" s="543"/>
      <c r="Q30" s="533"/>
    </row>
    <row r="31" spans="1:17" ht="14.4" customHeight="1" x14ac:dyDescent="0.3">
      <c r="A31" s="528" t="s">
        <v>550</v>
      </c>
      <c r="B31" s="529" t="s">
        <v>490</v>
      </c>
      <c r="C31" s="529" t="s">
        <v>491</v>
      </c>
      <c r="D31" s="529" t="s">
        <v>492</v>
      </c>
      <c r="E31" s="529" t="s">
        <v>493</v>
      </c>
      <c r="F31" s="532"/>
      <c r="G31" s="532"/>
      <c r="H31" s="532"/>
      <c r="I31" s="532"/>
      <c r="J31" s="532">
        <v>1</v>
      </c>
      <c r="K31" s="532">
        <v>35</v>
      </c>
      <c r="L31" s="532"/>
      <c r="M31" s="532">
        <v>35</v>
      </c>
      <c r="N31" s="532">
        <v>2</v>
      </c>
      <c r="O31" s="532">
        <v>74</v>
      </c>
      <c r="P31" s="543"/>
      <c r="Q31" s="533">
        <v>37</v>
      </c>
    </row>
    <row r="32" spans="1:17" ht="14.4" customHeight="1" x14ac:dyDescent="0.3">
      <c r="A32" s="528" t="s">
        <v>550</v>
      </c>
      <c r="B32" s="529" t="s">
        <v>490</v>
      </c>
      <c r="C32" s="529" t="s">
        <v>491</v>
      </c>
      <c r="D32" s="529" t="s">
        <v>494</v>
      </c>
      <c r="E32" s="529" t="s">
        <v>495</v>
      </c>
      <c r="F32" s="532"/>
      <c r="G32" s="532"/>
      <c r="H32" s="532"/>
      <c r="I32" s="532"/>
      <c r="J32" s="532"/>
      <c r="K32" s="532"/>
      <c r="L32" s="532"/>
      <c r="M32" s="532"/>
      <c r="N32" s="532">
        <v>1</v>
      </c>
      <c r="O32" s="532">
        <v>469</v>
      </c>
      <c r="P32" s="543"/>
      <c r="Q32" s="533">
        <v>469</v>
      </c>
    </row>
    <row r="33" spans="1:17" ht="14.4" customHeight="1" x14ac:dyDescent="0.3">
      <c r="A33" s="528" t="s">
        <v>550</v>
      </c>
      <c r="B33" s="529" t="s">
        <v>515</v>
      </c>
      <c r="C33" s="529" t="s">
        <v>491</v>
      </c>
      <c r="D33" s="529" t="s">
        <v>516</v>
      </c>
      <c r="E33" s="529" t="s">
        <v>517</v>
      </c>
      <c r="F33" s="532"/>
      <c r="G33" s="532"/>
      <c r="H33" s="532"/>
      <c r="I33" s="532"/>
      <c r="J33" s="532">
        <v>2</v>
      </c>
      <c r="K33" s="532">
        <v>470</v>
      </c>
      <c r="L33" s="532"/>
      <c r="M33" s="532">
        <v>235</v>
      </c>
      <c r="N33" s="532"/>
      <c r="O33" s="532"/>
      <c r="P33" s="543"/>
      <c r="Q33" s="533"/>
    </row>
    <row r="34" spans="1:17" ht="14.4" customHeight="1" x14ac:dyDescent="0.3">
      <c r="A34" s="528" t="s">
        <v>550</v>
      </c>
      <c r="B34" s="529" t="s">
        <v>515</v>
      </c>
      <c r="C34" s="529" t="s">
        <v>491</v>
      </c>
      <c r="D34" s="529" t="s">
        <v>496</v>
      </c>
      <c r="E34" s="529" t="s">
        <v>497</v>
      </c>
      <c r="F34" s="532"/>
      <c r="G34" s="532"/>
      <c r="H34" s="532"/>
      <c r="I34" s="532"/>
      <c r="J34" s="532">
        <v>2</v>
      </c>
      <c r="K34" s="532">
        <v>0</v>
      </c>
      <c r="L34" s="532"/>
      <c r="M34" s="532">
        <v>0</v>
      </c>
      <c r="N34" s="532"/>
      <c r="O34" s="532"/>
      <c r="P34" s="543"/>
      <c r="Q34" s="533"/>
    </row>
    <row r="35" spans="1:17" ht="14.4" customHeight="1" x14ac:dyDescent="0.3">
      <c r="A35" s="528" t="s">
        <v>550</v>
      </c>
      <c r="B35" s="529" t="s">
        <v>518</v>
      </c>
      <c r="C35" s="529" t="s">
        <v>491</v>
      </c>
      <c r="D35" s="529" t="s">
        <v>521</v>
      </c>
      <c r="E35" s="529" t="s">
        <v>522</v>
      </c>
      <c r="F35" s="532">
        <v>1</v>
      </c>
      <c r="G35" s="532">
        <v>234</v>
      </c>
      <c r="H35" s="532">
        <v>1</v>
      </c>
      <c r="I35" s="532">
        <v>234</v>
      </c>
      <c r="J35" s="532"/>
      <c r="K35" s="532"/>
      <c r="L35" s="532"/>
      <c r="M35" s="532"/>
      <c r="N35" s="532"/>
      <c r="O35" s="532"/>
      <c r="P35" s="543"/>
      <c r="Q35" s="533"/>
    </row>
    <row r="36" spans="1:17" ht="14.4" customHeight="1" x14ac:dyDescent="0.3">
      <c r="A36" s="528" t="s">
        <v>551</v>
      </c>
      <c r="B36" s="529" t="s">
        <v>518</v>
      </c>
      <c r="C36" s="529" t="s">
        <v>491</v>
      </c>
      <c r="D36" s="529" t="s">
        <v>521</v>
      </c>
      <c r="E36" s="529" t="s">
        <v>522</v>
      </c>
      <c r="F36" s="532">
        <v>1</v>
      </c>
      <c r="G36" s="532">
        <v>234</v>
      </c>
      <c r="H36" s="532">
        <v>1</v>
      </c>
      <c r="I36" s="532">
        <v>234</v>
      </c>
      <c r="J36" s="532"/>
      <c r="K36" s="532"/>
      <c r="L36" s="532"/>
      <c r="M36" s="532"/>
      <c r="N36" s="532"/>
      <c r="O36" s="532"/>
      <c r="P36" s="543"/>
      <c r="Q36" s="533"/>
    </row>
    <row r="37" spans="1:17" ht="14.4" customHeight="1" x14ac:dyDescent="0.3">
      <c r="A37" s="528" t="s">
        <v>552</v>
      </c>
      <c r="B37" s="529" t="s">
        <v>490</v>
      </c>
      <c r="C37" s="529" t="s">
        <v>491</v>
      </c>
      <c r="D37" s="529" t="s">
        <v>492</v>
      </c>
      <c r="E37" s="529" t="s">
        <v>493</v>
      </c>
      <c r="F37" s="532"/>
      <c r="G37" s="532"/>
      <c r="H37" s="532"/>
      <c r="I37" s="532"/>
      <c r="J37" s="532">
        <v>2</v>
      </c>
      <c r="K37" s="532">
        <v>70</v>
      </c>
      <c r="L37" s="532"/>
      <c r="M37" s="532">
        <v>35</v>
      </c>
      <c r="N37" s="532"/>
      <c r="O37" s="532"/>
      <c r="P37" s="543"/>
      <c r="Q37" s="533"/>
    </row>
    <row r="38" spans="1:17" ht="14.4" customHeight="1" x14ac:dyDescent="0.3">
      <c r="A38" s="528" t="s">
        <v>552</v>
      </c>
      <c r="B38" s="529" t="s">
        <v>490</v>
      </c>
      <c r="C38" s="529" t="s">
        <v>491</v>
      </c>
      <c r="D38" s="529" t="s">
        <v>494</v>
      </c>
      <c r="E38" s="529" t="s">
        <v>495</v>
      </c>
      <c r="F38" s="532"/>
      <c r="G38" s="532"/>
      <c r="H38" s="532"/>
      <c r="I38" s="532"/>
      <c r="J38" s="532"/>
      <c r="K38" s="532"/>
      <c r="L38" s="532"/>
      <c r="M38" s="532"/>
      <c r="N38" s="532">
        <v>1</v>
      </c>
      <c r="O38" s="532">
        <v>469</v>
      </c>
      <c r="P38" s="543"/>
      <c r="Q38" s="533">
        <v>469</v>
      </c>
    </row>
    <row r="39" spans="1:17" ht="14.4" customHeight="1" x14ac:dyDescent="0.3">
      <c r="A39" s="528" t="s">
        <v>552</v>
      </c>
      <c r="B39" s="529" t="s">
        <v>518</v>
      </c>
      <c r="C39" s="529" t="s">
        <v>491</v>
      </c>
      <c r="D39" s="529" t="s">
        <v>521</v>
      </c>
      <c r="E39" s="529" t="s">
        <v>522</v>
      </c>
      <c r="F39" s="532">
        <v>1</v>
      </c>
      <c r="G39" s="532">
        <v>234</v>
      </c>
      <c r="H39" s="532">
        <v>1</v>
      </c>
      <c r="I39" s="532">
        <v>234</v>
      </c>
      <c r="J39" s="532"/>
      <c r="K39" s="532"/>
      <c r="L39" s="532"/>
      <c r="M39" s="532"/>
      <c r="N39" s="532"/>
      <c r="O39" s="532"/>
      <c r="P39" s="543"/>
      <c r="Q39" s="533"/>
    </row>
    <row r="40" spans="1:17" ht="14.4" customHeight="1" x14ac:dyDescent="0.3">
      <c r="A40" s="528" t="s">
        <v>553</v>
      </c>
      <c r="B40" s="529" t="s">
        <v>515</v>
      </c>
      <c r="C40" s="529" t="s">
        <v>491</v>
      </c>
      <c r="D40" s="529" t="s">
        <v>516</v>
      </c>
      <c r="E40" s="529" t="s">
        <v>517</v>
      </c>
      <c r="F40" s="532"/>
      <c r="G40" s="532"/>
      <c r="H40" s="532"/>
      <c r="I40" s="532"/>
      <c r="J40" s="532">
        <v>6</v>
      </c>
      <c r="K40" s="532">
        <v>1410</v>
      </c>
      <c r="L40" s="532"/>
      <c r="M40" s="532">
        <v>235</v>
      </c>
      <c r="N40" s="532"/>
      <c r="O40" s="532"/>
      <c r="P40" s="543"/>
      <c r="Q40" s="533"/>
    </row>
    <row r="41" spans="1:17" ht="14.4" customHeight="1" x14ac:dyDescent="0.3">
      <c r="A41" s="528" t="s">
        <v>553</v>
      </c>
      <c r="B41" s="529" t="s">
        <v>518</v>
      </c>
      <c r="C41" s="529" t="s">
        <v>491</v>
      </c>
      <c r="D41" s="529" t="s">
        <v>521</v>
      </c>
      <c r="E41" s="529" t="s">
        <v>522</v>
      </c>
      <c r="F41" s="532">
        <v>18</v>
      </c>
      <c r="G41" s="532">
        <v>4202</v>
      </c>
      <c r="H41" s="532">
        <v>1</v>
      </c>
      <c r="I41" s="532">
        <v>233.44444444444446</v>
      </c>
      <c r="J41" s="532">
        <v>1</v>
      </c>
      <c r="K41" s="532">
        <v>235</v>
      </c>
      <c r="L41" s="532">
        <v>5.5925749643027128E-2</v>
      </c>
      <c r="M41" s="532">
        <v>235</v>
      </c>
      <c r="N41" s="532"/>
      <c r="O41" s="532"/>
      <c r="P41" s="543"/>
      <c r="Q41" s="533"/>
    </row>
    <row r="42" spans="1:17" ht="14.4" customHeight="1" x14ac:dyDescent="0.3">
      <c r="A42" s="528" t="s">
        <v>554</v>
      </c>
      <c r="B42" s="529" t="s">
        <v>518</v>
      </c>
      <c r="C42" s="529" t="s">
        <v>491</v>
      </c>
      <c r="D42" s="529" t="s">
        <v>521</v>
      </c>
      <c r="E42" s="529" t="s">
        <v>522</v>
      </c>
      <c r="F42" s="532">
        <v>2</v>
      </c>
      <c r="G42" s="532">
        <v>468</v>
      </c>
      <c r="H42" s="532">
        <v>1</v>
      </c>
      <c r="I42" s="532">
        <v>234</v>
      </c>
      <c r="J42" s="532"/>
      <c r="K42" s="532"/>
      <c r="L42" s="532"/>
      <c r="M42" s="532"/>
      <c r="N42" s="532"/>
      <c r="O42" s="532"/>
      <c r="P42" s="543"/>
      <c r="Q42" s="533"/>
    </row>
    <row r="43" spans="1:17" ht="14.4" customHeight="1" thickBot="1" x14ac:dyDescent="0.35">
      <c r="A43" s="504" t="s">
        <v>555</v>
      </c>
      <c r="B43" s="534" t="s">
        <v>518</v>
      </c>
      <c r="C43" s="534" t="s">
        <v>491</v>
      </c>
      <c r="D43" s="534" t="s">
        <v>521</v>
      </c>
      <c r="E43" s="534" t="s">
        <v>522</v>
      </c>
      <c r="F43" s="505">
        <v>2</v>
      </c>
      <c r="G43" s="505">
        <v>468</v>
      </c>
      <c r="H43" s="505">
        <v>1</v>
      </c>
      <c r="I43" s="505">
        <v>234</v>
      </c>
      <c r="J43" s="505">
        <v>1</v>
      </c>
      <c r="K43" s="505">
        <v>235</v>
      </c>
      <c r="L43" s="505">
        <v>0.50213675213675213</v>
      </c>
      <c r="M43" s="505">
        <v>235</v>
      </c>
      <c r="N43" s="505"/>
      <c r="O43" s="505"/>
      <c r="P43" s="506"/>
      <c r="Q43" s="50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30" t="s">
        <v>117</v>
      </c>
      <c r="B1" s="330"/>
      <c r="C1" s="331"/>
      <c r="D1" s="331"/>
      <c r="E1" s="331"/>
    </row>
    <row r="2" spans="1:5" ht="14.4" customHeight="1" thickBot="1" x14ac:dyDescent="0.35">
      <c r="A2" s="230" t="s">
        <v>253</v>
      </c>
      <c r="B2" s="152"/>
    </row>
    <row r="3" spans="1:5" ht="14.4" customHeight="1" thickBot="1" x14ac:dyDescent="0.35">
      <c r="A3" s="155"/>
      <c r="C3" s="156" t="s">
        <v>105</v>
      </c>
      <c r="D3" s="157" t="s">
        <v>71</v>
      </c>
      <c r="E3" s="158" t="s">
        <v>73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461.54659449672579</v>
      </c>
      <c r="D4" s="161">
        <f ca="1">IF(ISERROR(VLOOKUP("Náklady celkem",INDIRECT("HI!$A:$G"),5,0)),0,VLOOKUP("Náklady celkem",INDIRECT("HI!$A:$G"),5,0))</f>
        <v>340.22477999999995</v>
      </c>
      <c r="E4" s="162">
        <f ca="1">IF(C4=0,0,D4/C4)</f>
        <v>0.73714070054180303</v>
      </c>
    </row>
    <row r="5" spans="1:5" ht="14.4" customHeight="1" x14ac:dyDescent="0.3">
      <c r="A5" s="163" t="s">
        <v>144</v>
      </c>
      <c r="B5" s="164"/>
      <c r="C5" s="165"/>
      <c r="D5" s="165"/>
      <c r="E5" s="166"/>
    </row>
    <row r="6" spans="1:5" ht="14.4" customHeight="1" x14ac:dyDescent="0.3">
      <c r="A6" s="167" t="s">
        <v>149</v>
      </c>
      <c r="B6" s="168"/>
      <c r="C6" s="169"/>
      <c r="D6" s="169"/>
      <c r="E6" s="166"/>
    </row>
    <row r="7" spans="1:5" ht="14.4" customHeight="1" x14ac:dyDescent="0.3">
      <c r="A7" s="3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109</v>
      </c>
      <c r="C7" s="169">
        <f>IF(ISERROR(HI!F5),"",HI!F5)</f>
        <v>0</v>
      </c>
      <c r="D7" s="169">
        <f>IF(ISERROR(HI!E5),"",HI!E5)</f>
        <v>0</v>
      </c>
      <c r="E7" s="166">
        <f t="shared" ref="E7:E13" si="0">IF(C7=0,0,D7/C7)</f>
        <v>0</v>
      </c>
    </row>
    <row r="8" spans="1:5" ht="14.4" customHeight="1" x14ac:dyDescent="0.3">
      <c r="A8" s="171" t="s">
        <v>145</v>
      </c>
      <c r="B8" s="168"/>
      <c r="C8" s="169"/>
      <c r="D8" s="169"/>
      <c r="E8" s="166"/>
    </row>
    <row r="9" spans="1:5" ht="14.4" customHeight="1" x14ac:dyDescent="0.3">
      <c r="A9" s="308" t="str">
        <f>HYPERLINK("#'Léky Recepty'!A1","Záchyt v lékárně (Úhrada Kč, min. 60%)")</f>
        <v>Záchyt v lékárně (Úhrada Kč, min. 60%)</v>
      </c>
      <c r="B9" s="168" t="s">
        <v>112</v>
      </c>
      <c r="C9" s="170">
        <v>0.6</v>
      </c>
      <c r="D9" s="170">
        <f>IF(ISERROR(VLOOKUP("Celkem",'Léky Recepty'!B:H,5,0)),0,VLOOKUP("Celkem",'Léky Recepty'!B:H,5,0))</f>
        <v>1</v>
      </c>
      <c r="E9" s="166">
        <f t="shared" si="0"/>
        <v>1.6666666666666667</v>
      </c>
    </row>
    <row r="10" spans="1:5" ht="14.4" customHeight="1" x14ac:dyDescent="0.3">
      <c r="A10" s="308" t="str">
        <f>HYPERLINK("#'LRp PL'!A1","Plnění pozitivního listu (min. 80%)")</f>
        <v>Plnění pozitivního listu (min. 80%)</v>
      </c>
      <c r="B10" s="168" t="s">
        <v>138</v>
      </c>
      <c r="C10" s="170">
        <v>0.8</v>
      </c>
      <c r="D10" s="170">
        <f>IF(ISERROR(VLOOKUP("Celkem",'LRp PL'!A:F,5,0)),0,VLOOKUP("Celkem",'LRp PL'!A:F,5,0))</f>
        <v>1</v>
      </c>
      <c r="E10" s="166">
        <f t="shared" si="0"/>
        <v>1.25</v>
      </c>
    </row>
    <row r="11" spans="1:5" ht="14.4" customHeight="1" x14ac:dyDescent="0.3">
      <c r="A11" s="171" t="s">
        <v>146</v>
      </c>
      <c r="B11" s="168"/>
      <c r="C11" s="169"/>
      <c r="D11" s="169"/>
      <c r="E11" s="166"/>
    </row>
    <row r="12" spans="1:5" ht="14.4" customHeight="1" x14ac:dyDescent="0.3">
      <c r="A12" s="172" t="s">
        <v>150</v>
      </c>
      <c r="B12" s="168"/>
      <c r="C12" s="165"/>
      <c r="D12" s="165"/>
      <c r="E12" s="166"/>
    </row>
    <row r="13" spans="1:5" ht="14.4" customHeight="1" x14ac:dyDescent="0.3">
      <c r="A13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8" t="s">
        <v>109</v>
      </c>
      <c r="C13" s="169">
        <f>IF(ISERROR(HI!F6),"",HI!F6)</f>
        <v>434.16670586300916</v>
      </c>
      <c r="D13" s="169">
        <f>IF(ISERROR(HI!E6),"",HI!E6)</f>
        <v>307.92673000000002</v>
      </c>
      <c r="E13" s="166">
        <f t="shared" si="0"/>
        <v>0.70923616629682074</v>
      </c>
    </row>
    <row r="14" spans="1:5" ht="14.4" customHeight="1" thickBot="1" x14ac:dyDescent="0.35">
      <c r="A14" s="174" t="str">
        <f>HYPERLINK("#HI!A1","Osobní náklady")</f>
        <v>Osobní náklady</v>
      </c>
      <c r="B14" s="168"/>
      <c r="C14" s="165">
        <f ca="1">IF(ISERROR(VLOOKUP("Osobní náklady (Kč) *",INDIRECT("HI!$A:$G"),6,0)),0,VLOOKUP("Osobní náklady (Kč) *",INDIRECT("HI!$A:$G"),6,0))</f>
        <v>0</v>
      </c>
      <c r="D14" s="165">
        <f ca="1">IF(ISERROR(VLOOKUP("Osobní náklady (Kč) *",INDIRECT("HI!$A:$G"),5,0)),0,VLOOKUP("Osobní náklady (Kč) *",INDIRECT("HI!$A:$G"),5,0))</f>
        <v>0</v>
      </c>
      <c r="E14" s="166">
        <f ca="1">IF(C14=0,0,D14/C14)</f>
        <v>0</v>
      </c>
    </row>
    <row r="15" spans="1:5" ht="14.4" customHeight="1" thickBot="1" x14ac:dyDescent="0.35">
      <c r="A15" s="178"/>
      <c r="B15" s="179"/>
      <c r="C15" s="180"/>
      <c r="D15" s="180"/>
      <c r="E15" s="181"/>
    </row>
    <row r="16" spans="1:5" ht="14.4" customHeight="1" thickBot="1" x14ac:dyDescent="0.35">
      <c r="A16" s="182" t="str">
        <f>HYPERLINK("#HI!A1","VÝNOSY CELKEM (v tisících)")</f>
        <v>VÝNOSY CELKEM (v tisících)</v>
      </c>
      <c r="B16" s="183"/>
      <c r="C16" s="184">
        <f ca="1">IF(ISERROR(VLOOKUP("Výnosy celkem",INDIRECT("HI!$A:$G"),6,0)),0,VLOOKUP("Výnosy celkem",INDIRECT("HI!$A:$G"),6,0))</f>
        <v>1119.2370000000001</v>
      </c>
      <c r="D16" s="184">
        <f ca="1">IF(ISERROR(VLOOKUP("Výnosy celkem",INDIRECT("HI!$A:$G"),5,0)),0,VLOOKUP("Výnosy celkem",INDIRECT("HI!$A:$G"),5,0))</f>
        <v>805.58100000000013</v>
      </c>
      <c r="E16" s="185">
        <f t="shared" ref="E16:E19" ca="1" si="1">IF(C16=0,0,D16/C16)</f>
        <v>0.7197590858772539</v>
      </c>
    </row>
    <row r="17" spans="1:5" ht="14.4" customHeight="1" x14ac:dyDescent="0.3">
      <c r="A17" s="186" t="str">
        <f>HYPERLINK("#HI!A1","Ambulance (body za výkony + Kč za ZUM a ZULP)")</f>
        <v>Ambulance (body za výkony + Kč za ZUM a ZULP)</v>
      </c>
      <c r="B17" s="164"/>
      <c r="C17" s="165">
        <f ca="1">IF(ISERROR(VLOOKUP("Ambulance *",INDIRECT("HI!$A:$G"),6,0)),0,VLOOKUP("Ambulance *",INDIRECT("HI!$A:$G"),6,0))</f>
        <v>1119.2370000000001</v>
      </c>
      <c r="D17" s="165">
        <f ca="1">IF(ISERROR(VLOOKUP("Ambulance *",INDIRECT("HI!$A:$G"),5,0)),0,VLOOKUP("Ambulance *",INDIRECT("HI!$A:$G"),5,0))</f>
        <v>805.58100000000013</v>
      </c>
      <c r="E17" s="166">
        <f t="shared" ca="1" si="1"/>
        <v>0.7197590858772539</v>
      </c>
    </row>
    <row r="18" spans="1:5" ht="14.4" customHeight="1" x14ac:dyDescent="0.3">
      <c r="A18" s="187" t="str">
        <f>HYPERLINK("#'ZV Vykáz.-A'!A1","Zdravotní výkony vykázané u ambulantních pacientů (min. 100 %)")</f>
        <v>Zdravotní výkony vykázané u ambulantních pacientů (min. 100 %)</v>
      </c>
      <c r="B18" s="151" t="s">
        <v>119</v>
      </c>
      <c r="C18" s="170">
        <v>1</v>
      </c>
      <c r="D18" s="170">
        <f>IF(ISERROR(VLOOKUP("Celkem:",'ZV Vykáz.-A'!$A:$S,7,0)),"",VLOOKUP("Celkem:",'ZV Vykáz.-A'!$A:$S,7,0))</f>
        <v>0.71975908587725401</v>
      </c>
      <c r="E18" s="166">
        <f t="shared" si="1"/>
        <v>0.71975908587725401</v>
      </c>
    </row>
    <row r="19" spans="1:5" ht="14.4" customHeight="1" x14ac:dyDescent="0.3">
      <c r="A19" s="187" t="str">
        <f>HYPERLINK("#'ZV Vykáz.-H'!A1","Zdravotní výkony vykázané u hospitalizovaných pacientů (max. 85 %)")</f>
        <v>Zdravotní výkony vykázané u hospitalizovaných pacientů (max. 85 %)</v>
      </c>
      <c r="B19" s="151" t="s">
        <v>121</v>
      </c>
      <c r="C19" s="170">
        <v>0.85</v>
      </c>
      <c r="D19" s="170">
        <f>IF(ISERROR(VLOOKUP("Celkem:",'ZV Vykáz.-H'!$A:$S,7,0)),"",VLOOKUP("Celkem:",'ZV Vykáz.-H'!$A:$S,7,0))</f>
        <v>0.7223028895019602</v>
      </c>
      <c r="E19" s="166">
        <f t="shared" si="1"/>
        <v>0.84976810529642377</v>
      </c>
    </row>
    <row r="20" spans="1:5" ht="14.4" customHeight="1" x14ac:dyDescent="0.3">
      <c r="A20" s="188" t="str">
        <f>HYPERLINK("#HI!A1","Hospitalizace (casemix * 30000)")</f>
        <v>Hospitalizace (casemix * 30000)</v>
      </c>
      <c r="B20" s="168"/>
      <c r="C20" s="165">
        <f ca="1">IF(ISERROR(VLOOKUP("Hospitalizace *",INDIRECT("HI!$A:$G"),6,0)),0,VLOOKUP("Hospitalizace *",INDIRECT("HI!$A:$G"),6,0))</f>
        <v>0</v>
      </c>
      <c r="D20" s="165">
        <f ca="1">IF(ISERROR(VLOOKUP("Hospitalizace *",INDIRECT("HI!$A:$G"),5,0)),0,VLOOKUP("Hospitalizace *",INDIRECT("HI!$A:$G"),5,0))</f>
        <v>0</v>
      </c>
      <c r="E20" s="166">
        <f ca="1">IF(C20=0,0,D20/C20)</f>
        <v>0</v>
      </c>
    </row>
    <row r="21" spans="1:5" ht="14.4" customHeight="1" thickBot="1" x14ac:dyDescent="0.35">
      <c r="A21" s="189" t="s">
        <v>147</v>
      </c>
      <c r="B21" s="175"/>
      <c r="C21" s="176"/>
      <c r="D21" s="176"/>
      <c r="E21" s="177"/>
    </row>
    <row r="22" spans="1:5" ht="14.4" customHeight="1" thickBot="1" x14ac:dyDescent="0.35">
      <c r="A22" s="190"/>
      <c r="B22" s="191"/>
      <c r="C22" s="192"/>
      <c r="D22" s="192"/>
      <c r="E22" s="193"/>
    </row>
    <row r="23" spans="1:5" ht="14.4" customHeight="1" thickBot="1" x14ac:dyDescent="0.35">
      <c r="A23" s="194" t="s">
        <v>148</v>
      </c>
      <c r="B23" s="195"/>
      <c r="C23" s="196"/>
      <c r="D23" s="196"/>
      <c r="E23" s="197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45" priority="20" operator="lessThan">
      <formula>1</formula>
    </cfRule>
  </conditionalFormatting>
  <conditionalFormatting sqref="E16 E18 E9:E10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30" t="s">
        <v>132</v>
      </c>
      <c r="B1" s="330"/>
      <c r="C1" s="330"/>
      <c r="D1" s="330"/>
      <c r="E1" s="330"/>
      <c r="F1" s="330"/>
      <c r="G1" s="331"/>
      <c r="H1" s="331"/>
    </row>
    <row r="2" spans="1:8" ht="14.4" customHeight="1" thickBot="1" x14ac:dyDescent="0.35">
      <c r="A2" s="230" t="s">
        <v>253</v>
      </c>
      <c r="B2" s="111"/>
      <c r="C2" s="111"/>
      <c r="D2" s="111"/>
      <c r="E2" s="111"/>
      <c r="F2" s="111"/>
    </row>
    <row r="3" spans="1:8" ht="14.4" customHeight="1" x14ac:dyDescent="0.3">
      <c r="A3" s="332"/>
      <c r="B3" s="107">
        <v>2014</v>
      </c>
      <c r="C3" s="40">
        <v>2015</v>
      </c>
      <c r="D3" s="7"/>
      <c r="E3" s="336">
        <v>2016</v>
      </c>
      <c r="F3" s="337"/>
      <c r="G3" s="337"/>
      <c r="H3" s="338"/>
    </row>
    <row r="4" spans="1:8" ht="14.4" customHeight="1" thickBot="1" x14ac:dyDescent="0.35">
      <c r="A4" s="333"/>
      <c r="B4" s="334" t="s">
        <v>71</v>
      </c>
      <c r="C4" s="335"/>
      <c r="D4" s="7"/>
      <c r="E4" s="128" t="s">
        <v>71</v>
      </c>
      <c r="F4" s="109" t="s">
        <v>72</v>
      </c>
      <c r="G4" s="109" t="s">
        <v>66</v>
      </c>
      <c r="H4" s="110" t="s">
        <v>73</v>
      </c>
    </row>
    <row r="5" spans="1:8" ht="14.4" customHeight="1" x14ac:dyDescent="0.3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358.58970999999997</v>
      </c>
      <c r="C6" s="31">
        <v>439.41412000000003</v>
      </c>
      <c r="D6" s="8"/>
      <c r="E6" s="118">
        <v>307.92673000000002</v>
      </c>
      <c r="F6" s="30">
        <v>434.16670586300916</v>
      </c>
      <c r="G6" s="119">
        <f>E6-F6</f>
        <v>-126.23997586300914</v>
      </c>
      <c r="H6" s="123">
        <f>IF(F6&lt;0.00000001,"",E6/F6)</f>
        <v>0.70923616629682074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8" ht="14.4" customHeight="1" thickBot="1" x14ac:dyDescent="0.35">
      <c r="A8" s="1" t="s">
        <v>74</v>
      </c>
      <c r="B8" s="11">
        <v>21.37511000000012</v>
      </c>
      <c r="C8" s="33">
        <v>34.410449999999912</v>
      </c>
      <c r="D8" s="8"/>
      <c r="E8" s="120">
        <v>32.298049999999932</v>
      </c>
      <c r="F8" s="32">
        <v>27.379888633716632</v>
      </c>
      <c r="G8" s="121">
        <f>E8-F8</f>
        <v>4.9181613662833001</v>
      </c>
      <c r="H8" s="124">
        <f>IF(F8&lt;0.00000001,"",E8/F8)</f>
        <v>1.1796267849032407</v>
      </c>
    </row>
    <row r="9" spans="1:8" ht="14.4" customHeight="1" thickBot="1" x14ac:dyDescent="0.35">
      <c r="A9" s="2" t="s">
        <v>75</v>
      </c>
      <c r="B9" s="3">
        <v>379.96482000000009</v>
      </c>
      <c r="C9" s="35">
        <v>473.82456999999994</v>
      </c>
      <c r="D9" s="8"/>
      <c r="E9" s="3">
        <v>340.22477999999995</v>
      </c>
      <c r="F9" s="34">
        <v>461.54659449672579</v>
      </c>
      <c r="G9" s="34">
        <f>E9-F9</f>
        <v>-121.32181449672584</v>
      </c>
      <c r="H9" s="125">
        <f>IF(F9&lt;0.00000001,"",E9/F9)</f>
        <v>0.73714070054180303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1119.2370000000001</v>
      </c>
      <c r="C11" s="29">
        <f>IF(ISERROR(VLOOKUP("Celkem:",'ZV Vykáz.-A'!A:F,4,0)),0,VLOOKUP("Celkem:",'ZV Vykáz.-A'!A:F,4,0)/1000)</f>
        <v>1111.19</v>
      </c>
      <c r="D11" s="8"/>
      <c r="E11" s="117">
        <f>IF(ISERROR(VLOOKUP("Celkem:",'ZV Vykáz.-A'!A:F,6,0)),0,VLOOKUP("Celkem:",'ZV Vykáz.-A'!A:F,6,0)/1000)</f>
        <v>805.58100000000013</v>
      </c>
      <c r="F11" s="28">
        <f>B11</f>
        <v>1119.2370000000001</v>
      </c>
      <c r="G11" s="116">
        <f>E11-F11</f>
        <v>-313.65599999999995</v>
      </c>
      <c r="H11" s="122">
        <f>IF(F11&lt;0.00000001,"",E11/F11)</f>
        <v>0.7197590858772539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78</v>
      </c>
      <c r="B13" s="5">
        <f>SUM(B11:B12)</f>
        <v>1119.2370000000001</v>
      </c>
      <c r="C13" s="37">
        <f>SUM(C11:C12)</f>
        <v>1111.19</v>
      </c>
      <c r="D13" s="8"/>
      <c r="E13" s="5">
        <f>SUM(E11:E12)</f>
        <v>805.58100000000013</v>
      </c>
      <c r="F13" s="36">
        <f>SUM(F11:F12)</f>
        <v>1119.2370000000001</v>
      </c>
      <c r="G13" s="36">
        <f>E13-F13</f>
        <v>-313.65599999999995</v>
      </c>
      <c r="H13" s="126">
        <f>IF(F13&lt;0.00000001,"",E13/F13)</f>
        <v>0.7197590858772539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2.9456332299395505</v>
      </c>
      <c r="C15" s="39">
        <f>IF(C9=0,"",C13/C9)</f>
        <v>2.3451506535425128</v>
      </c>
      <c r="D15" s="8"/>
      <c r="E15" s="6">
        <f>IF(E9=0,"",E13/E9)</f>
        <v>2.36779049427264</v>
      </c>
      <c r="F15" s="38">
        <f>IF(F9=0,"",F13/F9)</f>
        <v>2.4249707685968853</v>
      </c>
      <c r="G15" s="38">
        <f>IF(ISERROR(F15-E15),"",E15-F15)</f>
        <v>-5.7180274324245328E-2</v>
      </c>
      <c r="H15" s="127">
        <f>IF(ISERROR(F15-E15),"",IF(F15&lt;0.00000001,"",E15/F15))</f>
        <v>0.97642022119824134</v>
      </c>
    </row>
    <row r="17" spans="1:8" ht="14.4" customHeight="1" x14ac:dyDescent="0.3">
      <c r="A17" s="113" t="s">
        <v>152</v>
      </c>
    </row>
    <row r="18" spans="1:8" ht="14.4" customHeight="1" x14ac:dyDescent="0.3">
      <c r="A18" s="293" t="s">
        <v>174</v>
      </c>
      <c r="B18" s="294"/>
      <c r="C18" s="294"/>
      <c r="D18" s="294"/>
      <c r="E18" s="294"/>
      <c r="F18" s="294"/>
      <c r="G18" s="294"/>
      <c r="H18" s="294"/>
    </row>
    <row r="19" spans="1:8" x14ac:dyDescent="0.3">
      <c r="A19" s="292" t="s">
        <v>173</v>
      </c>
      <c r="B19" s="294"/>
      <c r="C19" s="294"/>
      <c r="D19" s="294"/>
      <c r="E19" s="294"/>
      <c r="F19" s="294"/>
      <c r="G19" s="294"/>
      <c r="H19" s="294"/>
    </row>
    <row r="20" spans="1:8" ht="14.4" customHeight="1" x14ac:dyDescent="0.3">
      <c r="A20" s="114" t="s">
        <v>213</v>
      </c>
    </row>
    <row r="21" spans="1:8" ht="14.4" customHeight="1" x14ac:dyDescent="0.3">
      <c r="A21" s="114" t="s">
        <v>153</v>
      </c>
    </row>
    <row r="22" spans="1:8" ht="14.4" customHeight="1" x14ac:dyDescent="0.3">
      <c r="A22" s="115" t="s">
        <v>252</v>
      </c>
    </row>
    <row r="23" spans="1:8" ht="14.4" customHeight="1" x14ac:dyDescent="0.3">
      <c r="A23" s="115" t="s">
        <v>154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30" t="s">
        <v>102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x14ac:dyDescent="0.3">
      <c r="A2" s="230" t="s">
        <v>253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80</v>
      </c>
      <c r="C3" s="200" t="s">
        <v>81</v>
      </c>
      <c r="D3" s="200" t="s">
        <v>82</v>
      </c>
      <c r="E3" s="199" t="s">
        <v>83</v>
      </c>
      <c r="F3" s="200" t="s">
        <v>84</v>
      </c>
      <c r="G3" s="200" t="s">
        <v>85</v>
      </c>
      <c r="H3" s="200" t="s">
        <v>86</v>
      </c>
      <c r="I3" s="200" t="s">
        <v>87</v>
      </c>
      <c r="J3" s="200" t="s">
        <v>88</v>
      </c>
      <c r="K3" s="200" t="s">
        <v>89</v>
      </c>
      <c r="L3" s="200" t="s">
        <v>90</v>
      </c>
      <c r="M3" s="200" t="s">
        <v>91</v>
      </c>
    </row>
    <row r="4" spans="1:13" ht="14.4" customHeight="1" x14ac:dyDescent="0.3">
      <c r="A4" s="198" t="s">
        <v>79</v>
      </c>
      <c r="B4" s="201">
        <f>(B10+B8)/B6</f>
        <v>4.6679128712971281</v>
      </c>
      <c r="C4" s="201">
        <f t="shared" ref="C4:M4" si="0">(C10+C8)/C6</f>
        <v>2.3603487255246693</v>
      </c>
      <c r="D4" s="201">
        <f t="shared" si="0"/>
        <v>2.3562454456735815</v>
      </c>
      <c r="E4" s="201">
        <f t="shared" si="0"/>
        <v>2.0513425194345252</v>
      </c>
      <c r="F4" s="201">
        <f t="shared" si="0"/>
        <v>2.4180300736222011</v>
      </c>
      <c r="G4" s="201">
        <f t="shared" si="0"/>
        <v>2.3862860203023035</v>
      </c>
      <c r="H4" s="201">
        <f t="shared" si="0"/>
        <v>2.5614788704698612</v>
      </c>
      <c r="I4" s="201">
        <f t="shared" si="0"/>
        <v>2.4620644290735112</v>
      </c>
      <c r="J4" s="201">
        <f t="shared" si="0"/>
        <v>2.1985487004042952</v>
      </c>
      <c r="K4" s="201">
        <f t="shared" si="0"/>
        <v>2.367790435487974</v>
      </c>
      <c r="L4" s="201">
        <f t="shared" si="0"/>
        <v>2.367790435487974</v>
      </c>
      <c r="M4" s="201">
        <f t="shared" si="0"/>
        <v>2.367790435487974</v>
      </c>
    </row>
    <row r="5" spans="1:13" ht="14.4" customHeight="1" x14ac:dyDescent="0.3">
      <c r="A5" s="202" t="s">
        <v>52</v>
      </c>
      <c r="B5" s="201">
        <f>IF(ISERROR(VLOOKUP($A5,'Man Tab'!$A:$Q,COLUMN()+2,0)),0,VLOOKUP($A5,'Man Tab'!$A:$Q,COLUMN()+2,0))</f>
        <v>15.84277</v>
      </c>
      <c r="C5" s="201">
        <f>IF(ISERROR(VLOOKUP($A5,'Man Tab'!$A:$Q,COLUMN()+2,0)),0,VLOOKUP($A5,'Man Tab'!$A:$Q,COLUMN()+2,0))</f>
        <v>51.956110000000002</v>
      </c>
      <c r="D5" s="201">
        <f>IF(ISERROR(VLOOKUP($A5,'Man Tab'!$A:$Q,COLUMN()+2,0)),0,VLOOKUP($A5,'Man Tab'!$A:$Q,COLUMN()+2,0))</f>
        <v>34.137160000000002</v>
      </c>
      <c r="E5" s="201">
        <f>IF(ISERROR(VLOOKUP($A5,'Man Tab'!$A:$Q,COLUMN()+2,0)),0,VLOOKUP($A5,'Man Tab'!$A:$Q,COLUMN()+2,0))</f>
        <v>53.492249999999999</v>
      </c>
      <c r="F5" s="201">
        <f>IF(ISERROR(VLOOKUP($A5,'Man Tab'!$A:$Q,COLUMN()+2,0)),0,VLOOKUP($A5,'Man Tab'!$A:$Q,COLUMN()+2,0))</f>
        <v>10.8164</v>
      </c>
      <c r="G5" s="201">
        <f>IF(ISERROR(VLOOKUP($A5,'Man Tab'!$A:$Q,COLUMN()+2,0)),0,VLOOKUP($A5,'Man Tab'!$A:$Q,COLUMN()+2,0))</f>
        <v>43.379800000000003</v>
      </c>
      <c r="H5" s="201">
        <f>IF(ISERROR(VLOOKUP($A5,'Man Tab'!$A:$Q,COLUMN()+2,0)),0,VLOOKUP($A5,'Man Tab'!$A:$Q,COLUMN()+2,0))</f>
        <v>23.797170000000001</v>
      </c>
      <c r="I5" s="201">
        <f>IF(ISERROR(VLOOKUP($A5,'Man Tab'!$A:$Q,COLUMN()+2,0)),0,VLOOKUP($A5,'Man Tab'!$A:$Q,COLUMN()+2,0))</f>
        <v>42.975920000000002</v>
      </c>
      <c r="J5" s="201">
        <f>IF(ISERROR(VLOOKUP($A5,'Man Tab'!$A:$Q,COLUMN()+2,0)),0,VLOOKUP($A5,'Man Tab'!$A:$Q,COLUMN()+2,0))</f>
        <v>37.022199999999998</v>
      </c>
      <c r="K5" s="201">
        <f>IF(ISERROR(VLOOKUP($A5,'Man Tab'!$A:$Q,COLUMN()+2,0)),0,VLOOKUP($A5,'Man Tab'!$A:$Q,COLUMN()+2,0))</f>
        <v>26.805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75</v>
      </c>
      <c r="B6" s="203">
        <f>B5</f>
        <v>15.84277</v>
      </c>
      <c r="C6" s="203">
        <f t="shared" ref="C6:M6" si="1">C5+B6</f>
        <v>67.798879999999997</v>
      </c>
      <c r="D6" s="203">
        <f t="shared" si="1"/>
        <v>101.93603999999999</v>
      </c>
      <c r="E6" s="203">
        <f t="shared" si="1"/>
        <v>155.42829</v>
      </c>
      <c r="F6" s="203">
        <f t="shared" si="1"/>
        <v>166.24468999999999</v>
      </c>
      <c r="G6" s="203">
        <f t="shared" si="1"/>
        <v>209.62448999999998</v>
      </c>
      <c r="H6" s="203">
        <f t="shared" si="1"/>
        <v>233.42165999999997</v>
      </c>
      <c r="I6" s="203">
        <f t="shared" si="1"/>
        <v>276.39757999999995</v>
      </c>
      <c r="J6" s="203">
        <f t="shared" si="1"/>
        <v>313.41977999999995</v>
      </c>
      <c r="K6" s="203">
        <f t="shared" si="1"/>
        <v>340.22477999999995</v>
      </c>
      <c r="L6" s="203">
        <f t="shared" si="1"/>
        <v>340.22477999999995</v>
      </c>
      <c r="M6" s="203">
        <f t="shared" si="1"/>
        <v>340.22477999999995</v>
      </c>
    </row>
    <row r="7" spans="1:13" ht="14.4" customHeight="1" x14ac:dyDescent="0.3">
      <c r="A7" s="202" t="s">
        <v>100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76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101</v>
      </c>
      <c r="B9" s="202">
        <v>73952.67</v>
      </c>
      <c r="C9" s="202">
        <v>86076.33</v>
      </c>
      <c r="D9" s="202">
        <v>80157.33</v>
      </c>
      <c r="E9" s="202">
        <v>78650.33</v>
      </c>
      <c r="F9" s="202">
        <v>83148</v>
      </c>
      <c r="G9" s="202">
        <v>98239.33</v>
      </c>
      <c r="H9" s="202">
        <v>97680.66</v>
      </c>
      <c r="I9" s="202">
        <v>82604</v>
      </c>
      <c r="J9" s="202">
        <v>8560</v>
      </c>
      <c r="K9" s="202">
        <v>116512.33</v>
      </c>
      <c r="L9" s="202">
        <v>0</v>
      </c>
      <c r="M9" s="202">
        <v>0</v>
      </c>
    </row>
    <row r="10" spans="1:13" ht="14.4" customHeight="1" x14ac:dyDescent="0.3">
      <c r="A10" s="202" t="s">
        <v>77</v>
      </c>
      <c r="B10" s="203">
        <f>B9/1000</f>
        <v>73.952669999999998</v>
      </c>
      <c r="C10" s="203">
        <f t="shared" ref="C10:M10" si="3">C9/1000+B10</f>
        <v>160.029</v>
      </c>
      <c r="D10" s="203">
        <f t="shared" si="3"/>
        <v>240.18633</v>
      </c>
      <c r="E10" s="203">
        <f t="shared" si="3"/>
        <v>318.83665999999999</v>
      </c>
      <c r="F10" s="203">
        <f t="shared" si="3"/>
        <v>401.98465999999996</v>
      </c>
      <c r="G10" s="203">
        <f t="shared" si="3"/>
        <v>500.22398999999996</v>
      </c>
      <c r="H10" s="203">
        <f t="shared" si="3"/>
        <v>597.90464999999995</v>
      </c>
      <c r="I10" s="203">
        <f t="shared" si="3"/>
        <v>680.50864999999999</v>
      </c>
      <c r="J10" s="203">
        <f t="shared" si="3"/>
        <v>689.06864999999993</v>
      </c>
      <c r="K10" s="203">
        <f t="shared" si="3"/>
        <v>805.58097999999995</v>
      </c>
      <c r="L10" s="203">
        <f t="shared" si="3"/>
        <v>805.58097999999995</v>
      </c>
      <c r="M10" s="203">
        <f t="shared" si="3"/>
        <v>805.58097999999995</v>
      </c>
    </row>
    <row r="11" spans="1:13" ht="14.4" customHeight="1" x14ac:dyDescent="0.3">
      <c r="A11" s="198"/>
      <c r="B11" s="198" t="s">
        <v>92</v>
      </c>
      <c r="C11" s="198">
        <f ca="1">IF(MONTH(TODAY())=1,12,MONTH(TODAY())-1)</f>
        <v>10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2.4249707685968853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2.4249707685968853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9" t="s">
        <v>255</v>
      </c>
      <c r="B1" s="339"/>
      <c r="C1" s="339"/>
      <c r="D1" s="339"/>
      <c r="E1" s="339"/>
      <c r="F1" s="339"/>
      <c r="G1" s="339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s="204" customFormat="1" ht="14.4" customHeight="1" thickBot="1" x14ac:dyDescent="0.3">
      <c r="A2" s="230" t="s">
        <v>253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0" t="s">
        <v>28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138"/>
      <c r="Q3" s="140"/>
    </row>
    <row r="4" spans="1:17" ht="14.4" customHeight="1" x14ac:dyDescent="0.3">
      <c r="A4" s="77"/>
      <c r="B4" s="20">
        <v>2016</v>
      </c>
      <c r="C4" s="139" t="s">
        <v>29</v>
      </c>
      <c r="D4" s="129" t="s">
        <v>232</v>
      </c>
      <c r="E4" s="129" t="s">
        <v>233</v>
      </c>
      <c r="F4" s="129" t="s">
        <v>234</v>
      </c>
      <c r="G4" s="129" t="s">
        <v>235</v>
      </c>
      <c r="H4" s="129" t="s">
        <v>236</v>
      </c>
      <c r="I4" s="129" t="s">
        <v>237</v>
      </c>
      <c r="J4" s="129" t="s">
        <v>238</v>
      </c>
      <c r="K4" s="129" t="s">
        <v>239</v>
      </c>
      <c r="L4" s="129" t="s">
        <v>240</v>
      </c>
      <c r="M4" s="129" t="s">
        <v>241</v>
      </c>
      <c r="N4" s="129" t="s">
        <v>242</v>
      </c>
      <c r="O4" s="129" t="s">
        <v>243</v>
      </c>
      <c r="P4" s="342" t="s">
        <v>3</v>
      </c>
      <c r="Q4" s="343"/>
    </row>
    <row r="5" spans="1:17" ht="14.4" customHeight="1" thickBot="1" x14ac:dyDescent="0.3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" customHeight="1" x14ac:dyDescent="0.3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254</v>
      </c>
    </row>
    <row r="7" spans="1:17" ht="14.4" customHeight="1" x14ac:dyDescent="0.3">
      <c r="A7" s="15" t="s">
        <v>34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254</v>
      </c>
    </row>
    <row r="8" spans="1:17" ht="14.4" customHeight="1" x14ac:dyDescent="0.3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254</v>
      </c>
    </row>
    <row r="9" spans="1:17" ht="14.4" customHeight="1" x14ac:dyDescent="0.3">
      <c r="A9" s="15" t="s">
        <v>36</v>
      </c>
      <c r="B9" s="51">
        <v>521.00004703561103</v>
      </c>
      <c r="C9" s="52">
        <v>43.416670586301002</v>
      </c>
      <c r="D9" s="52">
        <v>11.147690000000001</v>
      </c>
      <c r="E9" s="52">
        <v>48.916980000000002</v>
      </c>
      <c r="F9" s="52">
        <v>30.969159999999999</v>
      </c>
      <c r="G9" s="52">
        <v>49.842440000000003</v>
      </c>
      <c r="H9" s="52">
        <v>9.03383</v>
      </c>
      <c r="I9" s="52">
        <v>41.883800000000001</v>
      </c>
      <c r="J9" s="52">
        <v>16.79335</v>
      </c>
      <c r="K9" s="52">
        <v>40.748240000000003</v>
      </c>
      <c r="L9" s="52">
        <v>34.800800000000002</v>
      </c>
      <c r="M9" s="52">
        <v>23.79044</v>
      </c>
      <c r="N9" s="52">
        <v>0</v>
      </c>
      <c r="O9" s="52">
        <v>0</v>
      </c>
      <c r="P9" s="53">
        <v>307.92673000000002</v>
      </c>
      <c r="Q9" s="95">
        <v>0.70923616629599995</v>
      </c>
    </row>
    <row r="10" spans="1:17" ht="14.4" customHeight="1" x14ac:dyDescent="0.3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254</v>
      </c>
    </row>
    <row r="11" spans="1:17" ht="14.4" customHeight="1" x14ac:dyDescent="0.3">
      <c r="A11" s="15" t="s">
        <v>38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</v>
      </c>
      <c r="Q11" s="95" t="s">
        <v>254</v>
      </c>
    </row>
    <row r="12" spans="1:17" ht="14.4" customHeight="1" x14ac:dyDescent="0.3">
      <c r="A12" s="15" t="s">
        <v>39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254</v>
      </c>
    </row>
    <row r="13" spans="1:17" ht="14.4" customHeight="1" x14ac:dyDescent="0.3">
      <c r="A13" s="15" t="s">
        <v>40</v>
      </c>
      <c r="B13" s="51">
        <v>2.9800649219770001</v>
      </c>
      <c r="C13" s="52">
        <v>0.248338743498</v>
      </c>
      <c r="D13" s="52">
        <v>0.76607999999999998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0.17158000000000001</v>
      </c>
      <c r="K13" s="52">
        <v>0.76607999999999998</v>
      </c>
      <c r="L13" s="52">
        <v>0.70565</v>
      </c>
      <c r="M13" s="52">
        <v>0.44825999999999999</v>
      </c>
      <c r="N13" s="52">
        <v>0</v>
      </c>
      <c r="O13" s="52">
        <v>0</v>
      </c>
      <c r="P13" s="53">
        <v>2.85765</v>
      </c>
      <c r="Q13" s="95">
        <v>1.1507064744490001</v>
      </c>
    </row>
    <row r="14" spans="1:17" ht="14.4" customHeight="1" x14ac:dyDescent="0.3">
      <c r="A14" s="15" t="s">
        <v>41</v>
      </c>
      <c r="B14" s="51">
        <v>25.619099162649</v>
      </c>
      <c r="C14" s="52">
        <v>2.13492493022</v>
      </c>
      <c r="D14" s="52">
        <v>3.9289999999999998</v>
      </c>
      <c r="E14" s="52">
        <v>3.0390000000000001</v>
      </c>
      <c r="F14" s="52">
        <v>3.1680000000000001</v>
      </c>
      <c r="G14" s="52">
        <v>2.4159999999999999</v>
      </c>
      <c r="H14" s="52">
        <v>1.7829999999999999</v>
      </c>
      <c r="I14" s="52">
        <v>1.496</v>
      </c>
      <c r="J14" s="52">
        <v>1.419</v>
      </c>
      <c r="K14" s="52">
        <v>1.462</v>
      </c>
      <c r="L14" s="52">
        <v>1.516</v>
      </c>
      <c r="M14" s="52">
        <v>2.5659999999999998</v>
      </c>
      <c r="N14" s="52">
        <v>0</v>
      </c>
      <c r="O14" s="52">
        <v>0</v>
      </c>
      <c r="P14" s="53">
        <v>22.794</v>
      </c>
      <c r="Q14" s="95">
        <v>1.0676722013660001</v>
      </c>
    </row>
    <row r="15" spans="1:17" ht="14.4" customHeight="1" x14ac:dyDescent="0.3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254</v>
      </c>
    </row>
    <row r="16" spans="1:17" ht="14.4" customHeight="1" x14ac:dyDescent="0.3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254</v>
      </c>
    </row>
    <row r="17" spans="1:17" ht="14.4" customHeight="1" x14ac:dyDescent="0.3">
      <c r="A17" s="15" t="s">
        <v>44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</v>
      </c>
      <c r="Q17" s="95" t="s">
        <v>254</v>
      </c>
    </row>
    <row r="18" spans="1:17" ht="14.4" customHeight="1" x14ac:dyDescent="0.3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254</v>
      </c>
    </row>
    <row r="19" spans="1:17" ht="14.4" customHeight="1" x14ac:dyDescent="0.3">
      <c r="A19" s="15" t="s">
        <v>46</v>
      </c>
      <c r="B19" s="51">
        <v>4.2567022758319997</v>
      </c>
      <c r="C19" s="52">
        <v>0.35472518965200001</v>
      </c>
      <c r="D19" s="52">
        <v>0</v>
      </c>
      <c r="E19" s="52">
        <v>0</v>
      </c>
      <c r="F19" s="52">
        <v>0</v>
      </c>
      <c r="G19" s="52">
        <v>1.2338100000000001</v>
      </c>
      <c r="H19" s="52">
        <v>0</v>
      </c>
      <c r="I19" s="52">
        <v>0</v>
      </c>
      <c r="J19" s="52">
        <v>5.4132400000000001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6.6470500000000001</v>
      </c>
      <c r="Q19" s="95">
        <v>1.8738590305659999</v>
      </c>
    </row>
    <row r="20" spans="1:17" ht="14.4" customHeight="1" x14ac:dyDescent="0.3">
      <c r="A20" s="15" t="s">
        <v>47</v>
      </c>
      <c r="B20" s="51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0</v>
      </c>
      <c r="Q20" s="95" t="s">
        <v>254</v>
      </c>
    </row>
    <row r="21" spans="1:17" ht="14.4" customHeight="1" x14ac:dyDescent="0.3">
      <c r="A21" s="16" t="s">
        <v>48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0</v>
      </c>
      <c r="Q21" s="95" t="s">
        <v>254</v>
      </c>
    </row>
    <row r="22" spans="1:17" ht="14.4" customHeight="1" x14ac:dyDescent="0.3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254</v>
      </c>
    </row>
    <row r="23" spans="1:17" ht="14.4" customHeight="1" x14ac:dyDescent="0.3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254</v>
      </c>
    </row>
    <row r="24" spans="1:17" ht="14.4" customHeight="1" x14ac:dyDescent="0.3">
      <c r="A24" s="16" t="s">
        <v>51</v>
      </c>
      <c r="B24" s="51">
        <v>-1.13686837721616E-13</v>
      </c>
      <c r="C24" s="52">
        <v>0</v>
      </c>
      <c r="D24" s="52">
        <v>-1.7763568394002501E-15</v>
      </c>
      <c r="E24" s="52">
        <v>1.2999999899999999E-4</v>
      </c>
      <c r="F24" s="52">
        <v>0</v>
      </c>
      <c r="G24" s="52">
        <v>0</v>
      </c>
      <c r="H24" s="52">
        <v>-4.2999999899999999E-4</v>
      </c>
      <c r="I24" s="52">
        <v>0</v>
      </c>
      <c r="J24" s="52">
        <v>0</v>
      </c>
      <c r="K24" s="52">
        <v>-4.0000000000000002E-4</v>
      </c>
      <c r="L24" s="52">
        <v>-2.4999999900000001E-4</v>
      </c>
      <c r="M24" s="52">
        <v>2.9999999999999997E-4</v>
      </c>
      <c r="N24" s="52">
        <v>0</v>
      </c>
      <c r="O24" s="52">
        <v>0</v>
      </c>
      <c r="P24" s="53">
        <v>-6.4999999899999997E-4</v>
      </c>
      <c r="Q24" s="95"/>
    </row>
    <row r="25" spans="1:17" ht="14.4" customHeight="1" x14ac:dyDescent="0.3">
      <c r="A25" s="17" t="s">
        <v>52</v>
      </c>
      <c r="B25" s="54">
        <v>553.85591339607095</v>
      </c>
      <c r="C25" s="55">
        <v>46.154659449672003</v>
      </c>
      <c r="D25" s="55">
        <v>15.84277</v>
      </c>
      <c r="E25" s="55">
        <v>51.956110000000002</v>
      </c>
      <c r="F25" s="55">
        <v>34.137160000000002</v>
      </c>
      <c r="G25" s="55">
        <v>53.492249999999999</v>
      </c>
      <c r="H25" s="55">
        <v>10.8164</v>
      </c>
      <c r="I25" s="55">
        <v>43.379800000000003</v>
      </c>
      <c r="J25" s="55">
        <v>23.797170000000001</v>
      </c>
      <c r="K25" s="55">
        <v>42.975920000000002</v>
      </c>
      <c r="L25" s="55">
        <v>37.022199999999998</v>
      </c>
      <c r="M25" s="55">
        <v>26.805</v>
      </c>
      <c r="N25" s="55">
        <v>0</v>
      </c>
      <c r="O25" s="55">
        <v>0</v>
      </c>
      <c r="P25" s="56">
        <v>340.22478000000001</v>
      </c>
      <c r="Q25" s="96">
        <v>0.737140700541</v>
      </c>
    </row>
    <row r="26" spans="1:17" ht="14.4" customHeight="1" x14ac:dyDescent="0.3">
      <c r="A26" s="15" t="s">
        <v>53</v>
      </c>
      <c r="B26" s="51">
        <v>0</v>
      </c>
      <c r="C26" s="52">
        <v>0</v>
      </c>
      <c r="D26" s="52">
        <v>0</v>
      </c>
      <c r="E26" s="52">
        <v>0</v>
      </c>
      <c r="F26" s="52">
        <v>0.14122999999999999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0.14122999999999999</v>
      </c>
      <c r="Q26" s="95" t="s">
        <v>254</v>
      </c>
    </row>
    <row r="27" spans="1:17" ht="14.4" customHeight="1" x14ac:dyDescent="0.3">
      <c r="A27" s="18" t="s">
        <v>54</v>
      </c>
      <c r="B27" s="54">
        <v>553.85591339607095</v>
      </c>
      <c r="C27" s="55">
        <v>46.154659449672003</v>
      </c>
      <c r="D27" s="55">
        <v>15.84277</v>
      </c>
      <c r="E27" s="55">
        <v>51.956110000000002</v>
      </c>
      <c r="F27" s="55">
        <v>34.278390000000002</v>
      </c>
      <c r="G27" s="55">
        <v>53.492249999999999</v>
      </c>
      <c r="H27" s="55">
        <v>10.8164</v>
      </c>
      <c r="I27" s="55">
        <v>43.379800000000003</v>
      </c>
      <c r="J27" s="55">
        <v>23.797170000000001</v>
      </c>
      <c r="K27" s="55">
        <v>42.975920000000002</v>
      </c>
      <c r="L27" s="55">
        <v>37.022199999999998</v>
      </c>
      <c r="M27" s="55">
        <v>26.805</v>
      </c>
      <c r="N27" s="55">
        <v>0</v>
      </c>
      <c r="O27" s="55">
        <v>0</v>
      </c>
      <c r="P27" s="56">
        <v>340.36601000000002</v>
      </c>
      <c r="Q27" s="96">
        <v>0.73744669348299996</v>
      </c>
    </row>
    <row r="28" spans="1:17" ht="14.4" customHeight="1" x14ac:dyDescent="0.3">
      <c r="A28" s="16" t="s">
        <v>55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>
        <v>12.5</v>
      </c>
    </row>
    <row r="29" spans="1:17" ht="14.4" customHeight="1" x14ac:dyDescent="0.3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254</v>
      </c>
    </row>
    <row r="30" spans="1:17" ht="14.4" customHeight="1" x14ac:dyDescent="0.3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10</v>
      </c>
    </row>
    <row r="31" spans="1:17" ht="14.4" customHeight="1" thickBot="1" x14ac:dyDescent="0.35">
      <c r="A31" s="19" t="s">
        <v>58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254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244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59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9" t="s">
        <v>60</v>
      </c>
      <c r="B1" s="339"/>
      <c r="C1" s="339"/>
      <c r="D1" s="339"/>
      <c r="E1" s="339"/>
      <c r="F1" s="339"/>
      <c r="G1" s="339"/>
      <c r="H1" s="344"/>
      <c r="I1" s="344"/>
      <c r="J1" s="344"/>
      <c r="K1" s="344"/>
    </row>
    <row r="2" spans="1:11" s="60" customFormat="1" ht="14.4" customHeight="1" thickBot="1" x14ac:dyDescent="0.35">
      <c r="A2" s="230" t="s">
        <v>253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0" t="s">
        <v>61</v>
      </c>
      <c r="C3" s="341"/>
      <c r="D3" s="341"/>
      <c r="E3" s="341"/>
      <c r="F3" s="347" t="s">
        <v>62</v>
      </c>
      <c r="G3" s="341"/>
      <c r="H3" s="341"/>
      <c r="I3" s="341"/>
      <c r="J3" s="341"/>
      <c r="K3" s="348"/>
    </row>
    <row r="4" spans="1:11" ht="14.4" customHeight="1" x14ac:dyDescent="0.3">
      <c r="A4" s="77"/>
      <c r="B4" s="345"/>
      <c r="C4" s="346"/>
      <c r="D4" s="346"/>
      <c r="E4" s="346"/>
      <c r="F4" s="349" t="s">
        <v>249</v>
      </c>
      <c r="G4" s="351" t="s">
        <v>63</v>
      </c>
      <c r="H4" s="141" t="s">
        <v>136</v>
      </c>
      <c r="I4" s="349" t="s">
        <v>64</v>
      </c>
      <c r="J4" s="351" t="s">
        <v>216</v>
      </c>
      <c r="K4" s="352" t="s">
        <v>251</v>
      </c>
    </row>
    <row r="5" spans="1:11" ht="42" thickBot="1" x14ac:dyDescent="0.35">
      <c r="A5" s="78"/>
      <c r="B5" s="24" t="s">
        <v>245</v>
      </c>
      <c r="C5" s="25" t="s">
        <v>246</v>
      </c>
      <c r="D5" s="26" t="s">
        <v>247</v>
      </c>
      <c r="E5" s="26" t="s">
        <v>248</v>
      </c>
      <c r="F5" s="350"/>
      <c r="G5" s="350"/>
      <c r="H5" s="25" t="s">
        <v>250</v>
      </c>
      <c r="I5" s="350"/>
      <c r="J5" s="350"/>
      <c r="K5" s="353"/>
    </row>
    <row r="6" spans="1:11" ht="14.4" customHeight="1" thickBot="1" x14ac:dyDescent="0.35">
      <c r="A6" s="456" t="s">
        <v>256</v>
      </c>
      <c r="B6" s="438">
        <v>546.245836855785</v>
      </c>
      <c r="C6" s="438">
        <v>533.01206999999999</v>
      </c>
      <c r="D6" s="439">
        <v>-13.233766855783999</v>
      </c>
      <c r="E6" s="440">
        <v>0.97577323987999998</v>
      </c>
      <c r="F6" s="438">
        <v>553.85591339607095</v>
      </c>
      <c r="G6" s="439">
        <v>461.54659449672602</v>
      </c>
      <c r="H6" s="441">
        <v>26.805</v>
      </c>
      <c r="I6" s="438">
        <v>340.22478000000001</v>
      </c>
      <c r="J6" s="439">
        <v>-121.32181449672601</v>
      </c>
      <c r="K6" s="442">
        <v>0.61428391711800001</v>
      </c>
    </row>
    <row r="7" spans="1:11" ht="14.4" customHeight="1" thickBot="1" x14ac:dyDescent="0.35">
      <c r="A7" s="457" t="s">
        <v>257</v>
      </c>
      <c r="B7" s="438">
        <v>543.99998636154896</v>
      </c>
      <c r="C7" s="438">
        <v>528.48634000000004</v>
      </c>
      <c r="D7" s="439">
        <v>-15.513646361549</v>
      </c>
      <c r="E7" s="440">
        <v>0.97148226700200002</v>
      </c>
      <c r="F7" s="438">
        <v>549.59921112023903</v>
      </c>
      <c r="G7" s="439">
        <v>457.99934260019899</v>
      </c>
      <c r="H7" s="441">
        <v>26.805</v>
      </c>
      <c r="I7" s="438">
        <v>333.57772999999997</v>
      </c>
      <c r="J7" s="439">
        <v>-124.421612600199</v>
      </c>
      <c r="K7" s="442">
        <v>0.60694725037899999</v>
      </c>
    </row>
    <row r="8" spans="1:11" ht="14.4" customHeight="1" thickBot="1" x14ac:dyDescent="0.35">
      <c r="A8" s="458" t="s">
        <v>258</v>
      </c>
      <c r="B8" s="438">
        <v>525.99998692850602</v>
      </c>
      <c r="C8" s="438">
        <v>513.58133999999995</v>
      </c>
      <c r="D8" s="439">
        <v>-12.418646928505</v>
      </c>
      <c r="E8" s="440">
        <v>0.97639040449199999</v>
      </c>
      <c r="F8" s="438">
        <v>523.98011195758897</v>
      </c>
      <c r="G8" s="439">
        <v>436.65009329799102</v>
      </c>
      <c r="H8" s="441">
        <v>24.239000000000001</v>
      </c>
      <c r="I8" s="438">
        <v>310.78372999999999</v>
      </c>
      <c r="J8" s="439">
        <v>-125.866363297991</v>
      </c>
      <c r="K8" s="442">
        <v>0.593121232863</v>
      </c>
    </row>
    <row r="9" spans="1:11" ht="14.4" customHeight="1" thickBot="1" x14ac:dyDescent="0.35">
      <c r="A9" s="459" t="s">
        <v>259</v>
      </c>
      <c r="B9" s="443">
        <v>0</v>
      </c>
      <c r="C9" s="443">
        <v>8.0000000000000004E-4</v>
      </c>
      <c r="D9" s="444">
        <v>8.0000000000000004E-4</v>
      </c>
      <c r="E9" s="445" t="s">
        <v>254</v>
      </c>
      <c r="F9" s="443">
        <v>0</v>
      </c>
      <c r="G9" s="444">
        <v>0</v>
      </c>
      <c r="H9" s="446">
        <v>2.9999999999999997E-4</v>
      </c>
      <c r="I9" s="443">
        <v>-6.4999999999999997E-4</v>
      </c>
      <c r="J9" s="444">
        <v>-6.4999999999999997E-4</v>
      </c>
      <c r="K9" s="447" t="s">
        <v>254</v>
      </c>
    </row>
    <row r="10" spans="1:11" ht="14.4" customHeight="1" thickBot="1" x14ac:dyDescent="0.35">
      <c r="A10" s="460" t="s">
        <v>260</v>
      </c>
      <c r="B10" s="438">
        <v>0</v>
      </c>
      <c r="C10" s="438">
        <v>8.0000000000000004E-4</v>
      </c>
      <c r="D10" s="439">
        <v>8.0000000000000004E-4</v>
      </c>
      <c r="E10" s="448" t="s">
        <v>254</v>
      </c>
      <c r="F10" s="438">
        <v>0</v>
      </c>
      <c r="G10" s="439">
        <v>0</v>
      </c>
      <c r="H10" s="441">
        <v>2.9999999999999997E-4</v>
      </c>
      <c r="I10" s="438">
        <v>-6.4999999999999997E-4</v>
      </c>
      <c r="J10" s="439">
        <v>-6.4999999999999997E-4</v>
      </c>
      <c r="K10" s="449" t="s">
        <v>254</v>
      </c>
    </row>
    <row r="11" spans="1:11" ht="14.4" customHeight="1" thickBot="1" x14ac:dyDescent="0.35">
      <c r="A11" s="459" t="s">
        <v>261</v>
      </c>
      <c r="B11" s="443">
        <v>520.99998708599401</v>
      </c>
      <c r="C11" s="443">
        <v>493.70157</v>
      </c>
      <c r="D11" s="444">
        <v>-27.298417085993002</v>
      </c>
      <c r="E11" s="450">
        <v>0.94760380467799998</v>
      </c>
      <c r="F11" s="443">
        <v>521.00004703561103</v>
      </c>
      <c r="G11" s="444">
        <v>434.16670586301001</v>
      </c>
      <c r="H11" s="446">
        <v>23.79044</v>
      </c>
      <c r="I11" s="443">
        <v>307.92673000000002</v>
      </c>
      <c r="J11" s="444">
        <v>-126.23997586301</v>
      </c>
      <c r="K11" s="451">
        <v>0.59103013857999998</v>
      </c>
    </row>
    <row r="12" spans="1:11" ht="14.4" customHeight="1" thickBot="1" x14ac:dyDescent="0.35">
      <c r="A12" s="460" t="s">
        <v>262</v>
      </c>
      <c r="B12" s="438">
        <v>27.999999338550001</v>
      </c>
      <c r="C12" s="438">
        <v>31.560690000000001</v>
      </c>
      <c r="D12" s="439">
        <v>3.5606906614490001</v>
      </c>
      <c r="E12" s="440">
        <v>1.127167526627</v>
      </c>
      <c r="F12" s="438">
        <v>30.000002708383999</v>
      </c>
      <c r="G12" s="439">
        <v>25.000002256986999</v>
      </c>
      <c r="H12" s="441">
        <v>11.376580000000001</v>
      </c>
      <c r="I12" s="438">
        <v>47.635100000000001</v>
      </c>
      <c r="J12" s="439">
        <v>22.635097743012</v>
      </c>
      <c r="K12" s="442">
        <v>1.587836523317</v>
      </c>
    </row>
    <row r="13" spans="1:11" ht="14.4" customHeight="1" thickBot="1" x14ac:dyDescent="0.35">
      <c r="A13" s="460" t="s">
        <v>263</v>
      </c>
      <c r="B13" s="438">
        <v>366.99999083420499</v>
      </c>
      <c r="C13" s="438">
        <v>352.00574</v>
      </c>
      <c r="D13" s="439">
        <v>-14.994250834204999</v>
      </c>
      <c r="E13" s="440">
        <v>0.95914372967600003</v>
      </c>
      <c r="F13" s="438">
        <v>370.00003340340902</v>
      </c>
      <c r="G13" s="439">
        <v>308.33336116950801</v>
      </c>
      <c r="H13" s="441">
        <v>3.6800999999999999</v>
      </c>
      <c r="I13" s="438">
        <v>180.78828999999999</v>
      </c>
      <c r="J13" s="439">
        <v>-127.54507116950801</v>
      </c>
      <c r="K13" s="442">
        <v>0.48861695588699999</v>
      </c>
    </row>
    <row r="14" spans="1:11" ht="14.4" customHeight="1" thickBot="1" x14ac:dyDescent="0.35">
      <c r="A14" s="460" t="s">
        <v>264</v>
      </c>
      <c r="B14" s="438">
        <v>68.999998456618002</v>
      </c>
      <c r="C14" s="438">
        <v>72.178079999999994</v>
      </c>
      <c r="D14" s="439">
        <v>3.1780815433809999</v>
      </c>
      <c r="E14" s="440">
        <v>1.0460591538320001</v>
      </c>
      <c r="F14" s="438">
        <v>70.000006319562999</v>
      </c>
      <c r="G14" s="439">
        <v>58.333338599636001</v>
      </c>
      <c r="H14" s="441">
        <v>0.65359999999999996</v>
      </c>
      <c r="I14" s="438">
        <v>35.185850000000002</v>
      </c>
      <c r="J14" s="439">
        <v>-23.147488599635999</v>
      </c>
      <c r="K14" s="442">
        <v>0.50265495461999998</v>
      </c>
    </row>
    <row r="15" spans="1:11" ht="14.4" customHeight="1" thickBot="1" x14ac:dyDescent="0.35">
      <c r="A15" s="460" t="s">
        <v>265</v>
      </c>
      <c r="B15" s="438">
        <v>18.999999496038001</v>
      </c>
      <c r="C15" s="438">
        <v>11.543290000000001</v>
      </c>
      <c r="D15" s="439">
        <v>-7.456709496038</v>
      </c>
      <c r="E15" s="440">
        <v>0.60754159506100003</v>
      </c>
      <c r="F15" s="438">
        <v>17.000001534751</v>
      </c>
      <c r="G15" s="439">
        <v>14.166667945625999</v>
      </c>
      <c r="H15" s="441">
        <v>1.6496999999999999</v>
      </c>
      <c r="I15" s="438">
        <v>14.391640000000001</v>
      </c>
      <c r="J15" s="439">
        <v>0.224972054373</v>
      </c>
      <c r="K15" s="442">
        <v>0.84656698239499995</v>
      </c>
    </row>
    <row r="16" spans="1:11" ht="14.4" customHeight="1" thickBot="1" x14ac:dyDescent="0.35">
      <c r="A16" s="460" t="s">
        <v>266</v>
      </c>
      <c r="B16" s="438">
        <v>18.999999559033</v>
      </c>
      <c r="C16" s="438">
        <v>12.526</v>
      </c>
      <c r="D16" s="439">
        <v>-6.4739995590330004</v>
      </c>
      <c r="E16" s="440">
        <v>0.65926317319500005</v>
      </c>
      <c r="F16" s="438">
        <v>15.000001354191999</v>
      </c>
      <c r="G16" s="439">
        <v>12.500001128493</v>
      </c>
      <c r="H16" s="441">
        <v>1.8011999999999999</v>
      </c>
      <c r="I16" s="438">
        <v>16.559740000000001</v>
      </c>
      <c r="J16" s="439">
        <v>4.0597388715060001</v>
      </c>
      <c r="K16" s="442">
        <v>1.103982566999</v>
      </c>
    </row>
    <row r="17" spans="1:11" ht="14.4" customHeight="1" thickBot="1" x14ac:dyDescent="0.35">
      <c r="A17" s="460" t="s">
        <v>267</v>
      </c>
      <c r="B17" s="438">
        <v>18.999999401545999</v>
      </c>
      <c r="C17" s="438">
        <v>13.88777</v>
      </c>
      <c r="D17" s="439">
        <v>-5.1122294015460001</v>
      </c>
      <c r="E17" s="440">
        <v>0.73093528618000003</v>
      </c>
      <c r="F17" s="438">
        <v>19.000001715309999</v>
      </c>
      <c r="G17" s="439">
        <v>15.833334762758</v>
      </c>
      <c r="H17" s="441">
        <v>4.6292600000000004</v>
      </c>
      <c r="I17" s="438">
        <v>13.366110000000001</v>
      </c>
      <c r="J17" s="439">
        <v>-2.4672247627580002</v>
      </c>
      <c r="K17" s="442">
        <v>0.70347941017399995</v>
      </c>
    </row>
    <row r="18" spans="1:11" ht="14.4" customHeight="1" thickBot="1" x14ac:dyDescent="0.35">
      <c r="A18" s="459" t="s">
        <v>268</v>
      </c>
      <c r="B18" s="443">
        <v>4.9999998425119996</v>
      </c>
      <c r="C18" s="443">
        <v>3.2789700000000002</v>
      </c>
      <c r="D18" s="444">
        <v>-1.7210298425120001</v>
      </c>
      <c r="E18" s="450">
        <v>0.65579402065500003</v>
      </c>
      <c r="F18" s="443">
        <v>2.9800649219770001</v>
      </c>
      <c r="G18" s="444">
        <v>2.4833874349810001</v>
      </c>
      <c r="H18" s="446">
        <v>0.44825999999999999</v>
      </c>
      <c r="I18" s="443">
        <v>2.85765</v>
      </c>
      <c r="J18" s="444">
        <v>0.37426256501799998</v>
      </c>
      <c r="K18" s="451">
        <v>0.95892206204099995</v>
      </c>
    </row>
    <row r="19" spans="1:11" ht="14.4" customHeight="1" thickBot="1" x14ac:dyDescent="0.35">
      <c r="A19" s="460" t="s">
        <v>269</v>
      </c>
      <c r="B19" s="438">
        <v>0</v>
      </c>
      <c r="C19" s="438">
        <v>0</v>
      </c>
      <c r="D19" s="439">
        <v>0</v>
      </c>
      <c r="E19" s="440">
        <v>1</v>
      </c>
      <c r="F19" s="438">
        <v>0</v>
      </c>
      <c r="G19" s="439">
        <v>0</v>
      </c>
      <c r="H19" s="441">
        <v>6.2199999999999998E-2</v>
      </c>
      <c r="I19" s="438">
        <v>0.1244</v>
      </c>
      <c r="J19" s="439">
        <v>0.1244</v>
      </c>
      <c r="K19" s="449" t="s">
        <v>270</v>
      </c>
    </row>
    <row r="20" spans="1:11" ht="14.4" customHeight="1" thickBot="1" x14ac:dyDescent="0.35">
      <c r="A20" s="460" t="s">
        <v>271</v>
      </c>
      <c r="B20" s="438">
        <v>4.9999998425119996</v>
      </c>
      <c r="C20" s="438">
        <v>3.2789700000000002</v>
      </c>
      <c r="D20" s="439">
        <v>-1.7210298425120001</v>
      </c>
      <c r="E20" s="440">
        <v>0.65579402065500003</v>
      </c>
      <c r="F20" s="438">
        <v>2.9800649219770001</v>
      </c>
      <c r="G20" s="439">
        <v>2.4833874349810001</v>
      </c>
      <c r="H20" s="441">
        <v>0.38606000000000001</v>
      </c>
      <c r="I20" s="438">
        <v>2.73325</v>
      </c>
      <c r="J20" s="439">
        <v>0.249862565018</v>
      </c>
      <c r="K20" s="442">
        <v>0.91717800503000002</v>
      </c>
    </row>
    <row r="21" spans="1:11" ht="14.4" customHeight="1" thickBot="1" x14ac:dyDescent="0.35">
      <c r="A21" s="459" t="s">
        <v>272</v>
      </c>
      <c r="B21" s="443">
        <v>0</v>
      </c>
      <c r="C21" s="443">
        <v>16.600000000000001</v>
      </c>
      <c r="D21" s="444">
        <v>16.600000000000001</v>
      </c>
      <c r="E21" s="445" t="s">
        <v>270</v>
      </c>
      <c r="F21" s="443">
        <v>0</v>
      </c>
      <c r="G21" s="444">
        <v>0</v>
      </c>
      <c r="H21" s="446">
        <v>0</v>
      </c>
      <c r="I21" s="443">
        <v>0</v>
      </c>
      <c r="J21" s="444">
        <v>0</v>
      </c>
      <c r="K21" s="447" t="s">
        <v>254</v>
      </c>
    </row>
    <row r="22" spans="1:11" ht="14.4" customHeight="1" thickBot="1" x14ac:dyDescent="0.35">
      <c r="A22" s="460" t="s">
        <v>273</v>
      </c>
      <c r="B22" s="438">
        <v>0</v>
      </c>
      <c r="C22" s="438">
        <v>16.600000000000001</v>
      </c>
      <c r="D22" s="439">
        <v>16.600000000000001</v>
      </c>
      <c r="E22" s="448" t="s">
        <v>270</v>
      </c>
      <c r="F22" s="438">
        <v>0</v>
      </c>
      <c r="G22" s="439">
        <v>0</v>
      </c>
      <c r="H22" s="441">
        <v>0</v>
      </c>
      <c r="I22" s="438">
        <v>0</v>
      </c>
      <c r="J22" s="439">
        <v>0</v>
      </c>
      <c r="K22" s="449" t="s">
        <v>254</v>
      </c>
    </row>
    <row r="23" spans="1:11" ht="14.4" customHeight="1" thickBot="1" x14ac:dyDescent="0.35">
      <c r="A23" s="458" t="s">
        <v>41</v>
      </c>
      <c r="B23" s="438">
        <v>17.999999433043001</v>
      </c>
      <c r="C23" s="438">
        <v>14.904999999999999</v>
      </c>
      <c r="D23" s="439">
        <v>-3.0949994330430002</v>
      </c>
      <c r="E23" s="440">
        <v>0.82805558163699999</v>
      </c>
      <c r="F23" s="438">
        <v>25.619099162649</v>
      </c>
      <c r="G23" s="439">
        <v>21.349249302206999</v>
      </c>
      <c r="H23" s="441">
        <v>2.5659999999999998</v>
      </c>
      <c r="I23" s="438">
        <v>22.794</v>
      </c>
      <c r="J23" s="439">
        <v>1.4447506977919999</v>
      </c>
      <c r="K23" s="442">
        <v>0.88972683447099998</v>
      </c>
    </row>
    <row r="24" spans="1:11" ht="14.4" customHeight="1" thickBot="1" x14ac:dyDescent="0.35">
      <c r="A24" s="459" t="s">
        <v>274</v>
      </c>
      <c r="B24" s="443">
        <v>17.999999433043001</v>
      </c>
      <c r="C24" s="443">
        <v>14.904999999999999</v>
      </c>
      <c r="D24" s="444">
        <v>-3.0949994330430002</v>
      </c>
      <c r="E24" s="450">
        <v>0.82805558163699999</v>
      </c>
      <c r="F24" s="443">
        <v>25.619099162649</v>
      </c>
      <c r="G24" s="444">
        <v>21.349249302206999</v>
      </c>
      <c r="H24" s="446">
        <v>2.5659999999999998</v>
      </c>
      <c r="I24" s="443">
        <v>22.794</v>
      </c>
      <c r="J24" s="444">
        <v>1.4447506977919999</v>
      </c>
      <c r="K24" s="451">
        <v>0.88972683447099998</v>
      </c>
    </row>
    <row r="25" spans="1:11" ht="14.4" customHeight="1" thickBot="1" x14ac:dyDescent="0.35">
      <c r="A25" s="460" t="s">
        <v>275</v>
      </c>
      <c r="B25" s="438">
        <v>0</v>
      </c>
      <c r="C25" s="438">
        <v>0</v>
      </c>
      <c r="D25" s="439">
        <v>0</v>
      </c>
      <c r="E25" s="440">
        <v>1</v>
      </c>
      <c r="F25" s="438">
        <v>10.999477962368999</v>
      </c>
      <c r="G25" s="439">
        <v>9.1662316353069997</v>
      </c>
      <c r="H25" s="441">
        <v>0.83299999999999996</v>
      </c>
      <c r="I25" s="438">
        <v>8.4830000000000005</v>
      </c>
      <c r="J25" s="439">
        <v>-0.68323163530700004</v>
      </c>
      <c r="K25" s="442">
        <v>0.77121841863899998</v>
      </c>
    </row>
    <row r="26" spans="1:11" ht="14.4" customHeight="1" thickBot="1" x14ac:dyDescent="0.35">
      <c r="A26" s="460" t="s">
        <v>276</v>
      </c>
      <c r="B26" s="438">
        <v>17.999999433043001</v>
      </c>
      <c r="C26" s="438">
        <v>14.904999999999999</v>
      </c>
      <c r="D26" s="439">
        <v>-3.0949994330430002</v>
      </c>
      <c r="E26" s="440">
        <v>0.82805558163699999</v>
      </c>
      <c r="F26" s="438">
        <v>14.619621200279999</v>
      </c>
      <c r="G26" s="439">
        <v>12.1830176669</v>
      </c>
      <c r="H26" s="441">
        <v>1.7330000000000001</v>
      </c>
      <c r="I26" s="438">
        <v>14.311</v>
      </c>
      <c r="J26" s="439">
        <v>2.1279823330990002</v>
      </c>
      <c r="K26" s="442">
        <v>0.97888993182100004</v>
      </c>
    </row>
    <row r="27" spans="1:11" ht="14.4" customHeight="1" thickBot="1" x14ac:dyDescent="0.35">
      <c r="A27" s="461" t="s">
        <v>277</v>
      </c>
      <c r="B27" s="443">
        <v>2.2458504942349999</v>
      </c>
      <c r="C27" s="443">
        <v>4.5257300000000003</v>
      </c>
      <c r="D27" s="444">
        <v>2.2798795057639998</v>
      </c>
      <c r="E27" s="450">
        <v>2.0151519487230001</v>
      </c>
      <c r="F27" s="443">
        <v>4.2567022758319997</v>
      </c>
      <c r="G27" s="444">
        <v>3.5472518965259998</v>
      </c>
      <c r="H27" s="446">
        <v>0</v>
      </c>
      <c r="I27" s="443">
        <v>6.6470500000000001</v>
      </c>
      <c r="J27" s="444">
        <v>3.0997981034730002</v>
      </c>
      <c r="K27" s="451">
        <v>1.561549192138</v>
      </c>
    </row>
    <row r="28" spans="1:11" ht="14.4" customHeight="1" thickBot="1" x14ac:dyDescent="0.35">
      <c r="A28" s="458" t="s">
        <v>46</v>
      </c>
      <c r="B28" s="438">
        <v>2.2458504942349999</v>
      </c>
      <c r="C28" s="438">
        <v>4.5257300000000003</v>
      </c>
      <c r="D28" s="439">
        <v>2.2798795057639998</v>
      </c>
      <c r="E28" s="440">
        <v>2.0151519487230001</v>
      </c>
      <c r="F28" s="438">
        <v>4.2567022758319997</v>
      </c>
      <c r="G28" s="439">
        <v>3.5472518965259998</v>
      </c>
      <c r="H28" s="441">
        <v>0</v>
      </c>
      <c r="I28" s="438">
        <v>6.6470500000000001</v>
      </c>
      <c r="J28" s="439">
        <v>3.0997981034730002</v>
      </c>
      <c r="K28" s="442">
        <v>1.561549192138</v>
      </c>
    </row>
    <row r="29" spans="1:11" ht="14.4" customHeight="1" thickBot="1" x14ac:dyDescent="0.35">
      <c r="A29" s="459" t="s">
        <v>278</v>
      </c>
      <c r="B29" s="443">
        <v>0.20973774570699999</v>
      </c>
      <c r="C29" s="443">
        <v>0</v>
      </c>
      <c r="D29" s="444">
        <v>-0.20973774570699999</v>
      </c>
      <c r="E29" s="450">
        <v>0</v>
      </c>
      <c r="F29" s="443">
        <v>0</v>
      </c>
      <c r="G29" s="444">
        <v>0</v>
      </c>
      <c r="H29" s="446">
        <v>0</v>
      </c>
      <c r="I29" s="443">
        <v>0</v>
      </c>
      <c r="J29" s="444">
        <v>0</v>
      </c>
      <c r="K29" s="451">
        <v>0</v>
      </c>
    </row>
    <row r="30" spans="1:11" ht="14.4" customHeight="1" thickBot="1" x14ac:dyDescent="0.35">
      <c r="A30" s="460" t="s">
        <v>279</v>
      </c>
      <c r="B30" s="438">
        <v>0.20973774570699999</v>
      </c>
      <c r="C30" s="438">
        <v>0</v>
      </c>
      <c r="D30" s="439">
        <v>-0.20973774570699999</v>
      </c>
      <c r="E30" s="440">
        <v>0</v>
      </c>
      <c r="F30" s="438">
        <v>0</v>
      </c>
      <c r="G30" s="439">
        <v>0</v>
      </c>
      <c r="H30" s="441">
        <v>0</v>
      </c>
      <c r="I30" s="438">
        <v>0</v>
      </c>
      <c r="J30" s="439">
        <v>0</v>
      </c>
      <c r="K30" s="442">
        <v>0</v>
      </c>
    </row>
    <row r="31" spans="1:11" ht="14.4" customHeight="1" thickBot="1" x14ac:dyDescent="0.35">
      <c r="A31" s="459" t="s">
        <v>280</v>
      </c>
      <c r="B31" s="443">
        <v>2.0361127485280002</v>
      </c>
      <c r="C31" s="443">
        <v>4.5257300000000003</v>
      </c>
      <c r="D31" s="444">
        <v>2.489617251471</v>
      </c>
      <c r="E31" s="450">
        <v>2.222730545383</v>
      </c>
      <c r="F31" s="443">
        <v>4.2567022758319997</v>
      </c>
      <c r="G31" s="444">
        <v>3.5472518965259998</v>
      </c>
      <c r="H31" s="446">
        <v>0</v>
      </c>
      <c r="I31" s="443">
        <v>6.6470500000000001</v>
      </c>
      <c r="J31" s="444">
        <v>3.0997981034730002</v>
      </c>
      <c r="K31" s="451">
        <v>1.561549192138</v>
      </c>
    </row>
    <row r="32" spans="1:11" ht="14.4" customHeight="1" thickBot="1" x14ac:dyDescent="0.35">
      <c r="A32" s="460" t="s">
        <v>281</v>
      </c>
      <c r="B32" s="438">
        <v>2.0361127485280002</v>
      </c>
      <c r="C32" s="438">
        <v>4.5257300000000003</v>
      </c>
      <c r="D32" s="439">
        <v>2.489617251471</v>
      </c>
      <c r="E32" s="440">
        <v>2.222730545383</v>
      </c>
      <c r="F32" s="438">
        <v>4.2567022758319997</v>
      </c>
      <c r="G32" s="439">
        <v>3.5472518965259998</v>
      </c>
      <c r="H32" s="441">
        <v>0</v>
      </c>
      <c r="I32" s="438">
        <v>6.6470500000000001</v>
      </c>
      <c r="J32" s="439">
        <v>3.0997981034730002</v>
      </c>
      <c r="K32" s="442">
        <v>1.561549192138</v>
      </c>
    </row>
    <row r="33" spans="1:11" ht="14.4" customHeight="1" thickBot="1" x14ac:dyDescent="0.35">
      <c r="A33" s="456" t="s">
        <v>282</v>
      </c>
      <c r="B33" s="438">
        <v>1433</v>
      </c>
      <c r="C33" s="438">
        <v>1233.4684199999999</v>
      </c>
      <c r="D33" s="439">
        <v>-199.53157999999999</v>
      </c>
      <c r="E33" s="440">
        <v>0.86075953942700001</v>
      </c>
      <c r="F33" s="438">
        <v>1323.70863475077</v>
      </c>
      <c r="G33" s="439">
        <v>1103.09052895897</v>
      </c>
      <c r="H33" s="441">
        <v>109.04394000000001</v>
      </c>
      <c r="I33" s="438">
        <v>835.75931000000003</v>
      </c>
      <c r="J33" s="439">
        <v>-267.33121895897102</v>
      </c>
      <c r="K33" s="442">
        <v>0.63137709316000001</v>
      </c>
    </row>
    <row r="34" spans="1:11" ht="14.4" customHeight="1" thickBot="1" x14ac:dyDescent="0.35">
      <c r="A34" s="457" t="s">
        <v>283</v>
      </c>
      <c r="B34" s="438">
        <v>1433</v>
      </c>
      <c r="C34" s="438">
        <v>1216.86842</v>
      </c>
      <c r="D34" s="439">
        <v>-216.13158000000001</v>
      </c>
      <c r="E34" s="440">
        <v>0.84917545010399997</v>
      </c>
      <c r="F34" s="438">
        <v>1323.70863475077</v>
      </c>
      <c r="G34" s="439">
        <v>1103.09052895897</v>
      </c>
      <c r="H34" s="441">
        <v>109.04394000000001</v>
      </c>
      <c r="I34" s="438">
        <v>835.75931000000003</v>
      </c>
      <c r="J34" s="439">
        <v>-267.33121895897102</v>
      </c>
      <c r="K34" s="442">
        <v>0.63137709316000001</v>
      </c>
    </row>
    <row r="35" spans="1:11" ht="14.4" customHeight="1" thickBot="1" x14ac:dyDescent="0.35">
      <c r="A35" s="458" t="s">
        <v>284</v>
      </c>
      <c r="B35" s="438">
        <v>1433</v>
      </c>
      <c r="C35" s="438">
        <v>1216.86842</v>
      </c>
      <c r="D35" s="439">
        <v>-216.13158000000001</v>
      </c>
      <c r="E35" s="440">
        <v>0.84917545010399997</v>
      </c>
      <c r="F35" s="438">
        <v>1323.70863475077</v>
      </c>
      <c r="G35" s="439">
        <v>1103.09052895897</v>
      </c>
      <c r="H35" s="441">
        <v>109.04394000000001</v>
      </c>
      <c r="I35" s="438">
        <v>835.75931000000003</v>
      </c>
      <c r="J35" s="439">
        <v>-267.33121895897102</v>
      </c>
      <c r="K35" s="442">
        <v>0.63137709316000001</v>
      </c>
    </row>
    <row r="36" spans="1:11" ht="14.4" customHeight="1" thickBot="1" x14ac:dyDescent="0.35">
      <c r="A36" s="459" t="s">
        <v>285</v>
      </c>
      <c r="B36" s="443">
        <v>2</v>
      </c>
      <c r="C36" s="443">
        <v>1.7059599999999999</v>
      </c>
      <c r="D36" s="444">
        <v>-0.29404000000000002</v>
      </c>
      <c r="E36" s="450">
        <v>0.85297999999999996</v>
      </c>
      <c r="F36" s="443">
        <v>1.7085021955999999</v>
      </c>
      <c r="G36" s="444">
        <v>1.423751829667</v>
      </c>
      <c r="H36" s="446">
        <v>0</v>
      </c>
      <c r="I36" s="443">
        <v>0.4788</v>
      </c>
      <c r="J36" s="444">
        <v>-0.94495182966699998</v>
      </c>
      <c r="K36" s="451">
        <v>0.28024546953000001</v>
      </c>
    </row>
    <row r="37" spans="1:11" ht="14.4" customHeight="1" thickBot="1" x14ac:dyDescent="0.35">
      <c r="A37" s="460" t="s">
        <v>286</v>
      </c>
      <c r="B37" s="438">
        <v>2</v>
      </c>
      <c r="C37" s="438">
        <v>1.7059599999999999</v>
      </c>
      <c r="D37" s="439">
        <v>-0.29404000000000002</v>
      </c>
      <c r="E37" s="440">
        <v>0.85297999999999996</v>
      </c>
      <c r="F37" s="438">
        <v>1.0000001002679999</v>
      </c>
      <c r="G37" s="439">
        <v>0.83333341688999996</v>
      </c>
      <c r="H37" s="441">
        <v>0</v>
      </c>
      <c r="I37" s="438">
        <v>0.4788</v>
      </c>
      <c r="J37" s="439">
        <v>-0.35453341689000001</v>
      </c>
      <c r="K37" s="442">
        <v>0.47879995199100001</v>
      </c>
    </row>
    <row r="38" spans="1:11" ht="14.4" customHeight="1" thickBot="1" x14ac:dyDescent="0.35">
      <c r="A38" s="460" t="s">
        <v>287</v>
      </c>
      <c r="B38" s="438">
        <v>0</v>
      </c>
      <c r="C38" s="438">
        <v>0</v>
      </c>
      <c r="D38" s="439">
        <v>0</v>
      </c>
      <c r="E38" s="440">
        <v>1</v>
      </c>
      <c r="F38" s="438">
        <v>0.70850209533200004</v>
      </c>
      <c r="G38" s="439">
        <v>0.59041841277600005</v>
      </c>
      <c r="H38" s="441">
        <v>0</v>
      </c>
      <c r="I38" s="438">
        <v>0</v>
      </c>
      <c r="J38" s="439">
        <v>-0.59041841277600005</v>
      </c>
      <c r="K38" s="442">
        <v>0</v>
      </c>
    </row>
    <row r="39" spans="1:11" ht="14.4" customHeight="1" thickBot="1" x14ac:dyDescent="0.35">
      <c r="A39" s="459" t="s">
        <v>288</v>
      </c>
      <c r="B39" s="443">
        <v>1</v>
      </c>
      <c r="C39" s="443">
        <v>0</v>
      </c>
      <c r="D39" s="444">
        <v>-1</v>
      </c>
      <c r="E39" s="450">
        <v>0</v>
      </c>
      <c r="F39" s="443">
        <v>0</v>
      </c>
      <c r="G39" s="444">
        <v>0</v>
      </c>
      <c r="H39" s="446">
        <v>0</v>
      </c>
      <c r="I39" s="443">
        <v>0</v>
      </c>
      <c r="J39" s="444">
        <v>0</v>
      </c>
      <c r="K39" s="447" t="s">
        <v>254</v>
      </c>
    </row>
    <row r="40" spans="1:11" ht="14.4" customHeight="1" thickBot="1" x14ac:dyDescent="0.35">
      <c r="A40" s="460" t="s">
        <v>289</v>
      </c>
      <c r="B40" s="438">
        <v>1</v>
      </c>
      <c r="C40" s="438">
        <v>0</v>
      </c>
      <c r="D40" s="439">
        <v>-1</v>
      </c>
      <c r="E40" s="440">
        <v>0</v>
      </c>
      <c r="F40" s="438">
        <v>0</v>
      </c>
      <c r="G40" s="439">
        <v>0</v>
      </c>
      <c r="H40" s="441">
        <v>0</v>
      </c>
      <c r="I40" s="438">
        <v>0</v>
      </c>
      <c r="J40" s="439">
        <v>0</v>
      </c>
      <c r="K40" s="449" t="s">
        <v>254</v>
      </c>
    </row>
    <row r="41" spans="1:11" ht="14.4" customHeight="1" thickBot="1" x14ac:dyDescent="0.35">
      <c r="A41" s="459" t="s">
        <v>290</v>
      </c>
      <c r="B41" s="443">
        <v>1430</v>
      </c>
      <c r="C41" s="443">
        <v>1135.91039</v>
      </c>
      <c r="D41" s="444">
        <v>-294.08960999999999</v>
      </c>
      <c r="E41" s="450">
        <v>0.79434293006900003</v>
      </c>
      <c r="F41" s="443">
        <v>1322.00013255516</v>
      </c>
      <c r="G41" s="444">
        <v>1101.6667771293</v>
      </c>
      <c r="H41" s="446">
        <v>109.04394000000001</v>
      </c>
      <c r="I41" s="443">
        <v>764.87905999999998</v>
      </c>
      <c r="J41" s="444">
        <v>-336.78771712930399</v>
      </c>
      <c r="K41" s="451">
        <v>0.57857714319700004</v>
      </c>
    </row>
    <row r="42" spans="1:11" ht="14.4" customHeight="1" thickBot="1" x14ac:dyDescent="0.35">
      <c r="A42" s="460" t="s">
        <v>291</v>
      </c>
      <c r="B42" s="438">
        <v>289</v>
      </c>
      <c r="C42" s="438">
        <v>417.20533</v>
      </c>
      <c r="D42" s="439">
        <v>128.20533</v>
      </c>
      <c r="E42" s="440">
        <v>1.443617058823</v>
      </c>
      <c r="F42" s="438">
        <v>524.00005254077598</v>
      </c>
      <c r="G42" s="439">
        <v>436.66671045064697</v>
      </c>
      <c r="H42" s="441">
        <v>44.641820000000003</v>
      </c>
      <c r="I42" s="438">
        <v>383.71812999999997</v>
      </c>
      <c r="J42" s="439">
        <v>-52.948580450645998</v>
      </c>
      <c r="K42" s="442">
        <v>0.73228643420799999</v>
      </c>
    </row>
    <row r="43" spans="1:11" ht="14.4" customHeight="1" thickBot="1" x14ac:dyDescent="0.35">
      <c r="A43" s="460" t="s">
        <v>292</v>
      </c>
      <c r="B43" s="438">
        <v>1141</v>
      </c>
      <c r="C43" s="438">
        <v>718.70506</v>
      </c>
      <c r="D43" s="439">
        <v>-422.29494</v>
      </c>
      <c r="E43" s="440">
        <v>0.62989049956099996</v>
      </c>
      <c r="F43" s="438">
        <v>798.000080014388</v>
      </c>
      <c r="G43" s="439">
        <v>665.00006667865705</v>
      </c>
      <c r="H43" s="441">
        <v>64.402119999999996</v>
      </c>
      <c r="I43" s="438">
        <v>381.16093000000001</v>
      </c>
      <c r="J43" s="439">
        <v>-283.83913667865698</v>
      </c>
      <c r="K43" s="442">
        <v>0.47764522779599999</v>
      </c>
    </row>
    <row r="44" spans="1:11" ht="14.4" customHeight="1" thickBot="1" x14ac:dyDescent="0.35">
      <c r="A44" s="459" t="s">
        <v>293</v>
      </c>
      <c r="B44" s="443">
        <v>0</v>
      </c>
      <c r="C44" s="443">
        <v>79.252070000000003</v>
      </c>
      <c r="D44" s="444">
        <v>79.252070000000003</v>
      </c>
      <c r="E44" s="445" t="s">
        <v>254</v>
      </c>
      <c r="F44" s="443">
        <v>0</v>
      </c>
      <c r="G44" s="444">
        <v>0</v>
      </c>
      <c r="H44" s="446">
        <v>0</v>
      </c>
      <c r="I44" s="443">
        <v>70.401449999999997</v>
      </c>
      <c r="J44" s="444">
        <v>70.401449999999997</v>
      </c>
      <c r="K44" s="447" t="s">
        <v>254</v>
      </c>
    </row>
    <row r="45" spans="1:11" ht="14.4" customHeight="1" thickBot="1" x14ac:dyDescent="0.35">
      <c r="A45" s="460" t="s">
        <v>294</v>
      </c>
      <c r="B45" s="438">
        <v>0</v>
      </c>
      <c r="C45" s="438">
        <v>8.2666599999999999</v>
      </c>
      <c r="D45" s="439">
        <v>8.2666599999999999</v>
      </c>
      <c r="E45" s="448" t="s">
        <v>254</v>
      </c>
      <c r="F45" s="438">
        <v>0</v>
      </c>
      <c r="G45" s="439">
        <v>0</v>
      </c>
      <c r="H45" s="441">
        <v>0</v>
      </c>
      <c r="I45" s="438">
        <v>8.0187500000000007</v>
      </c>
      <c r="J45" s="439">
        <v>8.0187500000000007</v>
      </c>
      <c r="K45" s="449" t="s">
        <v>254</v>
      </c>
    </row>
    <row r="46" spans="1:11" ht="14.4" customHeight="1" thickBot="1" x14ac:dyDescent="0.35">
      <c r="A46" s="460" t="s">
        <v>295</v>
      </c>
      <c r="B46" s="438">
        <v>0</v>
      </c>
      <c r="C46" s="438">
        <v>70.985410000000002</v>
      </c>
      <c r="D46" s="439">
        <v>70.985410000000002</v>
      </c>
      <c r="E46" s="448" t="s">
        <v>254</v>
      </c>
      <c r="F46" s="438">
        <v>0</v>
      </c>
      <c r="G46" s="439">
        <v>0</v>
      </c>
      <c r="H46" s="441">
        <v>0</v>
      </c>
      <c r="I46" s="438">
        <v>62.3827</v>
      </c>
      <c r="J46" s="439">
        <v>62.3827</v>
      </c>
      <c r="K46" s="449" t="s">
        <v>254</v>
      </c>
    </row>
    <row r="47" spans="1:11" ht="14.4" customHeight="1" thickBot="1" x14ac:dyDescent="0.35">
      <c r="A47" s="457" t="s">
        <v>296</v>
      </c>
      <c r="B47" s="438">
        <v>0</v>
      </c>
      <c r="C47" s="438">
        <v>16.600000000000001</v>
      </c>
      <c r="D47" s="439">
        <v>16.600000000000001</v>
      </c>
      <c r="E47" s="448" t="s">
        <v>254</v>
      </c>
      <c r="F47" s="438">
        <v>0</v>
      </c>
      <c r="G47" s="439">
        <v>0</v>
      </c>
      <c r="H47" s="441">
        <v>0</v>
      </c>
      <c r="I47" s="438">
        <v>0</v>
      </c>
      <c r="J47" s="439">
        <v>0</v>
      </c>
      <c r="K47" s="449" t="s">
        <v>254</v>
      </c>
    </row>
    <row r="48" spans="1:11" ht="14.4" customHeight="1" thickBot="1" x14ac:dyDescent="0.35">
      <c r="A48" s="462" t="s">
        <v>297</v>
      </c>
      <c r="B48" s="443">
        <v>0</v>
      </c>
      <c r="C48" s="443">
        <v>16.600000000000001</v>
      </c>
      <c r="D48" s="444">
        <v>16.600000000000001</v>
      </c>
      <c r="E48" s="445" t="s">
        <v>254</v>
      </c>
      <c r="F48" s="443">
        <v>0</v>
      </c>
      <c r="G48" s="444">
        <v>0</v>
      </c>
      <c r="H48" s="446">
        <v>0</v>
      </c>
      <c r="I48" s="443">
        <v>0</v>
      </c>
      <c r="J48" s="444">
        <v>0</v>
      </c>
      <c r="K48" s="447" t="s">
        <v>254</v>
      </c>
    </row>
    <row r="49" spans="1:11" ht="14.4" customHeight="1" thickBot="1" x14ac:dyDescent="0.35">
      <c r="A49" s="459" t="s">
        <v>298</v>
      </c>
      <c r="B49" s="443">
        <v>0</v>
      </c>
      <c r="C49" s="443">
        <v>16.600000000000001</v>
      </c>
      <c r="D49" s="444">
        <v>16.600000000000001</v>
      </c>
      <c r="E49" s="445" t="s">
        <v>270</v>
      </c>
      <c r="F49" s="443">
        <v>0</v>
      </c>
      <c r="G49" s="444">
        <v>0</v>
      </c>
      <c r="H49" s="446">
        <v>0</v>
      </c>
      <c r="I49" s="443">
        <v>0</v>
      </c>
      <c r="J49" s="444">
        <v>0</v>
      </c>
      <c r="K49" s="447" t="s">
        <v>254</v>
      </c>
    </row>
    <row r="50" spans="1:11" ht="14.4" customHeight="1" thickBot="1" x14ac:dyDescent="0.35">
      <c r="A50" s="460" t="s">
        <v>299</v>
      </c>
      <c r="B50" s="438">
        <v>0</v>
      </c>
      <c r="C50" s="438">
        <v>16.600000000000001</v>
      </c>
      <c r="D50" s="439">
        <v>16.600000000000001</v>
      </c>
      <c r="E50" s="448" t="s">
        <v>270</v>
      </c>
      <c r="F50" s="438">
        <v>0</v>
      </c>
      <c r="G50" s="439">
        <v>0</v>
      </c>
      <c r="H50" s="441">
        <v>0</v>
      </c>
      <c r="I50" s="438">
        <v>0</v>
      </c>
      <c r="J50" s="439">
        <v>0</v>
      </c>
      <c r="K50" s="449" t="s">
        <v>254</v>
      </c>
    </row>
    <row r="51" spans="1:11" ht="14.4" customHeight="1" thickBot="1" x14ac:dyDescent="0.35">
      <c r="A51" s="456" t="s">
        <v>300</v>
      </c>
      <c r="B51" s="438">
        <v>0.34090201312200002</v>
      </c>
      <c r="C51" s="438">
        <v>0</v>
      </c>
      <c r="D51" s="439">
        <v>-0.34090201312200002</v>
      </c>
      <c r="E51" s="440">
        <v>0</v>
      </c>
      <c r="F51" s="438">
        <v>0</v>
      </c>
      <c r="G51" s="439">
        <v>0</v>
      </c>
      <c r="H51" s="441">
        <v>0</v>
      </c>
      <c r="I51" s="438">
        <v>0.14122999999999999</v>
      </c>
      <c r="J51" s="439">
        <v>0.14122999999999999</v>
      </c>
      <c r="K51" s="449" t="s">
        <v>270</v>
      </c>
    </row>
    <row r="52" spans="1:11" ht="14.4" customHeight="1" thickBot="1" x14ac:dyDescent="0.35">
      <c r="A52" s="461" t="s">
        <v>301</v>
      </c>
      <c r="B52" s="443">
        <v>0.34090201312200002</v>
      </c>
      <c r="C52" s="443">
        <v>0</v>
      </c>
      <c r="D52" s="444">
        <v>-0.34090201312200002</v>
      </c>
      <c r="E52" s="450">
        <v>0</v>
      </c>
      <c r="F52" s="443">
        <v>0</v>
      </c>
      <c r="G52" s="444">
        <v>0</v>
      </c>
      <c r="H52" s="446">
        <v>0</v>
      </c>
      <c r="I52" s="443">
        <v>0.14122999999999999</v>
      </c>
      <c r="J52" s="444">
        <v>0.14122999999999999</v>
      </c>
      <c r="K52" s="447" t="s">
        <v>270</v>
      </c>
    </row>
    <row r="53" spans="1:11" ht="14.4" customHeight="1" thickBot="1" x14ac:dyDescent="0.35">
      <c r="A53" s="462" t="s">
        <v>53</v>
      </c>
      <c r="B53" s="443">
        <v>0.34090201312200002</v>
      </c>
      <c r="C53" s="443">
        <v>0</v>
      </c>
      <c r="D53" s="444">
        <v>-0.34090201312200002</v>
      </c>
      <c r="E53" s="450">
        <v>0</v>
      </c>
      <c r="F53" s="443">
        <v>0</v>
      </c>
      <c r="G53" s="444">
        <v>0</v>
      </c>
      <c r="H53" s="446">
        <v>0</v>
      </c>
      <c r="I53" s="443">
        <v>0.14122999999999999</v>
      </c>
      <c r="J53" s="444">
        <v>0.14122999999999999</v>
      </c>
      <c r="K53" s="447" t="s">
        <v>270</v>
      </c>
    </row>
    <row r="54" spans="1:11" ht="14.4" customHeight="1" thickBot="1" x14ac:dyDescent="0.35">
      <c r="A54" s="459" t="s">
        <v>302</v>
      </c>
      <c r="B54" s="443">
        <v>0.34090201312200002</v>
      </c>
      <c r="C54" s="443">
        <v>0</v>
      </c>
      <c r="D54" s="444">
        <v>-0.34090201312200002</v>
      </c>
      <c r="E54" s="450">
        <v>0</v>
      </c>
      <c r="F54" s="443">
        <v>0</v>
      </c>
      <c r="G54" s="444">
        <v>0</v>
      </c>
      <c r="H54" s="446">
        <v>0</v>
      </c>
      <c r="I54" s="443">
        <v>0</v>
      </c>
      <c r="J54" s="444">
        <v>0</v>
      </c>
      <c r="K54" s="451">
        <v>0</v>
      </c>
    </row>
    <row r="55" spans="1:11" ht="14.4" customHeight="1" thickBot="1" x14ac:dyDescent="0.35">
      <c r="A55" s="460" t="s">
        <v>303</v>
      </c>
      <c r="B55" s="438">
        <v>0.34090201312200002</v>
      </c>
      <c r="C55" s="438">
        <v>0</v>
      </c>
      <c r="D55" s="439">
        <v>-0.34090201312200002</v>
      </c>
      <c r="E55" s="440">
        <v>0</v>
      </c>
      <c r="F55" s="438">
        <v>0</v>
      </c>
      <c r="G55" s="439">
        <v>0</v>
      </c>
      <c r="H55" s="441">
        <v>0</v>
      </c>
      <c r="I55" s="438">
        <v>0</v>
      </c>
      <c r="J55" s="439">
        <v>0</v>
      </c>
      <c r="K55" s="442">
        <v>0</v>
      </c>
    </row>
    <row r="56" spans="1:11" ht="14.4" customHeight="1" thickBot="1" x14ac:dyDescent="0.35">
      <c r="A56" s="459" t="s">
        <v>304</v>
      </c>
      <c r="B56" s="443">
        <v>0</v>
      </c>
      <c r="C56" s="443">
        <v>0</v>
      </c>
      <c r="D56" s="444">
        <v>0</v>
      </c>
      <c r="E56" s="450">
        <v>1</v>
      </c>
      <c r="F56" s="443">
        <v>0</v>
      </c>
      <c r="G56" s="444">
        <v>0</v>
      </c>
      <c r="H56" s="446">
        <v>0</v>
      </c>
      <c r="I56" s="443">
        <v>0.14122999999999999</v>
      </c>
      <c r="J56" s="444">
        <v>0.14122999999999999</v>
      </c>
      <c r="K56" s="447" t="s">
        <v>270</v>
      </c>
    </row>
    <row r="57" spans="1:11" ht="14.4" customHeight="1" thickBot="1" x14ac:dyDescent="0.35">
      <c r="A57" s="460" t="s">
        <v>305</v>
      </c>
      <c r="B57" s="438">
        <v>0</v>
      </c>
      <c r="C57" s="438">
        <v>0</v>
      </c>
      <c r="D57" s="439">
        <v>0</v>
      </c>
      <c r="E57" s="440">
        <v>1</v>
      </c>
      <c r="F57" s="438">
        <v>0</v>
      </c>
      <c r="G57" s="439">
        <v>0</v>
      </c>
      <c r="H57" s="441">
        <v>0</v>
      </c>
      <c r="I57" s="438">
        <v>0.14122999999999999</v>
      </c>
      <c r="J57" s="439">
        <v>0.14122999999999999</v>
      </c>
      <c r="K57" s="449" t="s">
        <v>270</v>
      </c>
    </row>
    <row r="58" spans="1:11" ht="14.4" customHeight="1" thickBot="1" x14ac:dyDescent="0.35">
      <c r="A58" s="463" t="s">
        <v>306</v>
      </c>
      <c r="B58" s="443">
        <v>0</v>
      </c>
      <c r="C58" s="443">
        <v>0.93991999999999998</v>
      </c>
      <c r="D58" s="444">
        <v>0.93991999999999998</v>
      </c>
      <c r="E58" s="445" t="s">
        <v>254</v>
      </c>
      <c r="F58" s="443">
        <v>0</v>
      </c>
      <c r="G58" s="444">
        <v>0</v>
      </c>
      <c r="H58" s="446">
        <v>0</v>
      </c>
      <c r="I58" s="443">
        <v>0</v>
      </c>
      <c r="J58" s="444">
        <v>0</v>
      </c>
      <c r="K58" s="451">
        <v>0</v>
      </c>
    </row>
    <row r="59" spans="1:11" ht="14.4" customHeight="1" thickBot="1" x14ac:dyDescent="0.35">
      <c r="A59" s="461" t="s">
        <v>307</v>
      </c>
      <c r="B59" s="443">
        <v>0</v>
      </c>
      <c r="C59" s="443">
        <v>0.93991999999999998</v>
      </c>
      <c r="D59" s="444">
        <v>0.93991999999999998</v>
      </c>
      <c r="E59" s="445" t="s">
        <v>254</v>
      </c>
      <c r="F59" s="443">
        <v>0</v>
      </c>
      <c r="G59" s="444">
        <v>0</v>
      </c>
      <c r="H59" s="446">
        <v>0</v>
      </c>
      <c r="I59" s="443">
        <v>0</v>
      </c>
      <c r="J59" s="444">
        <v>0</v>
      </c>
      <c r="K59" s="451">
        <v>0</v>
      </c>
    </row>
    <row r="60" spans="1:11" ht="14.4" customHeight="1" thickBot="1" x14ac:dyDescent="0.35">
      <c r="A60" s="462" t="s">
        <v>308</v>
      </c>
      <c r="B60" s="443">
        <v>0</v>
      </c>
      <c r="C60" s="443">
        <v>0.93991999999999998</v>
      </c>
      <c r="D60" s="444">
        <v>0.93991999999999998</v>
      </c>
      <c r="E60" s="445" t="s">
        <v>254</v>
      </c>
      <c r="F60" s="443">
        <v>0</v>
      </c>
      <c r="G60" s="444">
        <v>0</v>
      </c>
      <c r="H60" s="446">
        <v>0</v>
      </c>
      <c r="I60" s="443">
        <v>0</v>
      </c>
      <c r="J60" s="444">
        <v>0</v>
      </c>
      <c r="K60" s="451">
        <v>0</v>
      </c>
    </row>
    <row r="61" spans="1:11" ht="14.4" customHeight="1" thickBot="1" x14ac:dyDescent="0.35">
      <c r="A61" s="459" t="s">
        <v>309</v>
      </c>
      <c r="B61" s="443">
        <v>0</v>
      </c>
      <c r="C61" s="443">
        <v>0.93991999999999998</v>
      </c>
      <c r="D61" s="444">
        <v>0.93991999999999998</v>
      </c>
      <c r="E61" s="445" t="s">
        <v>270</v>
      </c>
      <c r="F61" s="443">
        <v>0</v>
      </c>
      <c r="G61" s="444">
        <v>0</v>
      </c>
      <c r="H61" s="446">
        <v>0</v>
      </c>
      <c r="I61" s="443">
        <v>0</v>
      </c>
      <c r="J61" s="444">
        <v>0</v>
      </c>
      <c r="K61" s="451">
        <v>0</v>
      </c>
    </row>
    <row r="62" spans="1:11" ht="14.4" customHeight="1" thickBot="1" x14ac:dyDescent="0.35">
      <c r="A62" s="460" t="s">
        <v>310</v>
      </c>
      <c r="B62" s="438">
        <v>0</v>
      </c>
      <c r="C62" s="438">
        <v>0.93991999999999998</v>
      </c>
      <c r="D62" s="439">
        <v>0.93991999999999998</v>
      </c>
      <c r="E62" s="448" t="s">
        <v>270</v>
      </c>
      <c r="F62" s="438">
        <v>0</v>
      </c>
      <c r="G62" s="439">
        <v>0</v>
      </c>
      <c r="H62" s="441">
        <v>0</v>
      </c>
      <c r="I62" s="438">
        <v>0</v>
      </c>
      <c r="J62" s="439">
        <v>0</v>
      </c>
      <c r="K62" s="442">
        <v>0</v>
      </c>
    </row>
    <row r="63" spans="1:11" ht="14.4" customHeight="1" thickBot="1" x14ac:dyDescent="0.35">
      <c r="A63" s="464"/>
      <c r="B63" s="438">
        <v>886.41326113109301</v>
      </c>
      <c r="C63" s="438">
        <v>701.39626999999996</v>
      </c>
      <c r="D63" s="439">
        <v>-185.016991131092</v>
      </c>
      <c r="E63" s="440">
        <v>0.79127456769399995</v>
      </c>
      <c r="F63" s="438">
        <v>769.85272135469404</v>
      </c>
      <c r="G63" s="439">
        <v>641.54393446224503</v>
      </c>
      <c r="H63" s="441">
        <v>82.238939999999999</v>
      </c>
      <c r="I63" s="438">
        <v>495.39330000000001</v>
      </c>
      <c r="J63" s="439">
        <v>-146.15063446224499</v>
      </c>
      <c r="K63" s="442">
        <v>0.64349100322399999</v>
      </c>
    </row>
    <row r="64" spans="1:11" ht="14.4" customHeight="1" thickBot="1" x14ac:dyDescent="0.35">
      <c r="A64" s="465" t="s">
        <v>65</v>
      </c>
      <c r="B64" s="452">
        <v>886.41326113109301</v>
      </c>
      <c r="C64" s="452">
        <v>701.39626999999996</v>
      </c>
      <c r="D64" s="453">
        <v>-185.01699113109299</v>
      </c>
      <c r="E64" s="454" t="s">
        <v>254</v>
      </c>
      <c r="F64" s="452">
        <v>769.85272135469404</v>
      </c>
      <c r="G64" s="453">
        <v>641.54393446224503</v>
      </c>
      <c r="H64" s="452">
        <v>82.238939999999999</v>
      </c>
      <c r="I64" s="452">
        <v>495.39330000000001</v>
      </c>
      <c r="J64" s="453">
        <v>-146.15063446224499</v>
      </c>
      <c r="K64" s="455">
        <v>0.64349100322399999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6" t="s">
        <v>133</v>
      </c>
      <c r="B1" s="366"/>
      <c r="C1" s="366"/>
      <c r="D1" s="366"/>
      <c r="E1" s="366"/>
      <c r="F1" s="366"/>
      <c r="G1" s="366"/>
      <c r="H1" s="366"/>
      <c r="I1" s="331"/>
      <c r="J1" s="331"/>
      <c r="K1" s="331"/>
      <c r="L1" s="331"/>
    </row>
    <row r="2" spans="1:14" ht="14.4" customHeight="1" thickBot="1" x14ac:dyDescent="0.35">
      <c r="A2" s="230" t="s">
        <v>253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77" t="s">
        <v>14</v>
      </c>
      <c r="D3" s="376"/>
      <c r="E3" s="376" t="s">
        <v>15</v>
      </c>
      <c r="F3" s="376"/>
      <c r="G3" s="376"/>
      <c r="H3" s="376"/>
      <c r="I3" s="376" t="s">
        <v>140</v>
      </c>
      <c r="J3" s="376"/>
      <c r="K3" s="376"/>
      <c r="L3" s="378"/>
    </row>
    <row r="4" spans="1:14" ht="14.4" customHeight="1" thickBot="1" x14ac:dyDescent="0.3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" customHeight="1" x14ac:dyDescent="0.3">
      <c r="A5" s="466">
        <v>57</v>
      </c>
      <c r="B5" s="467" t="s">
        <v>311</v>
      </c>
      <c r="C5" s="468">
        <v>1942.6</v>
      </c>
      <c r="D5" s="468">
        <v>2</v>
      </c>
      <c r="E5" s="468">
        <v>1942.6</v>
      </c>
      <c r="F5" s="469">
        <v>1</v>
      </c>
      <c r="G5" s="468">
        <v>2</v>
      </c>
      <c r="H5" s="469">
        <v>1</v>
      </c>
      <c r="I5" s="468" t="s">
        <v>312</v>
      </c>
      <c r="J5" s="469">
        <v>0</v>
      </c>
      <c r="K5" s="468" t="s">
        <v>312</v>
      </c>
      <c r="L5" s="469">
        <v>0</v>
      </c>
      <c r="M5" s="468" t="s">
        <v>67</v>
      </c>
      <c r="N5" s="151"/>
    </row>
    <row r="6" spans="1:14" ht="14.4" customHeight="1" x14ac:dyDescent="0.3">
      <c r="A6" s="466">
        <v>57</v>
      </c>
      <c r="B6" s="467" t="s">
        <v>313</v>
      </c>
      <c r="C6" s="468">
        <v>1942.6</v>
      </c>
      <c r="D6" s="468">
        <v>2</v>
      </c>
      <c r="E6" s="468">
        <v>1942.6</v>
      </c>
      <c r="F6" s="469">
        <v>1</v>
      </c>
      <c r="G6" s="468">
        <v>2</v>
      </c>
      <c r="H6" s="469">
        <v>1</v>
      </c>
      <c r="I6" s="468" t="s">
        <v>312</v>
      </c>
      <c r="J6" s="469">
        <v>0</v>
      </c>
      <c r="K6" s="468" t="s">
        <v>312</v>
      </c>
      <c r="L6" s="469">
        <v>0</v>
      </c>
      <c r="M6" s="468" t="s">
        <v>1</v>
      </c>
      <c r="N6" s="151"/>
    </row>
    <row r="7" spans="1:14" ht="14.4" customHeight="1" x14ac:dyDescent="0.3">
      <c r="A7" s="466" t="s">
        <v>314</v>
      </c>
      <c r="B7" s="467" t="s">
        <v>3</v>
      </c>
      <c r="C7" s="468">
        <v>1942.6</v>
      </c>
      <c r="D7" s="468">
        <v>2</v>
      </c>
      <c r="E7" s="468">
        <v>1942.6</v>
      </c>
      <c r="F7" s="469">
        <v>1</v>
      </c>
      <c r="G7" s="468">
        <v>2</v>
      </c>
      <c r="H7" s="469">
        <v>1</v>
      </c>
      <c r="I7" s="468" t="s">
        <v>312</v>
      </c>
      <c r="J7" s="469">
        <v>0</v>
      </c>
      <c r="K7" s="468" t="s">
        <v>312</v>
      </c>
      <c r="L7" s="469">
        <v>0</v>
      </c>
      <c r="M7" s="468" t="s">
        <v>315</v>
      </c>
      <c r="N7" s="151"/>
    </row>
    <row r="9" spans="1:14" ht="14.4" customHeight="1" x14ac:dyDescent="0.3">
      <c r="A9" s="466">
        <v>57</v>
      </c>
      <c r="B9" s="467" t="s">
        <v>311</v>
      </c>
      <c r="C9" s="468" t="s">
        <v>312</v>
      </c>
      <c r="D9" s="468" t="s">
        <v>312</v>
      </c>
      <c r="E9" s="468" t="s">
        <v>312</v>
      </c>
      <c r="F9" s="469" t="s">
        <v>312</v>
      </c>
      <c r="G9" s="468" t="s">
        <v>312</v>
      </c>
      <c r="H9" s="469" t="s">
        <v>312</v>
      </c>
      <c r="I9" s="468" t="s">
        <v>312</v>
      </c>
      <c r="J9" s="469" t="s">
        <v>312</v>
      </c>
      <c r="K9" s="468" t="s">
        <v>312</v>
      </c>
      <c r="L9" s="469" t="s">
        <v>312</v>
      </c>
      <c r="M9" s="468" t="s">
        <v>67</v>
      </c>
      <c r="N9" s="151"/>
    </row>
    <row r="10" spans="1:14" ht="14.4" customHeight="1" x14ac:dyDescent="0.3">
      <c r="A10" s="466" t="s">
        <v>316</v>
      </c>
      <c r="B10" s="467" t="s">
        <v>313</v>
      </c>
      <c r="C10" s="468">
        <v>1942.6</v>
      </c>
      <c r="D10" s="468">
        <v>2</v>
      </c>
      <c r="E10" s="468">
        <v>1942.6</v>
      </c>
      <c r="F10" s="469">
        <v>1</v>
      </c>
      <c r="G10" s="468">
        <v>2</v>
      </c>
      <c r="H10" s="469">
        <v>1</v>
      </c>
      <c r="I10" s="468" t="s">
        <v>312</v>
      </c>
      <c r="J10" s="469">
        <v>0</v>
      </c>
      <c r="K10" s="468" t="s">
        <v>312</v>
      </c>
      <c r="L10" s="469">
        <v>0</v>
      </c>
      <c r="M10" s="468" t="s">
        <v>1</v>
      </c>
      <c r="N10" s="151"/>
    </row>
    <row r="11" spans="1:14" ht="14.4" customHeight="1" x14ac:dyDescent="0.3">
      <c r="A11" s="466" t="s">
        <v>316</v>
      </c>
      <c r="B11" s="467" t="s">
        <v>317</v>
      </c>
      <c r="C11" s="468">
        <v>1942.6</v>
      </c>
      <c r="D11" s="468">
        <v>2</v>
      </c>
      <c r="E11" s="468">
        <v>1942.6</v>
      </c>
      <c r="F11" s="469">
        <v>1</v>
      </c>
      <c r="G11" s="468">
        <v>2</v>
      </c>
      <c r="H11" s="469">
        <v>1</v>
      </c>
      <c r="I11" s="468" t="s">
        <v>312</v>
      </c>
      <c r="J11" s="469">
        <v>0</v>
      </c>
      <c r="K11" s="468" t="s">
        <v>312</v>
      </c>
      <c r="L11" s="469">
        <v>0</v>
      </c>
      <c r="M11" s="468" t="s">
        <v>318</v>
      </c>
      <c r="N11" s="151"/>
    </row>
    <row r="12" spans="1:14" ht="14.4" customHeight="1" x14ac:dyDescent="0.3">
      <c r="A12" s="466" t="s">
        <v>312</v>
      </c>
      <c r="B12" s="467" t="s">
        <v>312</v>
      </c>
      <c r="C12" s="468" t="s">
        <v>312</v>
      </c>
      <c r="D12" s="468" t="s">
        <v>312</v>
      </c>
      <c r="E12" s="468" t="s">
        <v>312</v>
      </c>
      <c r="F12" s="469" t="s">
        <v>312</v>
      </c>
      <c r="G12" s="468" t="s">
        <v>312</v>
      </c>
      <c r="H12" s="469" t="s">
        <v>312</v>
      </c>
      <c r="I12" s="468" t="s">
        <v>312</v>
      </c>
      <c r="J12" s="469" t="s">
        <v>312</v>
      </c>
      <c r="K12" s="468" t="s">
        <v>312</v>
      </c>
      <c r="L12" s="469" t="s">
        <v>312</v>
      </c>
      <c r="M12" s="468" t="s">
        <v>319</v>
      </c>
      <c r="N12" s="151"/>
    </row>
    <row r="13" spans="1:14" ht="14.4" customHeight="1" x14ac:dyDescent="0.3">
      <c r="A13" s="466" t="s">
        <v>314</v>
      </c>
      <c r="B13" s="467" t="s">
        <v>317</v>
      </c>
      <c r="C13" s="468">
        <v>1942.6</v>
      </c>
      <c r="D13" s="468">
        <v>2</v>
      </c>
      <c r="E13" s="468">
        <v>1942.6</v>
      </c>
      <c r="F13" s="469">
        <v>1</v>
      </c>
      <c r="G13" s="468">
        <v>2</v>
      </c>
      <c r="H13" s="469">
        <v>1</v>
      </c>
      <c r="I13" s="468" t="s">
        <v>312</v>
      </c>
      <c r="J13" s="469">
        <v>0</v>
      </c>
      <c r="K13" s="468" t="s">
        <v>312</v>
      </c>
      <c r="L13" s="469">
        <v>0</v>
      </c>
      <c r="M13" s="468" t="s">
        <v>315</v>
      </c>
      <c r="N13" s="151"/>
    </row>
    <row r="14" spans="1:14" ht="14.4" customHeight="1" x14ac:dyDescent="0.3">
      <c r="A14" s="470" t="s">
        <v>320</v>
      </c>
    </row>
    <row r="15" spans="1:14" ht="14.4" customHeight="1" x14ac:dyDescent="0.3">
      <c r="A15" s="471" t="s">
        <v>321</v>
      </c>
    </row>
    <row r="16" spans="1:14" ht="14.4" customHeight="1" x14ac:dyDescent="0.3">
      <c r="A16" s="470" t="s">
        <v>322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9" priority="15" stopIfTrue="1" operator="lessThan">
      <formula>0.6</formula>
    </cfRule>
  </conditionalFormatting>
  <conditionalFormatting sqref="B5:B7">
    <cfRule type="expression" dxfId="38" priority="10">
      <formula>AND(LEFT(M5,6)&lt;&gt;"mezera",M5&lt;&gt;"")</formula>
    </cfRule>
  </conditionalFormatting>
  <conditionalFormatting sqref="A5:A7">
    <cfRule type="expression" dxfId="37" priority="8">
      <formula>AND(M5&lt;&gt;"",M5&lt;&gt;"mezeraKL")</formula>
    </cfRule>
  </conditionalFormatting>
  <conditionalFormatting sqref="F5:F7">
    <cfRule type="cellIs" dxfId="36" priority="7" operator="lessThan">
      <formula>0.6</formula>
    </cfRule>
  </conditionalFormatting>
  <conditionalFormatting sqref="B5:L7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7">
    <cfRule type="expression" dxfId="33" priority="12">
      <formula>$M5&lt;&gt;""</formula>
    </cfRule>
  </conditionalFormatting>
  <conditionalFormatting sqref="B9:B13">
    <cfRule type="expression" dxfId="32" priority="4">
      <formula>AND(LEFT(M9,6)&lt;&gt;"mezera",M9&lt;&gt;"")</formula>
    </cfRule>
  </conditionalFormatting>
  <conditionalFormatting sqref="A9:A13">
    <cfRule type="expression" dxfId="31" priority="2">
      <formula>AND(M9&lt;&gt;"",M9&lt;&gt;"mezeraKL")</formula>
    </cfRule>
  </conditionalFormatting>
  <conditionalFormatting sqref="F9:F13">
    <cfRule type="cellIs" dxfId="30" priority="1" operator="lessThan">
      <formula>0.6</formula>
    </cfRule>
  </conditionalFormatting>
  <conditionalFormatting sqref="B9:L13">
    <cfRule type="expression" dxfId="29" priority="3">
      <formula>OR($M9="KL",$M9="SumaKL")</formula>
    </cfRule>
    <cfRule type="expression" dxfId="28" priority="5">
      <formula>$M9="SumaNS"</formula>
    </cfRule>
  </conditionalFormatting>
  <conditionalFormatting sqref="A9:L13">
    <cfRule type="expression" dxfId="27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6" t="s">
        <v>141</v>
      </c>
      <c r="B1" s="366"/>
      <c r="C1" s="366"/>
      <c r="D1" s="366"/>
      <c r="E1" s="366"/>
      <c r="F1" s="366"/>
      <c r="G1" s="366"/>
      <c r="H1" s="366"/>
      <c r="I1" s="366"/>
      <c r="J1" s="331"/>
      <c r="K1" s="331"/>
      <c r="L1" s="331"/>
      <c r="M1" s="331"/>
    </row>
    <row r="2" spans="1:13" ht="14.4" customHeight="1" thickBot="1" x14ac:dyDescent="0.35">
      <c r="A2" s="230" t="s">
        <v>253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77" t="s">
        <v>14</v>
      </c>
      <c r="C3" s="379"/>
      <c r="D3" s="376"/>
      <c r="E3" s="143"/>
      <c r="F3" s="376" t="s">
        <v>15</v>
      </c>
      <c r="G3" s="376"/>
      <c r="H3" s="376"/>
      <c r="I3" s="376"/>
      <c r="J3" s="376" t="s">
        <v>140</v>
      </c>
      <c r="K3" s="376"/>
      <c r="L3" s="376"/>
      <c r="M3" s="378"/>
    </row>
    <row r="4" spans="1:13" ht="14.4" customHeight="1" thickBot="1" x14ac:dyDescent="0.35">
      <c r="A4" s="472" t="s">
        <v>131</v>
      </c>
      <c r="B4" s="476" t="s">
        <v>18</v>
      </c>
      <c r="C4" s="477"/>
      <c r="D4" s="476" t="s">
        <v>19</v>
      </c>
      <c r="E4" s="477"/>
      <c r="F4" s="476" t="s">
        <v>18</v>
      </c>
      <c r="G4" s="482" t="s">
        <v>2</v>
      </c>
      <c r="H4" s="476" t="s">
        <v>19</v>
      </c>
      <c r="I4" s="482" t="s">
        <v>2</v>
      </c>
      <c r="J4" s="476" t="s">
        <v>18</v>
      </c>
      <c r="K4" s="482" t="s">
        <v>2</v>
      </c>
      <c r="L4" s="476" t="s">
        <v>19</v>
      </c>
      <c r="M4" s="483" t="s">
        <v>2</v>
      </c>
    </row>
    <row r="5" spans="1:13" ht="14.4" customHeight="1" thickBot="1" x14ac:dyDescent="0.35">
      <c r="A5" s="475" t="s">
        <v>323</v>
      </c>
      <c r="B5" s="478">
        <v>1942.6</v>
      </c>
      <c r="C5" s="479">
        <v>1</v>
      </c>
      <c r="D5" s="481">
        <v>2</v>
      </c>
      <c r="E5" s="473" t="s">
        <v>323</v>
      </c>
      <c r="F5" s="478">
        <v>1942.6</v>
      </c>
      <c r="G5" s="306">
        <v>1</v>
      </c>
      <c r="H5" s="480">
        <v>2</v>
      </c>
      <c r="I5" s="307">
        <v>1</v>
      </c>
      <c r="J5" s="484"/>
      <c r="K5" s="306">
        <v>0</v>
      </c>
      <c r="L5" s="480"/>
      <c r="M5" s="307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9" t="s">
        <v>329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</row>
    <row r="2" spans="1:21" ht="14.4" customHeight="1" thickBot="1" x14ac:dyDescent="0.35">
      <c r="A2" s="230" t="s">
        <v>253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3"/>
      <c r="B3" s="384"/>
      <c r="C3" s="384"/>
      <c r="D3" s="384"/>
      <c r="E3" s="384"/>
      <c r="F3" s="384"/>
      <c r="G3" s="384"/>
      <c r="H3" s="384"/>
      <c r="I3" s="384"/>
      <c r="J3" s="384"/>
      <c r="K3" s="385" t="s">
        <v>124</v>
      </c>
      <c r="L3" s="386"/>
      <c r="M3" s="66">
        <f>SUBTOTAL(9,M7:M1048576)</f>
        <v>1942.6</v>
      </c>
      <c r="N3" s="66">
        <f>SUBTOTAL(9,N7:N1048576)</f>
        <v>10</v>
      </c>
      <c r="O3" s="66">
        <f>SUBTOTAL(9,O7:O1048576)</f>
        <v>2</v>
      </c>
      <c r="P3" s="66">
        <f>SUBTOTAL(9,P7:P1048576)</f>
        <v>1942.6</v>
      </c>
      <c r="Q3" s="67">
        <f>IF(M3=0,0,P3/M3)</f>
        <v>1</v>
      </c>
      <c r="R3" s="66">
        <f>SUBTOTAL(9,R7:R1048576)</f>
        <v>10</v>
      </c>
      <c r="S3" s="67">
        <f>IF(N3=0,0,R3/N3)</f>
        <v>1</v>
      </c>
      <c r="T3" s="66">
        <f>SUBTOTAL(9,T7:T1048576)</f>
        <v>2</v>
      </c>
      <c r="U3" s="68">
        <f>IF(O3=0,0,T3/O3)</f>
        <v>1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87" t="s">
        <v>14</v>
      </c>
      <c r="N4" s="388"/>
      <c r="O4" s="388"/>
      <c r="P4" s="389" t="s">
        <v>20</v>
      </c>
      <c r="Q4" s="388"/>
      <c r="R4" s="388"/>
      <c r="S4" s="388"/>
      <c r="T4" s="388"/>
      <c r="U4" s="390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80" t="s">
        <v>21</v>
      </c>
      <c r="Q5" s="381"/>
      <c r="R5" s="380" t="s">
        <v>12</v>
      </c>
      <c r="S5" s="381"/>
      <c r="T5" s="380" t="s">
        <v>19</v>
      </c>
      <c r="U5" s="382"/>
    </row>
    <row r="6" spans="1:21" s="208" customFormat="1" ht="14.4" customHeight="1" thickBot="1" x14ac:dyDescent="0.35">
      <c r="A6" s="485" t="s">
        <v>22</v>
      </c>
      <c r="B6" s="486" t="s">
        <v>5</v>
      </c>
      <c r="C6" s="485" t="s">
        <v>23</v>
      </c>
      <c r="D6" s="486" t="s">
        <v>6</v>
      </c>
      <c r="E6" s="486" t="s">
        <v>143</v>
      </c>
      <c r="F6" s="486" t="s">
        <v>24</v>
      </c>
      <c r="G6" s="486" t="s">
        <v>25</v>
      </c>
      <c r="H6" s="486" t="s">
        <v>8</v>
      </c>
      <c r="I6" s="486" t="s">
        <v>9</v>
      </c>
      <c r="J6" s="486" t="s">
        <v>10</v>
      </c>
      <c r="K6" s="486" t="s">
        <v>11</v>
      </c>
      <c r="L6" s="486" t="s">
        <v>26</v>
      </c>
      <c r="M6" s="487" t="s">
        <v>13</v>
      </c>
      <c r="N6" s="488" t="s">
        <v>27</v>
      </c>
      <c r="O6" s="488" t="s">
        <v>27</v>
      </c>
      <c r="P6" s="488" t="s">
        <v>13</v>
      </c>
      <c r="Q6" s="488" t="s">
        <v>2</v>
      </c>
      <c r="R6" s="488" t="s">
        <v>27</v>
      </c>
      <c r="S6" s="488" t="s">
        <v>2</v>
      </c>
      <c r="T6" s="488" t="s">
        <v>27</v>
      </c>
      <c r="U6" s="489" t="s">
        <v>2</v>
      </c>
    </row>
    <row r="7" spans="1:21" ht="14.4" customHeight="1" thickBot="1" x14ac:dyDescent="0.35">
      <c r="A7" s="474">
        <v>57</v>
      </c>
      <c r="B7" s="479" t="s">
        <v>311</v>
      </c>
      <c r="C7" s="479" t="s">
        <v>316</v>
      </c>
      <c r="D7" s="490" t="s">
        <v>311</v>
      </c>
      <c r="E7" s="491" t="s">
        <v>323</v>
      </c>
      <c r="F7" s="479" t="s">
        <v>313</v>
      </c>
      <c r="G7" s="479" t="s">
        <v>324</v>
      </c>
      <c r="H7" s="479" t="s">
        <v>328</v>
      </c>
      <c r="I7" s="479" t="s">
        <v>325</v>
      </c>
      <c r="J7" s="479" t="s">
        <v>326</v>
      </c>
      <c r="K7" s="479" t="s">
        <v>327</v>
      </c>
      <c r="L7" s="492">
        <v>194.26</v>
      </c>
      <c r="M7" s="492">
        <v>1942.6</v>
      </c>
      <c r="N7" s="479">
        <v>10</v>
      </c>
      <c r="O7" s="493">
        <v>2</v>
      </c>
      <c r="P7" s="492">
        <v>1942.6</v>
      </c>
      <c r="Q7" s="306">
        <v>1</v>
      </c>
      <c r="R7" s="479">
        <v>10</v>
      </c>
      <c r="S7" s="306">
        <v>1</v>
      </c>
      <c r="T7" s="493">
        <v>2</v>
      </c>
      <c r="U7" s="30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2016-11-26T15:26:51Z</dcterms:modified>
</cp:coreProperties>
</file>