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Recepty" sheetId="346" r:id="rId7"/>
    <sheet name="LRp Lékaři" sheetId="415" r:id="rId8"/>
    <sheet name="LRp Detail" sheetId="347" r:id="rId9"/>
    <sheet name="LRp PL" sheetId="388" r:id="rId10"/>
    <sheet name="LRp PL Detail" sheetId="390" r:id="rId11"/>
    <sheet name="Materiál Žádanky" sheetId="420" r:id="rId12"/>
    <sheet name="MŽ Detail" sheetId="403" r:id="rId13"/>
    <sheet name="Osobní náklady" sheetId="419" r:id="rId14"/>
    <sheet name="ZV Vykáz.-A" sheetId="344" r:id="rId15"/>
    <sheet name="ZV Vykáz.-A Lékaři" sheetId="429" r:id="rId16"/>
    <sheet name="ZV Vykáz.-A Detail" sheetId="345" r:id="rId17"/>
    <sheet name="ZV Vykáz.-H" sheetId="410" r:id="rId18"/>
    <sheet name="ZV Vykáz.-H Detail" sheetId="377" r:id="rId19"/>
  </sheets>
  <definedNames>
    <definedName name="_xlnm._FilterDatabase" localSheetId="5" hidden="1">HV!$A$5:$A$5</definedName>
    <definedName name="_xlnm._FilterDatabase" localSheetId="6" hidden="1">'Léky Recepty'!$A$4:$M$4</definedName>
    <definedName name="_xlnm._FilterDatabase" localSheetId="8" hidden="1">'LRp Detail'!$A$6:$U$6</definedName>
    <definedName name="_xlnm._FilterDatabase" localSheetId="7" hidden="1">'LRp Lékaři'!$A$4:$N$4</definedName>
    <definedName name="_xlnm._FilterDatabase" localSheetId="9" hidden="1">'LRp PL'!$A$3:$F$50</definedName>
    <definedName name="_xlnm._FilterDatabase" localSheetId="10" hidden="1">'LRp PL Detail'!$A$5:$M$1005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6" hidden="1">'ZV Vykáz.-A Detail'!$A$5:$Q$5</definedName>
    <definedName name="_xlnm._FilterDatabase" localSheetId="15" hidden="1">'ZV Vykáz.-A Lékaři'!$A$4:$A$5</definedName>
    <definedName name="_xlnm._FilterDatabase" localSheetId="18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C26" i="419" l="1"/>
  <c r="AS26" i="419" l="1"/>
  <c r="AS25" i="419"/>
  <c r="K26" i="419"/>
  <c r="AS28" i="419" l="1"/>
  <c r="AS27" i="419"/>
  <c r="K25" i="419"/>
  <c r="C25" i="419"/>
  <c r="AS20" i="419"/>
  <c r="AR20" i="419"/>
  <c r="AQ20" i="419"/>
  <c r="AP20" i="419"/>
  <c r="AO20" i="419"/>
  <c r="AN20" i="419"/>
  <c r="AM20" i="419"/>
  <c r="AL20" i="419"/>
  <c r="AK20" i="419"/>
  <c r="AJ20" i="419"/>
  <c r="AS19" i="419"/>
  <c r="AR19" i="419"/>
  <c r="AQ19" i="419"/>
  <c r="AP19" i="419"/>
  <c r="AO19" i="419"/>
  <c r="AN19" i="419"/>
  <c r="AM19" i="419"/>
  <c r="AL19" i="419"/>
  <c r="AK19" i="419"/>
  <c r="AJ19" i="419"/>
  <c r="AS17" i="419"/>
  <c r="AR17" i="419"/>
  <c r="AQ17" i="419"/>
  <c r="AP17" i="419"/>
  <c r="AO17" i="419"/>
  <c r="AN17" i="419"/>
  <c r="AM17" i="419"/>
  <c r="AL17" i="419"/>
  <c r="AK17" i="419"/>
  <c r="AJ17" i="419"/>
  <c r="AS16" i="419"/>
  <c r="AR16" i="419"/>
  <c r="AQ16" i="419"/>
  <c r="AP16" i="419"/>
  <c r="AO16" i="419"/>
  <c r="AN16" i="419"/>
  <c r="AM16" i="419"/>
  <c r="AL16" i="419"/>
  <c r="AK16" i="419"/>
  <c r="AJ16" i="419"/>
  <c r="AS14" i="419"/>
  <c r="AR14" i="419"/>
  <c r="AQ14" i="419"/>
  <c r="AP14" i="419"/>
  <c r="AO14" i="419"/>
  <c r="AN14" i="419"/>
  <c r="AM14" i="419"/>
  <c r="AL14" i="419"/>
  <c r="AK14" i="419"/>
  <c r="AJ14" i="419"/>
  <c r="AS13" i="419"/>
  <c r="AR13" i="419"/>
  <c r="AQ13" i="419"/>
  <c r="AP13" i="419"/>
  <c r="AO13" i="419"/>
  <c r="AN13" i="419"/>
  <c r="AM13" i="419"/>
  <c r="AL13" i="419"/>
  <c r="AK13" i="419"/>
  <c r="AJ13" i="419"/>
  <c r="AS12" i="419"/>
  <c r="AR12" i="419"/>
  <c r="AQ12" i="419"/>
  <c r="AP12" i="419"/>
  <c r="AO12" i="419"/>
  <c r="AN12" i="419"/>
  <c r="AM12" i="419"/>
  <c r="AL12" i="419"/>
  <c r="AK12" i="419"/>
  <c r="AJ12" i="419"/>
  <c r="AS11" i="419"/>
  <c r="AR11" i="419"/>
  <c r="AQ11" i="419"/>
  <c r="AP11" i="419"/>
  <c r="AO11" i="419"/>
  <c r="AN11" i="419"/>
  <c r="AM11" i="419"/>
  <c r="AL11" i="419"/>
  <c r="AK11" i="419"/>
  <c r="AJ11" i="419"/>
  <c r="AS6" i="419"/>
  <c r="AR6" i="419"/>
  <c r="AQ6" i="419"/>
  <c r="AP6" i="419"/>
  <c r="AO6" i="419"/>
  <c r="AN6" i="419"/>
  <c r="AM6" i="419"/>
  <c r="AL6" i="419"/>
  <c r="AK6" i="419"/>
  <c r="AJ6" i="419"/>
  <c r="AJ18" i="419" l="1"/>
  <c r="AN18" i="419"/>
  <c r="AR18" i="419"/>
  <c r="AM18" i="419"/>
  <c r="AQ18" i="419"/>
  <c r="AK18" i="419"/>
  <c r="AO18" i="419"/>
  <c r="AS18" i="419"/>
  <c r="AL18" i="419"/>
  <c r="AP18" i="419"/>
  <c r="B25" i="419"/>
  <c r="K27" i="419" l="1"/>
  <c r="B26" i="419"/>
  <c r="B27" i="419" s="1"/>
  <c r="K28" i="419"/>
  <c r="A10" i="414"/>
  <c r="A9" i="414"/>
  <c r="A7" i="414"/>
  <c r="F3" i="344" l="1"/>
  <c r="D3" i="344"/>
  <c r="B3" i="344"/>
  <c r="AK21" i="419" l="1"/>
  <c r="AJ21" i="419"/>
  <c r="AJ22" i="419" s="1"/>
  <c r="AI21" i="419"/>
  <c r="AH21" i="419"/>
  <c r="AH22" i="419" s="1"/>
  <c r="AG21" i="419"/>
  <c r="AF21" i="419"/>
  <c r="AE21" i="419"/>
  <c r="AD21" i="419"/>
  <c r="AD22" i="419" s="1"/>
  <c r="AC21" i="419"/>
  <c r="AB21" i="419"/>
  <c r="AA21" i="419"/>
  <c r="Z21" i="419"/>
  <c r="Z22" i="419" s="1"/>
  <c r="Y21" i="419"/>
  <c r="X21" i="419"/>
  <c r="X22" i="419" s="1"/>
  <c r="W21" i="419"/>
  <c r="W22" i="419" s="1"/>
  <c r="V21" i="419"/>
  <c r="V22" i="419" s="1"/>
  <c r="U21" i="419"/>
  <c r="T21" i="419"/>
  <c r="S21" i="419"/>
  <c r="R21" i="419"/>
  <c r="R22" i="419" s="1"/>
  <c r="Q21" i="419"/>
  <c r="P21" i="419"/>
  <c r="P22" i="419" s="1"/>
  <c r="O21" i="419"/>
  <c r="N21" i="419"/>
  <c r="N22" i="419" s="1"/>
  <c r="M21" i="419"/>
  <c r="L21" i="419"/>
  <c r="K21" i="419"/>
  <c r="J21" i="419"/>
  <c r="J22" i="419" s="1"/>
  <c r="I21" i="419"/>
  <c r="AI20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AI19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AI17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AI16" i="419"/>
  <c r="AH16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AI14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AI13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AI12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AI11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K18" i="419" l="1"/>
  <c r="O18" i="419"/>
  <c r="S18" i="419"/>
  <c r="AA18" i="419"/>
  <c r="AE18" i="419"/>
  <c r="AI18" i="419"/>
  <c r="K23" i="419"/>
  <c r="O23" i="419"/>
  <c r="S23" i="419"/>
  <c r="AA23" i="419"/>
  <c r="AE23" i="419"/>
  <c r="AI23" i="419"/>
  <c r="I18" i="419"/>
  <c r="M18" i="419"/>
  <c r="Q18" i="419"/>
  <c r="U18" i="419"/>
  <c r="Y18" i="419"/>
  <c r="AC18" i="419"/>
  <c r="AG18" i="419"/>
  <c r="W18" i="419"/>
  <c r="O22" i="419"/>
  <c r="AE22" i="419"/>
  <c r="N23" i="419"/>
  <c r="V23" i="419"/>
  <c r="AD23" i="419"/>
  <c r="J18" i="419"/>
  <c r="N18" i="419"/>
  <c r="R18" i="419"/>
  <c r="V18" i="419"/>
  <c r="Z18" i="419"/>
  <c r="AD18" i="419"/>
  <c r="AH18" i="419"/>
  <c r="L23" i="419"/>
  <c r="T23" i="419"/>
  <c r="AB23" i="419"/>
  <c r="AF23" i="419"/>
  <c r="S22" i="419"/>
  <c r="AI22" i="419"/>
  <c r="W23" i="419"/>
  <c r="I23" i="419"/>
  <c r="M23" i="419"/>
  <c r="Q23" i="419"/>
  <c r="U23" i="419"/>
  <c r="Y23" i="419"/>
  <c r="AC23" i="419"/>
  <c r="AG23" i="419"/>
  <c r="AK23" i="419"/>
  <c r="J23" i="419"/>
  <c r="R23" i="419"/>
  <c r="Z23" i="419"/>
  <c r="AH23" i="419"/>
  <c r="L18" i="419"/>
  <c r="P18" i="419"/>
  <c r="T18" i="419"/>
  <c r="X18" i="419"/>
  <c r="AB18" i="419"/>
  <c r="AF18" i="419"/>
  <c r="K22" i="419"/>
  <c r="AA22" i="419"/>
  <c r="L22" i="419"/>
  <c r="T22" i="419"/>
  <c r="AB22" i="419"/>
  <c r="AF22" i="419"/>
  <c r="I22" i="419"/>
  <c r="M22" i="419"/>
  <c r="Q22" i="419"/>
  <c r="U22" i="419"/>
  <c r="Y22" i="419"/>
  <c r="AC22" i="419"/>
  <c r="AG22" i="419"/>
  <c r="AK22" i="419"/>
  <c r="P23" i="419"/>
  <c r="X23" i="419"/>
  <c r="AJ23" i="419"/>
  <c r="H21" i="419" l="1"/>
  <c r="H22" i="419" s="1"/>
  <c r="G21" i="419"/>
  <c r="G22" i="419" s="1"/>
  <c r="F21" i="419"/>
  <c r="F22" i="419" s="1"/>
  <c r="E21" i="419"/>
  <c r="D21" i="419"/>
  <c r="D22" i="419" s="1"/>
  <c r="C21" i="419"/>
  <c r="C22" i="419" s="1"/>
  <c r="H20" i="419"/>
  <c r="G20" i="419"/>
  <c r="F20" i="419"/>
  <c r="E20" i="419"/>
  <c r="D20" i="419"/>
  <c r="C20" i="419"/>
  <c r="H19" i="419"/>
  <c r="G19" i="419"/>
  <c r="F19" i="419"/>
  <c r="E19" i="419"/>
  <c r="D19" i="419"/>
  <c r="C19" i="419"/>
  <c r="H17" i="419"/>
  <c r="G17" i="419"/>
  <c r="F17" i="419"/>
  <c r="E17" i="419"/>
  <c r="D17" i="419"/>
  <c r="C17" i="419"/>
  <c r="H16" i="419"/>
  <c r="G16" i="419"/>
  <c r="F16" i="419"/>
  <c r="E16" i="419"/>
  <c r="D16" i="419"/>
  <c r="C16" i="419"/>
  <c r="H14" i="419"/>
  <c r="G14" i="419"/>
  <c r="F14" i="419"/>
  <c r="E14" i="419"/>
  <c r="D14" i="419"/>
  <c r="C14" i="419"/>
  <c r="H13" i="419"/>
  <c r="G13" i="419"/>
  <c r="F13" i="419"/>
  <c r="E13" i="419"/>
  <c r="D13" i="419"/>
  <c r="C13" i="419"/>
  <c r="H12" i="419"/>
  <c r="G12" i="419"/>
  <c r="F12" i="419"/>
  <c r="E12" i="419"/>
  <c r="D12" i="419"/>
  <c r="C12" i="419"/>
  <c r="H11" i="419"/>
  <c r="G11" i="419"/>
  <c r="F11" i="419"/>
  <c r="E11" i="419"/>
  <c r="D11" i="419"/>
  <c r="C11" i="419"/>
  <c r="E18" i="419" l="1"/>
  <c r="E23" i="419"/>
  <c r="F18" i="419"/>
  <c r="D18" i="419"/>
  <c r="H18" i="419"/>
  <c r="C18" i="419"/>
  <c r="G18" i="419"/>
  <c r="C23" i="419"/>
  <c r="G23" i="419"/>
  <c r="E22" i="419"/>
  <c r="F23" i="419"/>
  <c r="D23" i="419"/>
  <c r="H23" i="419"/>
  <c r="B21" i="419"/>
  <c r="B22" i="419" l="1"/>
  <c r="A22" i="383"/>
  <c r="G3" i="429"/>
  <c r="F3" i="429"/>
  <c r="E3" i="429"/>
  <c r="D3" i="429"/>
  <c r="C3" i="429"/>
  <c r="B3" i="429"/>
  <c r="C11" i="340" l="1"/>
  <c r="A16" i="383" l="1"/>
  <c r="C28" i="419" l="1"/>
  <c r="B28" i="419" s="1"/>
  <c r="C27" i="419"/>
  <c r="A7" i="339" l="1"/>
  <c r="AH6" i="419" l="1"/>
  <c r="Z6" i="419"/>
  <c r="N6" i="419"/>
  <c r="AG6" i="419"/>
  <c r="AC6" i="419"/>
  <c r="Y6" i="419"/>
  <c r="U6" i="419"/>
  <c r="Q6" i="419"/>
  <c r="M6" i="419"/>
  <c r="I6" i="419"/>
  <c r="AF6" i="419"/>
  <c r="AB6" i="419"/>
  <c r="X6" i="419"/>
  <c r="T6" i="419"/>
  <c r="P6" i="419"/>
  <c r="L6" i="419"/>
  <c r="AI6" i="419"/>
  <c r="AE6" i="419"/>
  <c r="AA6" i="419"/>
  <c r="W6" i="419"/>
  <c r="S6" i="419"/>
  <c r="O6" i="419"/>
  <c r="K6" i="419"/>
  <c r="AD6" i="419"/>
  <c r="V6" i="419"/>
  <c r="R6" i="419"/>
  <c r="J6" i="419"/>
  <c r="E6" i="419"/>
  <c r="H6" i="419"/>
  <c r="D6" i="419"/>
  <c r="G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7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9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8" i="414" s="1"/>
  <c r="C11" i="339"/>
  <c r="H11" i="339" l="1"/>
  <c r="G11" i="339"/>
  <c r="A19" i="414"/>
  <c r="A18" i="414"/>
  <c r="A13" i="414"/>
  <c r="A14" i="414"/>
  <c r="A4" i="414"/>
  <c r="A6" i="339" l="1"/>
  <c r="A5" i="339"/>
  <c r="D4" i="414"/>
  <c r="C14" i="414"/>
  <c r="D17" i="414"/>
  <c r="D14" i="414"/>
  <c r="C17" i="414"/>
  <c r="D10" i="414" l="1"/>
  <c r="C13" i="414" l="1"/>
  <c r="C7" i="414"/>
  <c r="D9" i="414" l="1"/>
  <c r="E9" i="414" s="1"/>
  <c r="E19" i="414"/>
  <c r="E18" i="414"/>
  <c r="E13" i="414"/>
  <c r="E7" i="414"/>
  <c r="E10" i="414"/>
  <c r="A12" i="383" l="1"/>
  <c r="A15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H3" i="390" s="1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C20" i="414"/>
  <c r="D20" i="414"/>
  <c r="F13" i="339" l="1"/>
  <c r="E13" i="339"/>
  <c r="E15" i="339" s="1"/>
  <c r="H12" i="339"/>
  <c r="G12" i="339"/>
  <c r="K3" i="390"/>
  <c r="A4" i="383"/>
  <c r="A25" i="383"/>
  <c r="A24" i="383"/>
  <c r="A23" i="383"/>
  <c r="A21" i="383"/>
  <c r="A18" i="383"/>
  <c r="A17" i="383"/>
  <c r="A14" i="383"/>
  <c r="A13" i="383"/>
  <c r="A11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6" i="414"/>
  <c r="H13" i="339" l="1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0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<sst xmlns="http://schemas.openxmlformats.org/spreadsheetml/2006/main" count="1084" uniqueCount="459">
  <si>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</si>
  <si>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</si>
  <si>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</si>
  <si>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</si>
  <si>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</si>
  <si>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</si>
  <si>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</si>
  <si>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</si>
  <si>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</si>
  <si>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</si>
  <si>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</si>
  <si>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</si>
  <si>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</si>
  <si>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</si>
  <si>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</si>
  <si>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</si>
  <si>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</si>
  <si>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</si>
  <si>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</si>
  <si>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</si>
  <si>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</si>
  <si>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</si>
  <si>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</si>
  <si>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</si>
  <si>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</si>
  <si>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</si>
  <si>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</si>
  <si>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</si>
  <si>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</si>
  <si>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</si>
  <si>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</si>
  <si>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</si>
  <si>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</si>
  <si>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</si>
  <si>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</si>
  <si>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</si>
  <si>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</si>
  <si>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</si>
  <si>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</si>
  <si>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</si>
  <si>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</si>
  <si>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</si>
  <si>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</si>
  <si>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</si>
  <si>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</si>
  <si>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</si>
  <si>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</si>
  <si>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</si>
  <si>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</si>
  <si>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</si>
  <si>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</si>
  <si>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</si>
  <si>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</si>
  <si>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</si>
  <si>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</si>
  <si>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</si>
  <si>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</si>
  <si>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</si>
  <si>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</si>
  <si>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</si>
  <si>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</si>
  <si>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</si>
  <si>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</si>
  <si>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</si>
  <si>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</si>
  <si>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</si>
  <si>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</si>
  <si>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</si>
  <si>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</si>
  <si>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</si>
  <si>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</si>
  <si>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</si>
  <si>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</si>
  <si>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</si>
  <si>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</si>
  <si>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</si>
  <si>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</si>
  <si>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</si>
  <si>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</si>
  <si>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</si>
  <si>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</si>
  <si>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</si>
  <si>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</si>
  <si>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</si>
  <si>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</si>
  <si>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</si>
  <si>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</si>
  <si>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</si>
  <si>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</si>
  <si>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</si>
  <si>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</si>
  <si>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</si>
  <si>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</si>
  <si>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</si>
  <si>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</si>
  <si>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</si>
  <si>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</si>
  <si>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</si>
  <si>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</si>
  <si>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</si>
  <si>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</si>
  <si>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</si>
  <si>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</si>
  <si>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</si>
  <si>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</si>
  <si>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</si>
  <si>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</si>
  <si>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</si>
  <si>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</si>
  <si>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</si>
  <si>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</si>
  <si>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</si>
  <si>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</si>
  <si>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</si>
  <si>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</si>
  <si>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</si>
  <si>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</si>
  <si>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</si>
  <si>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</si>
  <si>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</si>
  <si>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</si>
  <si>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</si>
  <si>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</si>
  <si>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</si>
  <si>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</si>
  <si>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</si>
  <si>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</si>
  <si>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</si>
  <si>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</si>
  <si>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</si>
  <si>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</si>
  <si>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</si>
  <si>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</si>
  <si>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</si>
  <si>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</si>
  <si>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</si>
  <si>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</si>
  <si>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</si>
  <si>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</si>
  <si>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</si>
  <si>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</si>
  <si>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</si>
  <si>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</si>
  <si>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</si>
  <si>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</si>
  <si>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</si>
  <si>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</si>
  <si>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</si>
  <si>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</si>
  <si>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</si>
  <si>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</si>
  <si>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</si>
  <si>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</si>
  <si>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</si>
  <si>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</si>
  <si>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Lékař / ATC</t>
  </si>
  <si>
    <t xml:space="preserve">Celkem </t>
  </si>
  <si>
    <t>dohody</t>
  </si>
  <si>
    <t>lékaři</t>
  </si>
  <si>
    <t>zubní lékaři</t>
  </si>
  <si>
    <t>farmaceuti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</si>
  <si>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</si>
  <si>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</si>
  <si>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</si>
  <si>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</si>
  <si>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</si>
  <si>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</si>
  <si>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</si>
  <si>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</si>
  <si>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</si>
  <si>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</si>
  <si>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</si>
  <si>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</si>
  <si>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</si>
  <si>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</si>
  <si>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</si>
  <si>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</si>
  <si>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</si>
  <si>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</si>
  <si>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</si>
  <si>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</si>
  <si>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</si>
  <si>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</si>
  <si>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</si>
  <si>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</si>
  <si>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</si>
  <si>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</si>
  <si>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</si>
  <si>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</si>
  <si>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</si>
  <si>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</si>
  <si>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</si>
  <si>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</si>
  <si>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</si>
  <si>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</si>
  <si>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</si>
  <si>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</si>
  <si>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</si>
  <si>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</si>
  <si>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</si>
  <si>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</si>
  <si>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</si>
  <si>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</si>
  <si>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</si>
  <si>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</si>
  <si>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</si>
  <si>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</si>
  <si>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</si>
  <si>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</si>
  <si>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abs. stud. oboru elektro zaměření</t>
  </si>
  <si>
    <t>odb. pracovníci v ochraně veřejného zdraví</t>
  </si>
  <si>
    <t>laboratorní asistenti</t>
  </si>
  <si>
    <t>Pracoviště/účet</t>
  </si>
  <si>
    <t>Ambulance = vykázané výkony (body)</t>
  </si>
  <si>
    <t>Počet výkonů</t>
  </si>
  <si>
    <t>ZV Vykáz.-A Lékaři</t>
  </si>
  <si>
    <t>ROZDÍL (Sk.do data - Rozp.do data 2015)</t>
  </si>
  <si>
    <t>ergoterapeuti</t>
  </si>
  <si>
    <t>Sml.odb./NS</t>
  </si>
  <si>
    <t>lékaři bez dohledu</t>
  </si>
  <si>
    <t>lékaři specialisti</t>
  </si>
  <si>
    <t>zubní lékaři specialisti</t>
  </si>
  <si>
    <t>všeobecné sestry pod dohl.</t>
  </si>
  <si>
    <t>všeobecné sestry bez dohl.</t>
  </si>
  <si>
    <t>všeobecné sestry bez dohl., spec.</t>
  </si>
  <si>
    <t>všeobecné sestry VŠ</t>
  </si>
  <si>
    <t>kliničtí psychologové</t>
  </si>
  <si>
    <t>kliničtí psychologové spec.</t>
  </si>
  <si>
    <t>kliničtí psychologové spec. a zvl.odb.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</si>
  <si>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</si>
  <si>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</si>
  <si>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</si>
  <si>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</si>
  <si>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</si>
  <si>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</si>
  <si>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</si>
  <si>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</si>
  <si>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</si>
  <si>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</si>
  <si>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</si>
  <si>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</si>
  <si>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</si>
  <si>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</si>
  <si>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</si>
  <si>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</si>
  <si>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</si>
  <si>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</si>
  <si>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</si>
  <si>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</si>
  <si>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</si>
  <si>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</si>
  <si>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</si>
  <si>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</si>
  <si>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Nutriční ambulance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</si>
  <si>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</si>
  <si>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</si>
  <si>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</si>
  <si>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</si>
  <si>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</si>
  <si>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</si>
  <si>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</si>
  <si>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50115     Zdravotnické prostředky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</si>
  <si>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</si>
  <si>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</si>
  <si>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</si>
  <si>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</si>
  <si>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</si>
  <si>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50115070     ZPr - katetry ostatní (Z513)</t>
  </si>
  <si>
    <t>50119     DDHM a textil</t>
  </si>
  <si>
    <t>50119101     jednorázový operační materiál (sk.T18B)</t>
  </si>
  <si>
    <t>50180     Materiál z darů, FKSP</t>
  </si>
  <si>
    <t>--</t>
  </si>
  <si>
    <t>50180001     věcné dary</t>
  </si>
  <si>
    <t>50210     Spotřeba energie</t>
  </si>
  <si>
    <t>50210071     elektřina</t>
  </si>
  <si>
    <t>50210073     pára</t>
  </si>
  <si>
    <t>51     Služby</t>
  </si>
  <si>
    <t>51801     Přepravné</t>
  </si>
  <si>
    <t>51801000     přepravné-lab. vzorky,...</t>
  </si>
  <si>
    <t>51808     Revize a smluvní servisy majetku</t>
  </si>
  <si>
    <t>51808008     revize, tech.kontroly, prev.prohl.- OHM</t>
  </si>
  <si>
    <t>6     Účtová třída 6 - Výnosy</t>
  </si>
  <si>
    <t>60     Tržby za vlastní výkony a zboží</t>
  </si>
  <si>
    <t>602     Výnosy z prodeje služeb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</si>
  <si>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</si>
  <si>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</si>
  <si>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</si>
  <si>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</si>
  <si>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</si>
  <si>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</si>
  <si>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</si>
  <si>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</si>
  <si>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</si>
  <si>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</si>
  <si>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</si>
  <si>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</si>
  <si>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</si>
  <si>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</si>
  <si>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</si>
  <si>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</si>
  <si>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</si>
  <si>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</si>
  <si>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</si>
  <si>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</si>
  <si>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</si>
  <si>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</si>
  <si>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</si>
  <si>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</si>
  <si>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Nutriční ambulance</t>
  </si>
  <si>
    <t/>
  </si>
  <si>
    <t>HVLP</t>
  </si>
  <si>
    <t>57</t>
  </si>
  <si>
    <t>SumaKL</t>
  </si>
  <si>
    <t>89301594</t>
  </si>
  <si>
    <t>Nutriční ambulance Celkem</t>
  </si>
  <si>
    <t>SumaNS</t>
  </si>
  <si>
    <t>mezeraNS</t>
  </si>
  <si>
    <t xml:space="preserve"> </t>
  </si>
  <si>
    <t>* Legenda</t>
  </si>
  <si>
    <t>DIAPZT = Pomůcky pro diabetiky, jejichž název začíná slovem "Pumpa"</t>
  </si>
  <si>
    <t>Hrabalová Monika</t>
  </si>
  <si>
    <t>Potraviny pro zvláštní lékařské účely (PZLÚ)</t>
  </si>
  <si>
    <t>33855</t>
  </si>
  <si>
    <t>NUTRIDRINK BALÍČEK 5 + 1</t>
  </si>
  <si>
    <t>POR SOL 6X200ML</t>
  </si>
  <si>
    <t>P</t>
  </si>
  <si>
    <t>Preskripce a záchyt receptů a poukazů - orientační přehled</t>
  </si>
  <si>
    <t>Přehled plnění pozitivního listu (PL) - 
   preskripce léčivých přípravků dle objemu Kč mimo PL</t>
  </si>
  <si>
    <t>V06XX - Potraviny pro zvláštní lékařské účely (PZLÚ)</t>
  </si>
  <si>
    <t>V06XX</t>
  </si>
  <si>
    <t>Přehled plnění PL - Preskripce léčivých přípravků - orientační přehled</t>
  </si>
  <si>
    <t>5721</t>
  </si>
  <si>
    <t>nutriční ambulance</t>
  </si>
  <si>
    <t>nutriční ambulance Celkem</t>
  </si>
  <si>
    <t>ZA314</t>
  </si>
  <si>
    <t>Obinadlo idealast-haft 8 cm x   4 m 9311113</t>
  </si>
  <si>
    <t>ZA464</t>
  </si>
  <si>
    <t>Kompresa NT 10 x 10 cm/2 ks sterilní 26520</t>
  </si>
  <si>
    <t>ZA593</t>
  </si>
  <si>
    <t>Tampon sterilní stáčený 20 x 20 cm / 5 ks 28003</t>
  </si>
  <si>
    <t>ZC854</t>
  </si>
  <si>
    <t>Kompresa NT 7,5 x 7,5 cm/2 ks sterilní 26510</t>
  </si>
  <si>
    <t>ZD740</t>
  </si>
  <si>
    <t>Kompresa gáza sterilkompres 7,5 x 7,5 cm/5 ks sterilní 1325019265(1230119225)</t>
  </si>
  <si>
    <t>ZI558</t>
  </si>
  <si>
    <t>Náplast curapor   7 x   5 cm 22120 ( náhrada za cosmopor )</t>
  </si>
  <si>
    <t>ZI599</t>
  </si>
  <si>
    <t>Náplast curapor 10 x   8 cm 22121 ( náhrada za cosmopor )</t>
  </si>
  <si>
    <t>ZK760</t>
  </si>
  <si>
    <t>Krytí tegaderm + PAD na i. v. vstupy bal. á 25 ks 9 x 10 cm 3586</t>
  </si>
  <si>
    <t>ZN246</t>
  </si>
  <si>
    <t>Obvaz elastický síťový CareFix Tube StomaSafe Classic M bal. á 3 ks 5000 M</t>
  </si>
  <si>
    <t>ZN247</t>
  </si>
  <si>
    <t>Obvaz elastický síťový CareFix Tube StomaSafe Classic L bal. á 3 ks 5000 L</t>
  </si>
  <si>
    <t>ZN248</t>
  </si>
  <si>
    <t>Obvaz elastický síťový CareFix Tube StomaSafe Classic XL bal. á 3 ks 5000 XL</t>
  </si>
  <si>
    <t>ZA727</t>
  </si>
  <si>
    <t>Kontejner 30 ml sterilní uchovávání pevných i kapalných vzorků FLME25175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</si>
  <si>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</si>
  <si>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</si>
  <si>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</si>
  <si>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</si>
  <si>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</si>
  <si>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</si>
  <si>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</si>
  <si>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</si>
  <si>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ZB501</t>
  </si>
  <si>
    <t>Přerušovač sání fingertip sterilní bal. á 100 ks 07.031.00.000</t>
  </si>
  <si>
    <t>ZF159</t>
  </si>
  <si>
    <t>Nádoba na kontaminovaný odpad 1 l 15-0002</t>
  </si>
  <si>
    <t>ZH168</t>
  </si>
  <si>
    <t>Stříkačka injekční 3-dílná 1 ml L tuberculin s jehlou KD-JECT III 831786</t>
  </si>
  <si>
    <t>ZH546</t>
  </si>
  <si>
    <t>Flocare infinity pack set mobile W/O MP Transition (APA 3227163) pro domácí péči 586521</t>
  </si>
  <si>
    <t>ZK798</t>
  </si>
  <si>
    <t>Zátka combi modrá 4495152</t>
  </si>
  <si>
    <t>ZN297</t>
  </si>
  <si>
    <t>Hadička spojovací Gamaplus 1,8 x 450 LL NO DOP (606301) 686401</t>
  </si>
  <si>
    <t>ZN298</t>
  </si>
  <si>
    <t>Hadička spojovací Gamaplus 1,8 x 1800 LL NO DOP (606304) 686403</t>
  </si>
  <si>
    <t>ZN367</t>
  </si>
  <si>
    <t>Konektor bezjehlový gama modrý NO PVC V696420</t>
  </si>
  <si>
    <t>ZA715</t>
  </si>
  <si>
    <t>Set infuzní intrafix primeline classic 150 cm 4062957</t>
  </si>
  <si>
    <t>ZB556</t>
  </si>
  <si>
    <t>Jehla injekční 1,2 x 40 mm růžová 4665120</t>
  </si>
  <si>
    <t>ZC634</t>
  </si>
  <si>
    <t>Jehla gripper portacath bez Y protu 22G x 16 mm á 12 ks 21-2737-24</t>
  </si>
  <si>
    <t>ZK475</t>
  </si>
  <si>
    <t>Rukavice operační latexové s pudrem ansell medigrip plus vel. 7,0 303504EU (303364)</t>
  </si>
  <si>
    <t>ZK476</t>
  </si>
  <si>
    <t>Rukavice operační latexové s pudrem ansell medigrip plus vel. 7,5 303505EU (302925)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</si>
  <si>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</si>
  <si>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</si>
  <si>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</si>
  <si>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</si>
  <si>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</si>
  <si>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</si>
  <si>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</si>
  <si>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</si>
  <si>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</si>
  <si>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</si>
  <si>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Spotřeba zdravotnického materiálu - orientační přehled</t>
  </si>
  <si>
    <t>101 - Pracoviště interního lékařství</t>
  </si>
  <si>
    <t>708 - Pracoviště anesteziologicko - resuscitační</t>
  </si>
  <si>
    <t>Zdravotní výkony vykázané na pracovišti v rámci ambulantní péče *</t>
  </si>
  <si>
    <t>Ambulantní péče znamená, že pacient v den poskytnutí zdravotní péče není hospitalizován ve FNOL</t>
  </si>
  <si>
    <t>Aiglová Květoslava</t>
  </si>
  <si>
    <t>Balejová Gabriela</t>
  </si>
  <si>
    <t>beze jména</t>
  </si>
  <si>
    <t>Karásková Eva</t>
  </si>
  <si>
    <t>Konečný Michal</t>
  </si>
  <si>
    <t>Sovová Markéta</t>
  </si>
  <si>
    <t>Sychra Pavel</t>
  </si>
  <si>
    <t>Vrzalová Drahomíra</t>
  </si>
  <si>
    <t>Zdravotní výkony vykázané na pracovišti v rámci ambulantní péče dle lékařů *</t>
  </si>
  <si>
    <t>101</t>
  </si>
  <si>
    <t>V</t>
  </si>
  <si>
    <t>09511</t>
  </si>
  <si>
    <t>MINIMÁLNÍ KONTAKT LÉKAŘE S PACIENTEM</t>
  </si>
  <si>
    <t>11022</t>
  </si>
  <si>
    <t>CÍLENÉ VYŠETŘENÍ INTERNISTOU</t>
  </si>
  <si>
    <t>09543</t>
  </si>
  <si>
    <t>Signalni kod</t>
  </si>
  <si>
    <t>09119</t>
  </si>
  <si>
    <t xml:space="preserve">ODBĚR KRVE ZE ŽÍLY U DOSPĚLÉHO NEBO DÍTĚTE NAD 10 </t>
  </si>
  <si>
    <t>09115</t>
  </si>
  <si>
    <t>ODBĚR BIOLOGICKÉHO MATERIÁLU JINÉHO NEŽ KREV NA KV</t>
  </si>
  <si>
    <t>11513</t>
  </si>
  <si>
    <t>PUMPOU APLIKOVANÁ ENTERÁLNÍ VÝŽIVA PROVÁDĚNÁ VE VL</t>
  </si>
  <si>
    <t>11511</t>
  </si>
  <si>
    <t>PARENTERÁLNÍ VÝŽIVA PROVÁDĚNÁ VE VLASTNÍM SOCIÁLNÍ</t>
  </si>
  <si>
    <t>708</t>
  </si>
  <si>
    <t>06415</t>
  </si>
  <si>
    <t>EDUKACE NUTRIČNÍM TERAPEUTEM</t>
  </si>
  <si>
    <t>78022</t>
  </si>
  <si>
    <t>CÍLENÉ VYŠETŘENÍ ANESTEZIOLOGEM</t>
  </si>
  <si>
    <t>06419</t>
  </si>
  <si>
    <t>PROPOČET NUTRIČNÍ BILANCE (SW NÁSTROJEM)</t>
  </si>
  <si>
    <t>Zdravotní výkony + ZUM + ZULP vykázané na pracovišti v rámci ambulantní péče - orientační přehled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</si>
  <si>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</si>
  <si>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</si>
  <si>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</si>
  <si>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10 - Dětská klinika</t>
  </si>
  <si>
    <t>11 - Ortopedická klinika</t>
  </si>
  <si>
    <t>13 - Otolaryngologická klinika</t>
  </si>
  <si>
    <t>16 - Klinika plicních nemocí a tuberkulózy</t>
  </si>
  <si>
    <t>25 - Klinika ústní,čelistní a obličejové chirurgie</t>
  </si>
  <si>
    <t>31 - Traumatologické oddělení</t>
  </si>
  <si>
    <t>02</t>
  </si>
  <si>
    <t>03</t>
  </si>
  <si>
    <t>04</t>
  </si>
  <si>
    <t>10</t>
  </si>
  <si>
    <t>11</t>
  </si>
  <si>
    <t>13</t>
  </si>
  <si>
    <t>16</t>
  </si>
  <si>
    <t>25</t>
  </si>
  <si>
    <t>31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</si>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</sst>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568">
    <xf numFmtId="0" fontId="0" fillId="0" borderId="0" xfId="0"/>
    <xf numFmtId="0" fontId="28" fillId="2" borderId="16" xfId="81" applyFont="1" applyFill="1" applyBorder="1"/>
    <xf numFmtId="0" fontId="29" fillId="2" borderId="17" xfId="81" applyFont="1" applyFill="1" applyBorder="1"/>
    <xf numFmtId="3" fontId="29" fillId="2" borderId="18" xfId="81" applyNumberFormat="1" applyFont="1" applyFill="1" applyBorder="1"/>
    <xf numFmtId="0" fontId="29" fillId="4" borderId="17" xfId="81" applyFont="1" applyFill="1" applyBorder="1"/>
    <xf numFmtId="3" fontId="29" fillId="4" borderId="18" xfId="81" applyNumberFormat="1" applyFont="1" applyFill="1" applyBorder="1"/>
    <xf numFmtId="171" fontId="29" fillId="3" borderId="18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3" xfId="81" applyNumberFormat="1" applyFont="1" applyFill="1" applyBorder="1"/>
    <xf numFmtId="3" fontId="28" fillId="5" borderId="7" xfId="81" applyNumberFormat="1" applyFont="1" applyFill="1" applyBorder="1"/>
    <xf numFmtId="3" fontId="28" fillId="5" borderId="11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2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5" fillId="2" borderId="33" xfId="0" applyFont="1" applyFill="1" applyBorder="1" applyAlignment="1">
      <alignment vertical="top"/>
    </xf>
    <xf numFmtId="0" fontId="39" fillId="2" borderId="33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8" fillId="2" borderId="7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9" fillId="2" borderId="20" xfId="0" applyFont="1" applyFill="1" applyBorder="1" applyAlignment="1">
      <alignment horizontal="center" vertical="center" wrapText="1"/>
    </xf>
    <xf numFmtId="0" fontId="39" fillId="2" borderId="22" xfId="0" applyFont="1" applyFill="1" applyBorder="1" applyAlignment="1">
      <alignment horizontal="center" vertical="center" wrapText="1"/>
    </xf>
    <xf numFmtId="0" fontId="37" fillId="2" borderId="22" xfId="0" applyFont="1" applyFill="1" applyBorder="1" applyAlignment="1">
      <alignment horizontal="center" vertical="center" wrapText="1"/>
    </xf>
    <xf numFmtId="3" fontId="28" fillId="5" borderId="3" xfId="81" applyNumberFormat="1" applyFont="1" applyFill="1" applyBorder="1"/>
    <xf numFmtId="3" fontId="28" fillId="5" borderId="28" xfId="81" applyNumberFormat="1" applyFont="1" applyFill="1" applyBorder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9" xfId="81" applyNumberFormat="1" applyFont="1" applyFill="1" applyBorder="1"/>
    <xf numFmtId="3" fontId="28" fillId="5" borderId="12" xfId="81" applyNumberFormat="1" applyFont="1" applyFill="1" applyBorder="1"/>
    <xf numFmtId="3" fontId="28" fillId="5" borderId="13" xfId="81" applyNumberFormat="1" applyFont="1" applyFill="1" applyBorder="1"/>
    <xf numFmtId="3" fontId="29" fillId="2" borderId="26" xfId="81" applyNumberFormat="1" applyFont="1" applyFill="1" applyBorder="1"/>
    <xf numFmtId="3" fontId="29" fillId="2" borderId="19" xfId="81" applyNumberFormat="1" applyFont="1" applyFill="1" applyBorder="1"/>
    <xf numFmtId="3" fontId="29" fillId="4" borderId="26" xfId="81" applyNumberFormat="1" applyFont="1" applyFill="1" applyBorder="1"/>
    <xf numFmtId="3" fontId="29" fillId="4" borderId="19" xfId="81" applyNumberFormat="1" applyFont="1" applyFill="1" applyBorder="1"/>
    <xf numFmtId="171" fontId="29" fillId="3" borderId="26" xfId="81" applyNumberFormat="1" applyFont="1" applyFill="1" applyBorder="1"/>
    <xf numFmtId="171" fontId="29" fillId="3" borderId="19" xfId="81" applyNumberFormat="1" applyFont="1" applyFill="1" applyBorder="1"/>
    <xf numFmtId="0" fontId="32" fillId="2" borderId="24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6" xfId="78" applyNumberFormat="1" applyFont="1" applyFill="1" applyBorder="1" applyAlignment="1">
      <alignment horizontal="right"/>
    </xf>
    <xf numFmtId="9" fontId="29" fillId="0" borderId="26" xfId="78" applyNumberFormat="1" applyFont="1" applyFill="1" applyBorder="1" applyAlignment="1">
      <alignment horizontal="right"/>
    </xf>
    <xf numFmtId="3" fontId="29" fillId="0" borderId="19" xfId="78" applyNumberFormat="1" applyFont="1" applyFill="1" applyBorder="1" applyAlignment="1">
      <alignment horizontal="right"/>
    </xf>
    <xf numFmtId="0" fontId="33" fillId="0" borderId="42" xfId="0" applyFont="1" applyFill="1" applyBorder="1" applyAlignment="1"/>
    <xf numFmtId="0" fontId="42" fillId="0" borderId="0" xfId="0" applyFont="1" applyFill="1" applyBorder="1" applyAlignment="1"/>
    <xf numFmtId="3" fontId="34" fillId="0" borderId="6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5" fillId="0" borderId="4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7" fillId="0" borderId="8" xfId="0" applyNumberFormat="1" applyFont="1" applyFill="1" applyBorder="1" applyAlignment="1">
      <alignment horizontal="right" vertical="top"/>
    </xf>
    <xf numFmtId="3" fontId="34" fillId="0" borderId="31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3" fontId="35" fillId="0" borderId="22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2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0" xfId="79" applyNumberFormat="1" applyFont="1" applyFill="1" applyBorder="1"/>
    <xf numFmtId="9" fontId="3" fillId="0" borderId="40" xfId="79" applyNumberFormat="1" applyFont="1" applyFill="1" applyBorder="1"/>
    <xf numFmtId="9" fontId="3" fillId="0" borderId="41" xfId="79" applyNumberFormat="1" applyFont="1" applyFill="1" applyBorder="1"/>
    <xf numFmtId="0" fontId="3" fillId="0" borderId="35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6" xfId="79" applyFont="1" applyFill="1" applyBorder="1"/>
    <xf numFmtId="0" fontId="3" fillId="0" borderId="37" xfId="79" applyFont="1" applyFill="1" applyBorder="1"/>
    <xf numFmtId="164" fontId="3" fillId="0" borderId="68" xfId="53" applyNumberFormat="1" applyFont="1" applyFill="1" applyBorder="1"/>
    <xf numFmtId="9" fontId="3" fillId="0" borderId="68" xfId="53" applyNumberFormat="1" applyFont="1" applyFill="1" applyBorder="1"/>
    <xf numFmtId="0" fontId="33" fillId="0" borderId="29" xfId="0" applyFont="1" applyFill="1" applyBorder="1" applyAlignment="1"/>
    <xf numFmtId="0" fontId="33" fillId="0" borderId="30" xfId="0" applyFont="1" applyFill="1" applyBorder="1" applyAlignment="1"/>
    <xf numFmtId="0" fontId="33" fillId="0" borderId="60" xfId="0" applyFont="1" applyFill="1" applyBorder="1" applyAlignment="1"/>
    <xf numFmtId="0" fontId="29" fillId="2" borderId="25" xfId="78" applyFont="1" applyFill="1" applyBorder="1" applyAlignment="1">
      <alignment horizontal="right"/>
    </xf>
    <xf numFmtId="3" fontId="29" fillId="2" borderId="59" xfId="78" applyNumberFormat="1" applyFont="1" applyFill="1" applyBorder="1"/>
    <xf numFmtId="0" fontId="3" fillId="2" borderId="18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left"/>
    </xf>
    <xf numFmtId="0" fontId="3" fillId="2" borderId="22" xfId="80" applyFont="1" applyFill="1" applyBorder="1"/>
    <xf numFmtId="0" fontId="3" fillId="2" borderId="21" xfId="80" applyFont="1" applyFill="1" applyBorder="1"/>
    <xf numFmtId="0" fontId="3" fillId="2" borderId="39" xfId="79" applyFont="1" applyFill="1" applyBorder="1"/>
    <xf numFmtId="0" fontId="3" fillId="2" borderId="38" xfId="79" applyFont="1" applyFill="1" applyBorder="1"/>
    <xf numFmtId="0" fontId="3" fillId="2" borderId="66" xfId="53" applyFont="1" applyFill="1" applyBorder="1" applyAlignment="1">
      <alignment horizontal="right"/>
    </xf>
    <xf numFmtId="0" fontId="33" fillId="0" borderId="24" xfId="0" applyFont="1" applyBorder="1" applyAlignment="1"/>
    <xf numFmtId="0" fontId="33" fillId="5" borderId="5" xfId="0" applyFont="1" applyFill="1" applyBorder="1"/>
    <xf numFmtId="0" fontId="33" fillId="5" borderId="9" xfId="0" applyFont="1" applyFill="1" applyBorder="1"/>
    <xf numFmtId="0" fontId="33" fillId="5" borderId="21" xfId="0" applyFont="1" applyFill="1" applyBorder="1"/>
    <xf numFmtId="0" fontId="33" fillId="5" borderId="42" xfId="0" applyFont="1" applyFill="1" applyBorder="1"/>
    <xf numFmtId="0" fontId="33" fillId="5" borderId="48" xfId="0" applyFont="1" applyFill="1" applyBorder="1"/>
    <xf numFmtId="9" fontId="35" fillId="0" borderId="5" xfId="0" applyNumberFormat="1" applyFont="1" applyFill="1" applyBorder="1" applyAlignment="1">
      <alignment horizontal="right" vertical="top"/>
    </xf>
    <xf numFmtId="9" fontId="35" fillId="0" borderId="9" xfId="0" applyNumberFormat="1" applyFont="1" applyFill="1" applyBorder="1" applyAlignment="1">
      <alignment horizontal="right" vertical="top"/>
    </xf>
    <xf numFmtId="9" fontId="37" fillId="0" borderId="9" xfId="0" applyNumberFormat="1" applyFont="1" applyFill="1" applyBorder="1" applyAlignment="1">
      <alignment horizontal="right" vertical="top"/>
    </xf>
    <xf numFmtId="9" fontId="35" fillId="0" borderId="21" xfId="0" applyNumberFormat="1" applyFont="1" applyFill="1" applyBorder="1" applyAlignment="1">
      <alignment horizontal="right" vertical="top"/>
    </xf>
    <xf numFmtId="3" fontId="32" fillId="0" borderId="28" xfId="53" applyNumberFormat="1" applyFont="1" applyFill="1" applyBorder="1"/>
    <xf numFmtId="3" fontId="32" fillId="0" borderId="24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8" xfId="0" applyFont="1" applyFill="1" applyBorder="1" applyAlignment="1">
      <alignment horizontal="center"/>
    </xf>
    <xf numFmtId="3" fontId="3" fillId="0" borderId="67" xfId="53" applyNumberFormat="1" applyFont="1" applyFill="1" applyBorder="1"/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0" fontId="32" fillId="2" borderId="48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4" xfId="74" applyFont="1" applyFill="1" applyBorder="1" applyAlignment="1">
      <alignment horizontal="center"/>
    </xf>
    <xf numFmtId="0" fontId="28" fillId="5" borderId="42" xfId="81" applyFont="1" applyFill="1" applyBorder="1"/>
    <xf numFmtId="0" fontId="32" fillId="2" borderId="22" xfId="81" applyFont="1" applyFill="1" applyBorder="1" applyAlignment="1">
      <alignment horizontal="center"/>
    </xf>
    <xf numFmtId="0" fontId="32" fillId="2" borderId="21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6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8" xfId="0" applyNumberFormat="1" applyFont="1" applyFill="1" applyBorder="1"/>
    <xf numFmtId="3" fontId="33" fillId="0" borderId="23" xfId="0" applyNumberFormat="1" applyFont="1" applyFill="1" applyBorder="1"/>
    <xf numFmtId="3" fontId="33" fillId="0" borderId="7" xfId="0" applyNumberFormat="1" applyFont="1" applyFill="1" applyBorder="1"/>
    <xf numFmtId="3" fontId="33" fillId="0" borderId="8" xfId="0" applyNumberFormat="1" applyFont="1" applyFill="1" applyBorder="1"/>
    <xf numFmtId="3" fontId="33" fillId="0" borderId="11" xfId="0" applyNumberFormat="1" applyFont="1" applyFill="1" applyBorder="1"/>
    <xf numFmtId="3" fontId="33" fillId="0" borderId="12" xfId="0" applyNumberFormat="1" applyFont="1" applyFill="1" applyBorder="1"/>
    <xf numFmtId="9" fontId="33" fillId="0" borderId="24" xfId="0" applyNumberFormat="1" applyFont="1" applyFill="1" applyBorder="1"/>
    <xf numFmtId="9" fontId="33" fillId="0" borderId="9" xfId="0" applyNumberFormat="1" applyFont="1" applyFill="1" applyBorder="1"/>
    <xf numFmtId="9" fontId="33" fillId="0" borderId="13" xfId="0" applyNumberFormat="1" applyFont="1" applyFill="1" applyBorder="1"/>
    <xf numFmtId="9" fontId="29" fillId="2" borderId="19" xfId="81" applyNumberFormat="1" applyFont="1" applyFill="1" applyBorder="1"/>
    <xf numFmtId="9" fontId="29" fillId="4" borderId="19" xfId="81" applyNumberFormat="1" applyFont="1" applyFill="1" applyBorder="1"/>
    <xf numFmtId="9" fontId="29" fillId="3" borderId="19" xfId="81" applyNumberFormat="1" applyFont="1" applyFill="1" applyBorder="1"/>
    <xf numFmtId="0" fontId="32" fillId="2" borderId="20" xfId="81" applyFont="1" applyFill="1" applyBorder="1" applyAlignment="1">
      <alignment horizontal="center"/>
    </xf>
    <xf numFmtId="49" fontId="38" fillId="2" borderId="8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8" xfId="0" applyFont="1" applyFill="1" applyBorder="1" applyAlignment="1"/>
    <xf numFmtId="0" fontId="33" fillId="0" borderId="0" xfId="0" applyFont="1" applyFill="1" applyAlignment="1"/>
    <xf numFmtId="0" fontId="47" fillId="4" borderId="32" xfId="1" applyFont="1" applyFill="1" applyBorder="1"/>
    <xf numFmtId="0" fontId="47" fillId="4" borderId="16" xfId="1" applyFont="1" applyFill="1" applyBorder="1"/>
    <xf numFmtId="0" fontId="47" fillId="3" borderId="17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8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/>
    </xf>
    <xf numFmtId="0" fontId="33" fillId="2" borderId="24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 wrapText="1"/>
    </xf>
    <xf numFmtId="164" fontId="32" fillId="2" borderId="23" xfId="53" applyNumberFormat="1" applyFont="1" applyFill="1" applyBorder="1" applyAlignment="1">
      <alignment horizontal="right"/>
    </xf>
    <xf numFmtId="0" fontId="3" fillId="2" borderId="28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7" xfId="1" applyFont="1" applyFill="1" applyBorder="1"/>
    <xf numFmtId="0" fontId="47" fillId="3" borderId="3" xfId="1" applyFont="1" applyFill="1" applyBorder="1"/>
    <xf numFmtId="0" fontId="47" fillId="6" borderId="3" xfId="1" applyFont="1" applyFill="1" applyBorder="1"/>
    <xf numFmtId="0" fontId="47" fillId="6" borderId="58" xfId="1" applyFont="1" applyFill="1" applyBorder="1"/>
    <xf numFmtId="0" fontId="47" fillId="2" borderId="3" xfId="1" applyFont="1" applyFill="1" applyBorder="1"/>
    <xf numFmtId="0" fontId="47" fillId="4" borderId="3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1" xfId="0" applyNumberFormat="1" applyFont="1" applyFill="1" applyBorder="1"/>
    <xf numFmtId="3" fontId="40" fillId="2" borderId="53" xfId="0" applyNumberFormat="1" applyFont="1" applyFill="1" applyBorder="1"/>
    <xf numFmtId="9" fontId="40" fillId="2" borderId="59" xfId="0" applyNumberFormat="1" applyFont="1" applyFill="1" applyBorder="1"/>
    <xf numFmtId="0" fontId="51" fillId="2" borderId="17" xfId="1" applyFont="1" applyFill="1" applyBorder="1" applyAlignment="1"/>
    <xf numFmtId="0" fontId="33" fillId="2" borderId="27" xfId="0" applyFont="1" applyFill="1" applyBorder="1" applyAlignment="1"/>
    <xf numFmtId="3" fontId="33" fillId="2" borderId="26" xfId="0" applyNumberFormat="1" applyFont="1" applyFill="1" applyBorder="1" applyAlignment="1"/>
    <xf numFmtId="9" fontId="33" fillId="2" borderId="19" xfId="0" applyNumberFormat="1" applyFont="1" applyFill="1" applyBorder="1" applyAlignment="1"/>
    <xf numFmtId="0" fontId="40" fillId="2" borderId="56" xfId="0" applyFont="1" applyFill="1" applyBorder="1" applyAlignment="1"/>
    <xf numFmtId="0" fontId="33" fillId="0" borderId="6" xfId="0" applyFont="1" applyBorder="1" applyAlignment="1"/>
    <xf numFmtId="3" fontId="33" fillId="0" borderId="4" xfId="0" applyNumberFormat="1" applyFont="1" applyBorder="1" applyAlignment="1"/>
    <xf numFmtId="9" fontId="33" fillId="0" borderId="9" xfId="0" applyNumberFormat="1" applyFont="1" applyBorder="1" applyAlignment="1"/>
    <xf numFmtId="0" fontId="30" fillId="2" borderId="33" xfId="1" applyFont="1" applyFill="1" applyBorder="1" applyAlignment="1">
      <alignment horizontal="left" indent="2"/>
    </xf>
    <xf numFmtId="0" fontId="33" fillId="0" borderId="10" xfId="0" applyFont="1" applyBorder="1" applyAlignment="1"/>
    <xf numFmtId="3" fontId="33" fillId="0" borderId="8" xfId="0" applyNumberFormat="1" applyFont="1" applyBorder="1" applyAlignment="1"/>
    <xf numFmtId="9" fontId="33" fillId="0" borderId="8" xfId="0" applyNumberFormat="1" applyFont="1" applyBorder="1" applyAlignment="1"/>
    <xf numFmtId="0" fontId="33" fillId="2" borderId="33" xfId="0" applyFont="1" applyFill="1" applyBorder="1" applyAlignment="1">
      <alignment horizontal="left" indent="2"/>
    </xf>
    <xf numFmtId="0" fontId="32" fillId="2" borderId="33" xfId="1" applyFont="1" applyFill="1" applyBorder="1" applyAlignment="1"/>
    <xf numFmtId="0" fontId="47" fillId="2" borderId="33" xfId="1" applyFont="1" applyFill="1" applyBorder="1" applyAlignment="1">
      <alignment horizontal="left" indent="2"/>
    </xf>
    <xf numFmtId="0" fontId="51" fillId="2" borderId="33" xfId="1" applyFont="1" applyFill="1" applyBorder="1" applyAlignment="1"/>
    <xf numFmtId="0" fontId="33" fillId="0" borderId="31" xfId="0" applyFont="1" applyBorder="1" applyAlignment="1"/>
    <xf numFmtId="3" fontId="33" fillId="0" borderId="22" xfId="0" applyNumberFormat="1" applyFont="1" applyBorder="1" applyAlignment="1"/>
    <xf numFmtId="9" fontId="33" fillId="0" borderId="21" xfId="0" applyNumberFormat="1" applyFont="1" applyBorder="1" applyAlignment="1"/>
    <xf numFmtId="0" fontId="40" fillId="0" borderId="42" xfId="0" applyFont="1" applyFill="1" applyBorder="1" applyAlignment="1">
      <alignment horizontal="left" indent="2"/>
    </xf>
    <xf numFmtId="0" fontId="33" fillId="0" borderId="42" xfId="0" applyFont="1" applyBorder="1" applyAlignment="1"/>
    <xf numFmtId="3" fontId="33" fillId="0" borderId="42" xfId="0" applyNumberFormat="1" applyFont="1" applyBorder="1" applyAlignment="1"/>
    <xf numFmtId="9" fontId="33" fillId="0" borderId="42" xfId="0" applyNumberFormat="1" applyFont="1" applyBorder="1" applyAlignment="1"/>
    <xf numFmtId="0" fontId="51" fillId="4" borderId="17" xfId="1" applyFont="1" applyFill="1" applyBorder="1" applyAlignment="1">
      <alignment horizontal="left"/>
    </xf>
    <xf numFmtId="0" fontId="33" fillId="4" borderId="27" xfId="0" applyFont="1" applyFill="1" applyBorder="1" applyAlignment="1"/>
    <xf numFmtId="3" fontId="33" fillId="4" borderId="26" xfId="0" applyNumberFormat="1" applyFont="1" applyFill="1" applyBorder="1" applyAlignment="1"/>
    <xf numFmtId="9" fontId="33" fillId="4" borderId="19" xfId="0" applyNumberFormat="1" applyFont="1" applyFill="1" applyBorder="1" applyAlignment="1"/>
    <xf numFmtId="0" fontId="51" fillId="4" borderId="56" xfId="1" applyFont="1" applyFill="1" applyBorder="1" applyAlignment="1">
      <alignment horizontal="left"/>
    </xf>
    <xf numFmtId="0" fontId="47" fillId="4" borderId="33" xfId="1" applyFont="1" applyFill="1" applyBorder="1" applyAlignment="1">
      <alignment horizontal="left" indent="2"/>
    </xf>
    <xf numFmtId="0" fontId="51" fillId="4" borderId="33" xfId="1" applyFont="1" applyFill="1" applyBorder="1" applyAlignment="1">
      <alignment horizontal="left"/>
    </xf>
    <xf numFmtId="0" fontId="33" fillId="4" borderId="34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8" xfId="0" applyNumberFormat="1" applyFont="1" applyBorder="1" applyAlignment="1"/>
    <xf numFmtId="0" fontId="40" fillId="3" borderId="17" xfId="0" applyFont="1" applyFill="1" applyBorder="1" applyAlignment="1"/>
    <xf numFmtId="0" fontId="33" fillId="3" borderId="27" xfId="0" applyFont="1" applyFill="1" applyBorder="1" applyAlignment="1"/>
    <xf numFmtId="3" fontId="33" fillId="3" borderId="26" xfId="0" applyNumberFormat="1" applyFont="1" applyFill="1" applyBorder="1" applyAlignment="1"/>
    <xf numFmtId="9" fontId="33" fillId="3" borderId="19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2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5" xfId="0" applyFont="1" applyFill="1" applyBorder="1" applyAlignment="1">
      <alignment horizontal="right"/>
    </xf>
    <xf numFmtId="169" fontId="40" fillId="0" borderId="18" xfId="0" applyNumberFormat="1" applyFont="1" applyFill="1" applyBorder="1" applyAlignment="1"/>
    <xf numFmtId="169" fontId="40" fillId="0" borderId="26" xfId="0" applyNumberFormat="1" applyFont="1" applyFill="1" applyBorder="1" applyAlignment="1"/>
    <xf numFmtId="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50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8" xfId="0" applyNumberFormat="1" applyFont="1" applyFill="1" applyBorder="1" applyAlignment="1"/>
    <xf numFmtId="9" fontId="33" fillId="0" borderId="48" xfId="0" applyNumberFormat="1" applyFont="1" applyFill="1" applyBorder="1" applyAlignment="1"/>
    <xf numFmtId="0" fontId="54" fillId="0" borderId="0" xfId="1" applyFont="1" applyFill="1"/>
    <xf numFmtId="3" fontId="53" fillId="0" borderId="0" xfId="26" applyNumberFormat="1" applyFont="1" applyFill="1" applyBorder="1" applyAlignment="1"/>
    <xf numFmtId="3" fontId="40" fillId="2" borderId="74" xfId="0" applyNumberFormat="1" applyFont="1" applyFill="1" applyBorder="1" applyAlignment="1">
      <alignment horizontal="center" vertical="center"/>
    </xf>
    <xf numFmtId="0" fontId="40" fillId="2" borderId="75" xfId="0" applyFont="1" applyFill="1" applyBorder="1" applyAlignment="1">
      <alignment horizontal="center" vertical="center"/>
    </xf>
    <xf numFmtId="0" fontId="40" fillId="2" borderId="76" xfId="0" applyFont="1" applyFill="1" applyBorder="1" applyAlignment="1">
      <alignment horizontal="center" vertical="center"/>
    </xf>
    <xf numFmtId="3" fontId="55" fillId="2" borderId="77" xfId="0" applyNumberFormat="1" applyFont="1" applyFill="1" applyBorder="1" applyAlignment="1">
      <alignment horizontal="center" vertical="center" wrapText="1"/>
    </xf>
    <xf numFmtId="0" fontId="55" fillId="2" borderId="78" xfId="0" applyFont="1" applyFill="1" applyBorder="1" applyAlignment="1">
      <alignment horizontal="center" vertical="center" wrapText="1"/>
    </xf>
    <xf numFmtId="0" fontId="55" fillId="2" borderId="79" xfId="0" applyFont="1" applyFill="1" applyBorder="1" applyAlignment="1">
      <alignment horizontal="center" vertical="center" wrapText="1"/>
    </xf>
    <xf numFmtId="0" fontId="40" fillId="2" borderId="80" xfId="0" applyFont="1" applyFill="1" applyBorder="1" applyAlignment="1"/>
    <xf numFmtId="0" fontId="40" fillId="2" borderId="82" xfId="0" applyFont="1" applyFill="1" applyBorder="1" applyAlignment="1">
      <alignment horizontal="left" indent="1"/>
    </xf>
    <xf numFmtId="0" fontId="40" fillId="2" borderId="88" xfId="0" applyFont="1" applyFill="1" applyBorder="1" applyAlignment="1">
      <alignment horizontal="left" indent="1"/>
    </xf>
    <xf numFmtId="0" fontId="40" fillId="4" borderId="80" xfId="0" applyFont="1" applyFill="1" applyBorder="1" applyAlignment="1"/>
    <xf numFmtId="0" fontId="40" fillId="4" borderId="82" xfId="0" applyFont="1" applyFill="1" applyBorder="1" applyAlignment="1">
      <alignment horizontal="left" indent="1"/>
    </xf>
    <xf numFmtId="0" fontId="40" fillId="4" borderId="93" xfId="0" applyFont="1" applyFill="1" applyBorder="1" applyAlignment="1">
      <alignment horizontal="left" indent="1"/>
    </xf>
    <xf numFmtId="0" fontId="33" fillId="2" borderId="82" xfId="0" quotePrefix="1" applyFont="1" applyFill="1" applyBorder="1" applyAlignment="1">
      <alignment horizontal="left" indent="2"/>
    </xf>
    <xf numFmtId="0" fontId="33" fillId="2" borderId="88" xfId="0" quotePrefix="1" applyFont="1" applyFill="1" applyBorder="1" applyAlignment="1">
      <alignment horizontal="left" indent="2"/>
    </xf>
    <xf numFmtId="0" fontId="40" fillId="2" borderId="80" xfId="0" applyFont="1" applyFill="1" applyBorder="1" applyAlignment="1">
      <alignment horizontal="left" indent="1"/>
    </xf>
    <xf numFmtId="0" fontId="40" fillId="2" borderId="93" xfId="0" applyFont="1" applyFill="1" applyBorder="1" applyAlignment="1">
      <alignment horizontal="left" indent="1"/>
    </xf>
    <xf numFmtId="0" fontId="40" fillId="4" borderId="88" xfId="0" applyFont="1" applyFill="1" applyBorder="1" applyAlignment="1">
      <alignment horizontal="left" indent="1"/>
    </xf>
    <xf numFmtId="0" fontId="33" fillId="0" borderId="98" xfId="0" applyFont="1" applyBorder="1"/>
    <xf numFmtId="3" fontId="33" fillId="0" borderId="98" xfId="0" applyNumberFormat="1" applyFont="1" applyBorder="1"/>
    <xf numFmtId="0" fontId="40" fillId="4" borderId="72" xfId="0" applyFont="1" applyFill="1" applyBorder="1" applyAlignment="1">
      <alignment horizontal="center" vertical="center"/>
    </xf>
    <xf numFmtId="0" fontId="40" fillId="4" borderId="60" xfId="0" applyFont="1" applyFill="1" applyBorder="1" applyAlignment="1">
      <alignment horizontal="center" vertical="center"/>
    </xf>
    <xf numFmtId="3" fontId="40" fillId="2" borderId="97" xfId="0" applyNumberFormat="1" applyFont="1" applyFill="1" applyBorder="1" applyAlignment="1">
      <alignment horizontal="center" vertical="center"/>
    </xf>
    <xf numFmtId="3" fontId="55" fillId="2" borderId="95" xfId="0" applyNumberFormat="1" applyFont="1" applyFill="1" applyBorder="1" applyAlignment="1">
      <alignment horizontal="center" vertical="center" wrapText="1"/>
    </xf>
    <xf numFmtId="173" fontId="40" fillId="4" borderId="81" xfId="0" applyNumberFormat="1" applyFont="1" applyFill="1" applyBorder="1" applyAlignment="1"/>
    <xf numFmtId="173" fontId="40" fillId="4" borderId="74" xfId="0" applyNumberFormat="1" applyFont="1" applyFill="1" applyBorder="1" applyAlignment="1"/>
    <xf numFmtId="173" fontId="40" fillId="4" borderId="75" xfId="0" applyNumberFormat="1" applyFont="1" applyFill="1" applyBorder="1" applyAlignment="1"/>
    <xf numFmtId="173" fontId="40" fillId="4" borderId="76" xfId="0" applyNumberFormat="1" applyFont="1" applyFill="1" applyBorder="1" applyAlignment="1"/>
    <xf numFmtId="173" fontId="40" fillId="0" borderId="83" xfId="0" applyNumberFormat="1" applyFont="1" applyBorder="1"/>
    <xf numFmtId="173" fontId="33" fillId="0" borderId="87" xfId="0" applyNumberFormat="1" applyFont="1" applyBorder="1"/>
    <xf numFmtId="173" fontId="33" fillId="0" borderId="85" xfId="0" applyNumberFormat="1" applyFont="1" applyBorder="1"/>
    <xf numFmtId="173" fontId="33" fillId="0" borderId="86" xfId="0" applyNumberFormat="1" applyFont="1" applyBorder="1"/>
    <xf numFmtId="173" fontId="40" fillId="0" borderId="94" xfId="0" applyNumberFormat="1" applyFont="1" applyBorder="1"/>
    <xf numFmtId="173" fontId="33" fillId="0" borderId="95" xfId="0" applyNumberFormat="1" applyFont="1" applyBorder="1"/>
    <xf numFmtId="173" fontId="33" fillId="0" borderId="78" xfId="0" applyNumberFormat="1" applyFont="1" applyBorder="1"/>
    <xf numFmtId="173" fontId="33" fillId="0" borderId="79" xfId="0" applyNumberFormat="1" applyFont="1" applyBorder="1"/>
    <xf numFmtId="173" fontId="40" fillId="2" borderId="96" xfId="0" applyNumberFormat="1" applyFont="1" applyFill="1" applyBorder="1" applyAlignment="1"/>
    <xf numFmtId="173" fontId="40" fillId="2" borderId="74" xfId="0" applyNumberFormat="1" applyFont="1" applyFill="1" applyBorder="1" applyAlignment="1"/>
    <xf numFmtId="173" fontId="40" fillId="2" borderId="75" xfId="0" applyNumberFormat="1" applyFont="1" applyFill="1" applyBorder="1" applyAlignment="1"/>
    <xf numFmtId="173" fontId="40" fillId="2" borderId="76" xfId="0" applyNumberFormat="1" applyFont="1" applyFill="1" applyBorder="1" applyAlignment="1"/>
    <xf numFmtId="173" fontId="40" fillId="0" borderId="89" xfId="0" applyNumberFormat="1" applyFont="1" applyBorder="1"/>
    <xf numFmtId="173" fontId="33" fillId="0" borderId="90" xfId="0" applyNumberFormat="1" applyFont="1" applyBorder="1"/>
    <xf numFmtId="173" fontId="33" fillId="0" borderId="91" xfId="0" applyNumberFormat="1" applyFont="1" applyBorder="1"/>
    <xf numFmtId="173" fontId="33" fillId="0" borderId="92" xfId="0" applyNumberFormat="1" applyFont="1" applyBorder="1"/>
    <xf numFmtId="173" fontId="40" fillId="0" borderId="81" xfId="0" applyNumberFormat="1" applyFont="1" applyBorder="1"/>
    <xf numFmtId="173" fontId="33" fillId="0" borderId="97" xfId="0" applyNumberFormat="1" applyFont="1" applyBorder="1"/>
    <xf numFmtId="173" fontId="33" fillId="0" borderId="75" xfId="0" applyNumberFormat="1" applyFont="1" applyBorder="1"/>
    <xf numFmtId="173" fontId="33" fillId="0" borderId="76" xfId="0" applyNumberFormat="1" applyFont="1" applyBorder="1"/>
    <xf numFmtId="174" fontId="40" fillId="2" borderId="81" xfId="0" applyNumberFormat="1" applyFont="1" applyFill="1" applyBorder="1" applyAlignment="1"/>
    <xf numFmtId="174" fontId="33" fillId="2" borderId="74" xfId="0" applyNumberFormat="1" applyFont="1" applyFill="1" applyBorder="1" applyAlignment="1"/>
    <xf numFmtId="174" fontId="33" fillId="2" borderId="75" xfId="0" applyNumberFormat="1" applyFont="1" applyFill="1" applyBorder="1" applyAlignment="1"/>
    <xf numFmtId="174" fontId="33" fillId="2" borderId="76" xfId="0" applyNumberFormat="1" applyFont="1" applyFill="1" applyBorder="1" applyAlignment="1"/>
    <xf numFmtId="174" fontId="40" fillId="0" borderId="83" xfId="0" applyNumberFormat="1" applyFont="1" applyBorder="1"/>
    <xf numFmtId="174" fontId="33" fillId="0" borderId="84" xfId="0" applyNumberFormat="1" applyFont="1" applyBorder="1"/>
    <xf numFmtId="174" fontId="33" fillId="0" borderId="85" xfId="0" applyNumberFormat="1" applyFont="1" applyBorder="1"/>
    <xf numFmtId="174" fontId="33" fillId="0" borderId="86" xfId="0" applyNumberFormat="1" applyFont="1" applyBorder="1"/>
    <xf numFmtId="174" fontId="33" fillId="0" borderId="87" xfId="0" applyNumberFormat="1" applyFont="1" applyBorder="1"/>
    <xf numFmtId="174" fontId="40" fillId="0" borderId="89" xfId="0" applyNumberFormat="1" applyFont="1" applyBorder="1"/>
    <xf numFmtId="174" fontId="33" fillId="0" borderId="90" xfId="0" applyNumberFormat="1" applyFont="1" applyBorder="1"/>
    <xf numFmtId="174" fontId="33" fillId="0" borderId="91" xfId="0" applyNumberFormat="1" applyFont="1" applyBorder="1"/>
    <xf numFmtId="174" fontId="33" fillId="0" borderId="92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40" fillId="4" borderId="81" xfId="0" applyNumberFormat="1" applyFont="1" applyFill="1" applyBorder="1" applyAlignment="1">
      <alignment horizontal="center"/>
    </xf>
    <xf numFmtId="175" fontId="40" fillId="0" borderId="89" xfId="0" applyNumberFormat="1" applyFont="1" applyBorder="1"/>
    <xf numFmtId="0" fontId="32" fillId="2" borderId="107" xfId="74" applyFont="1" applyFill="1" applyBorder="1" applyAlignment="1">
      <alignment horizontal="center"/>
    </xf>
    <xf numFmtId="0" fontId="32" fillId="2" borderId="76" xfId="81" applyFont="1" applyFill="1" applyBorder="1" applyAlignment="1">
      <alignment horizontal="center"/>
    </xf>
    <xf numFmtId="0" fontId="32" fillId="2" borderId="77" xfId="81" applyFont="1" applyFill="1" applyBorder="1" applyAlignment="1">
      <alignment horizontal="center"/>
    </xf>
    <xf numFmtId="0" fontId="32" fillId="2" borderId="78" xfId="81" applyFont="1" applyFill="1" applyBorder="1" applyAlignment="1">
      <alignment horizontal="center"/>
    </xf>
    <xf numFmtId="0" fontId="32" fillId="2" borderId="79" xfId="81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30" fillId="5" borderId="0" xfId="74" applyFont="1" applyFill="1" applyAlignment="1">
      <alignment horizontal="center"/>
    </xf>
    <xf numFmtId="9" fontId="33" fillId="0" borderId="26" xfId="0" applyNumberFormat="1" applyFont="1" applyFill="1" applyBorder="1"/>
    <xf numFmtId="9" fontId="33" fillId="0" borderId="19" xfId="0" applyNumberFormat="1" applyFont="1" applyFill="1" applyBorder="1"/>
    <xf numFmtId="0" fontId="26" fillId="2" borderId="33" xfId="1" applyFill="1" applyBorder="1" applyAlignment="1">
      <alignment horizontal="left" indent="4"/>
    </xf>
    <xf numFmtId="0" fontId="33" fillId="0" borderId="98" xfId="0" applyFont="1" applyFill="1" applyBorder="1" applyAlignment="1"/>
    <xf numFmtId="3" fontId="40" fillId="0" borderId="18" xfId="0" applyNumberFormat="1" applyFont="1" applyFill="1" applyBorder="1" applyAlignment="1"/>
    <xf numFmtId="3" fontId="40" fillId="0" borderId="26" xfId="0" applyNumberFormat="1" applyFont="1" applyFill="1" applyBorder="1" applyAlignment="1"/>
    <xf numFmtId="169" fontId="40" fillId="0" borderId="19" xfId="0" applyNumberFormat="1" applyFont="1" applyFill="1" applyBorder="1" applyAlignment="1"/>
    <xf numFmtId="9" fontId="40" fillId="0" borderId="83" xfId="0" applyNumberFormat="1" applyFont="1" applyBorder="1"/>
    <xf numFmtId="9" fontId="33" fillId="0" borderId="87" xfId="0" applyNumberFormat="1" applyFont="1" applyBorder="1"/>
    <xf numFmtId="9" fontId="33" fillId="0" borderId="85" xfId="0" applyNumberFormat="1" applyFont="1" applyBorder="1"/>
    <xf numFmtId="9" fontId="33" fillId="0" borderId="86" xfId="0" applyNumberFormat="1" applyFont="1" applyBorder="1"/>
    <xf numFmtId="0" fontId="41" fillId="0" borderId="98" xfId="0" applyFont="1" applyFill="1" applyBorder="1" applyAlignment="1"/>
    <xf numFmtId="173" fontId="40" fillId="4" borderId="76" xfId="0" applyNumberFormat="1" applyFont="1" applyFill="1" applyBorder="1" applyAlignment="1">
      <alignment horizontal="center"/>
    </xf>
    <xf numFmtId="173" fontId="33" fillId="0" borderId="86" xfId="0" applyNumberFormat="1" applyFont="1" applyBorder="1" applyAlignment="1">
      <alignment horizontal="right"/>
    </xf>
    <xf numFmtId="175" fontId="33" fillId="0" borderId="86" xfId="0" applyNumberFormat="1" applyFont="1" applyBorder="1" applyAlignment="1">
      <alignment horizontal="right"/>
    </xf>
    <xf numFmtId="173" fontId="33" fillId="0" borderId="79" xfId="0" applyNumberFormat="1" applyFont="1" applyBorder="1" applyAlignment="1">
      <alignment horizontal="right"/>
    </xf>
    <xf numFmtId="0" fontId="55" fillId="2" borderId="95" xfId="0" applyFont="1" applyFill="1" applyBorder="1" applyAlignment="1">
      <alignment horizontal="center" vertical="center" wrapText="1"/>
    </xf>
    <xf numFmtId="174" fontId="33" fillId="2" borderId="97" xfId="0" applyNumberFormat="1" applyFont="1" applyFill="1" applyBorder="1" applyAlignment="1"/>
    <xf numFmtId="173" fontId="40" fillId="4" borderId="97" xfId="0" applyNumberFormat="1" applyFont="1" applyFill="1" applyBorder="1" applyAlignment="1"/>
    <xf numFmtId="173" fontId="40" fillId="2" borderId="97" xfId="0" applyNumberFormat="1" applyFont="1" applyFill="1" applyBorder="1" applyAlignment="1"/>
    <xf numFmtId="0" fontId="40" fillId="3" borderId="25" xfId="0" applyFont="1" applyFill="1" applyBorder="1" applyAlignment="1"/>
    <xf numFmtId="0" fontId="33" fillId="0" borderId="43" xfId="0" applyFont="1" applyBorder="1" applyAlignment="1"/>
    <xf numFmtId="0" fontId="40" fillId="2" borderId="25" xfId="0" applyFont="1" applyFill="1" applyBorder="1" applyAlignment="1"/>
    <xf numFmtId="0" fontId="40" fillId="4" borderId="25" xfId="0" applyFont="1" applyFill="1" applyBorder="1" applyAlignment="1"/>
    <xf numFmtId="0" fontId="43" fillId="0" borderId="1" xfId="0" applyFont="1" applyFill="1" applyBorder="1" applyAlignment="1"/>
    <xf numFmtId="0" fontId="43" fillId="0" borderId="1" xfId="0" applyFont="1" applyBorder="1" applyAlignment="1"/>
    <xf numFmtId="0" fontId="31" fillId="5" borderId="15" xfId="8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44" xfId="81" applyFont="1" applyFill="1" applyBorder="1" applyAlignment="1">
      <alignment horizontal="center"/>
    </xf>
    <xf numFmtId="0" fontId="32" fillId="2" borderId="70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3" xfId="0" applyFont="1" applyFill="1" applyBorder="1" applyAlignment="1">
      <alignment horizontal="center" vertical="center"/>
    </xf>
    <xf numFmtId="0" fontId="33" fillId="2" borderId="28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7" xfId="0" applyFont="1" applyFill="1" applyBorder="1" applyAlignment="1">
      <alignment horizontal="center" vertical="center"/>
    </xf>
    <xf numFmtId="0" fontId="33" fillId="2" borderId="8" xfId="0" applyFont="1" applyFill="1" applyBorder="1" applyAlignment="1">
      <alignment horizontal="center" vertical="center"/>
    </xf>
    <xf numFmtId="0" fontId="39" fillId="2" borderId="28" xfId="0" applyFont="1" applyFill="1" applyBorder="1" applyAlignment="1">
      <alignment horizontal="center" vertical="center"/>
    </xf>
    <xf numFmtId="0" fontId="33" fillId="2" borderId="24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3" fillId="2" borderId="21" xfId="0" applyFont="1" applyFill="1" applyBorder="1" applyAlignment="1">
      <alignment horizontal="center" vertical="center" wrapText="1"/>
    </xf>
    <xf numFmtId="0" fontId="32" fillId="2" borderId="107" xfId="81" applyFont="1" applyFill="1" applyBorder="1" applyAlignment="1">
      <alignment horizontal="center"/>
    </xf>
    <xf numFmtId="0" fontId="32" fillId="2" borderId="102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106" xfId="81" applyFont="1" applyFill="1" applyBorder="1" applyAlignment="1">
      <alignment horizontal="center"/>
    </xf>
    <xf numFmtId="0" fontId="32" fillId="2" borderId="94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3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44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1" xfId="78" applyNumberFormat="1" applyFont="1" applyFill="1" applyBorder="1" applyAlignment="1">
      <alignment horizontal="left"/>
    </xf>
    <xf numFmtId="0" fontId="33" fillId="2" borderId="52" xfId="0" applyFont="1" applyFill="1" applyBorder="1" applyAlignment="1"/>
    <xf numFmtId="3" fontId="29" fillId="2" borderId="54" xfId="78" applyNumberFormat="1" applyFont="1" applyFill="1" applyBorder="1" applyAlignment="1"/>
    <xf numFmtId="0" fontId="40" fillId="2" borderId="61" xfId="0" applyFont="1" applyFill="1" applyBorder="1" applyAlignment="1">
      <alignment horizontal="left"/>
    </xf>
    <xf numFmtId="0" fontId="33" fillId="2" borderId="48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40" fillId="2" borderId="54" xfId="0" applyFont="1" applyFill="1" applyBorder="1" applyAlignment="1">
      <alignment horizontal="left"/>
    </xf>
    <xf numFmtId="3" fontId="40" fillId="2" borderId="54" xfId="0" applyNumberFormat="1" applyFont="1" applyFill="1" applyBorder="1" applyAlignment="1">
      <alignment horizontal="left"/>
    </xf>
    <xf numFmtId="3" fontId="33" fillId="2" borderId="49" xfId="0" applyNumberFormat="1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23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55" xfId="80" applyFont="1" applyFill="1" applyBorder="1" applyAlignment="1">
      <alignment horizontal="left"/>
    </xf>
    <xf numFmtId="0" fontId="3" fillId="2" borderId="38" xfId="79" applyFont="1" applyFill="1" applyBorder="1" applyAlignment="1"/>
    <xf numFmtId="0" fontId="5" fillId="2" borderId="38" xfId="79" applyFont="1" applyFill="1" applyBorder="1" applyAlignment="1"/>
    <xf numFmtId="0" fontId="5" fillId="2" borderId="64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2" xfId="53" applyFont="1" applyFill="1" applyBorder="1" applyAlignment="1">
      <alignment horizontal="right"/>
    </xf>
    <xf numFmtId="0" fontId="5" fillId="2" borderId="63" xfId="79" applyFont="1" applyFill="1" applyBorder="1" applyAlignment="1"/>
    <xf numFmtId="0" fontId="3" fillId="2" borderId="39" xfId="79" applyFont="1" applyFill="1" applyBorder="1" applyAlignment="1">
      <alignment horizontal="left"/>
    </xf>
    <xf numFmtId="0" fontId="5" fillId="2" borderId="38" xfId="79" applyFont="1" applyFill="1" applyBorder="1" applyAlignment="1">
      <alignment horizontal="left"/>
    </xf>
    <xf numFmtId="0" fontId="3" fillId="2" borderId="38" xfId="79" applyFont="1" applyFill="1" applyBorder="1" applyAlignment="1">
      <alignment horizontal="left"/>
    </xf>
    <xf numFmtId="0" fontId="5" fillId="2" borderId="64" xfId="79" applyFont="1" applyFill="1" applyBorder="1" applyAlignment="1">
      <alignment horizontal="left"/>
    </xf>
    <xf numFmtId="166" fontId="40" fillId="2" borderId="73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175" fontId="33" fillId="0" borderId="105" xfId="0" applyNumberFormat="1" applyFont="1" applyBorder="1" applyAlignment="1">
      <alignment horizontal="right"/>
    </xf>
    <xf numFmtId="175" fontId="33" fillId="0" borderId="103" xfId="0" applyNumberFormat="1" applyFont="1" applyBorder="1" applyAlignment="1">
      <alignment horizontal="right"/>
    </xf>
    <xf numFmtId="0" fontId="0" fillId="0" borderId="103" xfId="0" applyBorder="1" applyAlignment="1">
      <alignment horizontal="right"/>
    </xf>
    <xf numFmtId="0" fontId="0" fillId="0" borderId="87" xfId="0" applyBorder="1" applyAlignment="1">
      <alignment horizontal="right"/>
    </xf>
    <xf numFmtId="173" fontId="33" fillId="0" borderId="106" xfId="0" applyNumberFormat="1" applyFont="1" applyBorder="1" applyAlignment="1">
      <alignment horizontal="right"/>
    </xf>
    <xf numFmtId="173" fontId="33" fillId="0" borderId="104" xfId="0" applyNumberFormat="1" applyFont="1" applyBorder="1" applyAlignment="1">
      <alignment horizontal="right"/>
    </xf>
    <xf numFmtId="0" fontId="0" fillId="0" borderId="104" xfId="0" applyBorder="1" applyAlignment="1">
      <alignment horizontal="right"/>
    </xf>
    <xf numFmtId="0" fontId="0" fillId="0" borderId="95" xfId="0" applyBorder="1" applyAlignment="1">
      <alignment horizontal="right"/>
    </xf>
    <xf numFmtId="175" fontId="33" fillId="0" borderId="99" xfId="0" applyNumberFormat="1" applyFont="1" applyBorder="1" applyAlignment="1">
      <alignment horizontal="right"/>
    </xf>
    <xf numFmtId="173" fontId="33" fillId="0" borderId="100" xfId="0" applyNumberFormat="1" applyFont="1" applyBorder="1" applyAlignment="1">
      <alignment horizontal="right"/>
    </xf>
    <xf numFmtId="173" fontId="40" fillId="4" borderId="107" xfId="0" applyNumberFormat="1" applyFont="1" applyFill="1" applyBorder="1" applyAlignment="1">
      <alignment horizontal="center"/>
    </xf>
    <xf numFmtId="173" fontId="40" fillId="4" borderId="102" xfId="0" applyNumberFormat="1" applyFont="1" applyFill="1" applyBorder="1" applyAlignment="1">
      <alignment horizontal="center"/>
    </xf>
    <xf numFmtId="0" fontId="0" fillId="0" borderId="102" xfId="0" applyBorder="1" applyAlignment="1"/>
    <xf numFmtId="0" fontId="0" fillId="0" borderId="97" xfId="0" applyBorder="1" applyAlignment="1"/>
    <xf numFmtId="173" fontId="33" fillId="0" borderId="105" xfId="0" applyNumberFormat="1" applyFont="1" applyBorder="1" applyAlignment="1">
      <alignment horizontal="right"/>
    </xf>
    <xf numFmtId="173" fontId="33" fillId="0" borderId="103" xfId="0" applyNumberFormat="1" applyFont="1" applyBorder="1" applyAlignment="1">
      <alignment horizontal="right"/>
    </xf>
    <xf numFmtId="173" fontId="40" fillId="4" borderId="101" xfId="0" applyNumberFormat="1" applyFont="1" applyFill="1" applyBorder="1" applyAlignment="1">
      <alignment horizontal="center"/>
    </xf>
    <xf numFmtId="0" fontId="0" fillId="0" borderId="102" xfId="0" applyBorder="1" applyAlignment="1">
      <alignment horizontal="center"/>
    </xf>
    <xf numFmtId="0" fontId="0" fillId="0" borderId="97" xfId="0" applyBorder="1" applyAlignment="1">
      <alignment horizontal="center"/>
    </xf>
    <xf numFmtId="173" fontId="33" fillId="0" borderId="99" xfId="0" applyNumberFormat="1" applyFont="1" applyBorder="1" applyAlignment="1">
      <alignment horizontal="right"/>
    </xf>
    <xf numFmtId="173" fontId="33" fillId="0" borderId="99" xfId="0" applyNumberFormat="1" applyFont="1" applyBorder="1" applyAlignment="1">
      <alignment horizontal="right" wrapText="1"/>
    </xf>
    <xf numFmtId="0" fontId="0" fillId="0" borderId="103" xfId="0" applyBorder="1" applyAlignment="1">
      <alignment horizontal="right" wrapText="1"/>
    </xf>
    <xf numFmtId="0" fontId="0" fillId="0" borderId="87" xfId="0" applyBorder="1" applyAlignment="1">
      <alignment horizontal="right" wrapText="1"/>
    </xf>
    <xf numFmtId="0" fontId="2" fillId="0" borderId="1" xfId="0" applyFont="1" applyFill="1" applyBorder="1" applyAlignment="1">
      <alignment wrapText="1"/>
    </xf>
    <xf numFmtId="0" fontId="40" fillId="2" borderId="59" xfId="0" applyFont="1" applyFill="1" applyBorder="1" applyAlignment="1">
      <alignment vertical="center"/>
    </xf>
    <xf numFmtId="3" fontId="32" fillId="2" borderId="61" xfId="26" applyNumberFormat="1" applyFont="1" applyFill="1" applyBorder="1" applyAlignment="1">
      <alignment horizontal="center"/>
    </xf>
    <xf numFmtId="3" fontId="32" fillId="2" borderId="48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108" xfId="26" applyNumberFormat="1" applyFont="1" applyFill="1" applyBorder="1" applyAlignment="1">
      <alignment horizontal="center"/>
    </xf>
    <xf numFmtId="3" fontId="32" fillId="2" borderId="98" xfId="26" applyNumberFormat="1" applyFont="1" applyFill="1" applyBorder="1" applyAlignment="1">
      <alignment horizontal="center"/>
    </xf>
    <xf numFmtId="3" fontId="32" fillId="2" borderId="73" xfId="26" applyNumberFormat="1" applyFont="1" applyFill="1" applyBorder="1" applyAlignment="1">
      <alignment horizontal="center"/>
    </xf>
    <xf numFmtId="3" fontId="32" fillId="2" borderId="49" xfId="0" applyNumberFormat="1" applyFont="1" applyFill="1" applyBorder="1" applyAlignment="1">
      <alignment horizontal="center" vertical="top"/>
    </xf>
    <xf numFmtId="0" fontId="32" fillId="2" borderId="29" xfId="0" applyFont="1" applyFill="1" applyBorder="1" applyAlignment="1">
      <alignment horizontal="center" vertical="top" wrapText="1"/>
    </xf>
    <xf numFmtId="0" fontId="32" fillId="2" borderId="29" xfId="0" applyFont="1" applyFill="1" applyBorder="1" applyAlignment="1">
      <alignment horizontal="center" vertical="top"/>
    </xf>
    <xf numFmtId="0" fontId="32" fillId="2" borderId="29" xfId="0" applyFont="1" applyFill="1" applyBorder="1" applyAlignment="1">
      <alignment horizontal="center" vertical="center"/>
    </xf>
    <xf numFmtId="0" fontId="32" fillId="2" borderId="61" xfId="0" quotePrefix="1" applyFont="1" applyFill="1" applyBorder="1" applyAlignment="1">
      <alignment horizontal="center"/>
    </xf>
    <xf numFmtId="0" fontId="32" fillId="2" borderId="49" xfId="0" applyFont="1" applyFill="1" applyBorder="1" applyAlignment="1">
      <alignment horizontal="center"/>
    </xf>
    <xf numFmtId="9" fontId="45" fillId="2" borderId="49" xfId="0" applyNumberFormat="1" applyFont="1" applyFill="1" applyBorder="1" applyAlignment="1">
      <alignment horizontal="center" vertical="top"/>
    </xf>
    <xf numFmtId="0" fontId="32" fillId="2" borderId="72" xfId="0" applyNumberFormat="1" applyFont="1" applyFill="1" applyBorder="1" applyAlignment="1">
      <alignment horizontal="center" vertical="top"/>
    </xf>
    <xf numFmtId="0" fontId="32" fillId="2" borderId="72" xfId="0" applyFont="1" applyFill="1" applyBorder="1" applyAlignment="1">
      <alignment horizontal="center" vertical="top" wrapText="1"/>
    </xf>
    <xf numFmtId="0" fontId="32" fillId="2" borderId="61" xfId="0" quotePrefix="1" applyNumberFormat="1" applyFont="1" applyFill="1" applyBorder="1" applyAlignment="1">
      <alignment horizontal="center"/>
    </xf>
    <xf numFmtId="0" fontId="32" fillId="2" borderId="49" xfId="0" applyNumberFormat="1" applyFont="1" applyFill="1" applyBorder="1" applyAlignment="1">
      <alignment horizontal="center"/>
    </xf>
    <xf numFmtId="49" fontId="32" fillId="2" borderId="29" xfId="0" applyNumberFormat="1" applyFont="1" applyFill="1" applyBorder="1" applyAlignment="1">
      <alignment horizontal="center" vertical="top"/>
    </xf>
    <xf numFmtId="0" fontId="45" fillId="2" borderId="49" xfId="0" applyNumberFormat="1" applyFont="1" applyFill="1" applyBorder="1" applyAlignment="1">
      <alignment horizontal="center" vertical="top"/>
    </xf>
    <xf numFmtId="3" fontId="34" fillId="7" borderId="110" xfId="0" applyNumberFormat="1" applyFont="1" applyFill="1" applyBorder="1" applyAlignment="1">
      <alignment horizontal="right" vertical="top"/>
    </xf>
    <xf numFmtId="3" fontId="34" fillId="7" borderId="111" xfId="0" applyNumberFormat="1" applyFont="1" applyFill="1" applyBorder="1" applyAlignment="1">
      <alignment horizontal="right" vertical="top"/>
    </xf>
    <xf numFmtId="176" fontId="34" fillId="7" borderId="112" xfId="0" applyNumberFormat="1" applyFont="1" applyFill="1" applyBorder="1" applyAlignment="1">
      <alignment horizontal="right" vertical="top"/>
    </xf>
    <xf numFmtId="3" fontId="34" fillId="0" borderId="110" xfId="0" applyNumberFormat="1" applyFont="1" applyBorder="1" applyAlignment="1">
      <alignment horizontal="right" vertical="top"/>
    </xf>
    <xf numFmtId="176" fontId="34" fillId="7" borderId="113" xfId="0" applyNumberFormat="1" applyFont="1" applyFill="1" applyBorder="1" applyAlignment="1">
      <alignment horizontal="right" vertical="top"/>
    </xf>
    <xf numFmtId="3" fontId="36" fillId="7" borderId="115" xfId="0" applyNumberFormat="1" applyFont="1" applyFill="1" applyBorder="1" applyAlignment="1">
      <alignment horizontal="right" vertical="top"/>
    </xf>
    <xf numFmtId="3" fontId="36" fillId="7" borderId="116" xfId="0" applyNumberFormat="1" applyFont="1" applyFill="1" applyBorder="1" applyAlignment="1">
      <alignment horizontal="right" vertical="top"/>
    </xf>
    <xf numFmtId="0" fontId="36" fillId="7" borderId="117" xfId="0" applyFont="1" applyFill="1" applyBorder="1" applyAlignment="1">
      <alignment horizontal="right" vertical="top"/>
    </xf>
    <xf numFmtId="3" fontId="36" fillId="0" borderId="115" xfId="0" applyNumberFormat="1" applyFont="1" applyBorder="1" applyAlignment="1">
      <alignment horizontal="right" vertical="top"/>
    </xf>
    <xf numFmtId="0" fontId="36" fillId="7" borderId="118" xfId="0" applyFont="1" applyFill="1" applyBorder="1" applyAlignment="1">
      <alignment horizontal="right" vertical="top"/>
    </xf>
    <xf numFmtId="0" fontId="34" fillId="7" borderId="112" xfId="0" applyFont="1" applyFill="1" applyBorder="1" applyAlignment="1">
      <alignment horizontal="right" vertical="top"/>
    </xf>
    <xf numFmtId="0" fontId="34" fillId="7" borderId="113" xfId="0" applyFont="1" applyFill="1" applyBorder="1" applyAlignment="1">
      <alignment horizontal="right" vertical="top"/>
    </xf>
    <xf numFmtId="176" fontId="36" fillId="7" borderId="117" xfId="0" applyNumberFormat="1" applyFont="1" applyFill="1" applyBorder="1" applyAlignment="1">
      <alignment horizontal="right" vertical="top"/>
    </xf>
    <xf numFmtId="176" fontId="36" fillId="7" borderId="118" xfId="0" applyNumberFormat="1" applyFont="1" applyFill="1" applyBorder="1" applyAlignment="1">
      <alignment horizontal="right" vertical="top"/>
    </xf>
    <xf numFmtId="3" fontId="36" fillId="0" borderId="119" xfId="0" applyNumberFormat="1" applyFont="1" applyBorder="1" applyAlignment="1">
      <alignment horizontal="right" vertical="top"/>
    </xf>
    <xf numFmtId="3" fontId="36" fillId="0" borderId="120" xfId="0" applyNumberFormat="1" applyFont="1" applyBorder="1" applyAlignment="1">
      <alignment horizontal="right" vertical="top"/>
    </xf>
    <xf numFmtId="0" fontId="36" fillId="0" borderId="121" xfId="0" applyFont="1" applyBorder="1" applyAlignment="1">
      <alignment horizontal="right" vertical="top"/>
    </xf>
    <xf numFmtId="176" fontId="36" fillId="7" borderId="122" xfId="0" applyNumberFormat="1" applyFont="1" applyFill="1" applyBorder="1" applyAlignment="1">
      <alignment horizontal="right" vertical="top"/>
    </xf>
    <xf numFmtId="0" fontId="38" fillId="8" borderId="109" xfId="0" applyFont="1" applyFill="1" applyBorder="1" applyAlignment="1">
      <alignment vertical="top"/>
    </xf>
    <xf numFmtId="0" fontId="38" fillId="8" borderId="109" xfId="0" applyFont="1" applyFill="1" applyBorder="1" applyAlignment="1">
      <alignment vertical="top" indent="2"/>
    </xf>
    <xf numFmtId="0" fontId="38" fillId="8" borderId="109" xfId="0" applyFont="1" applyFill="1" applyBorder="1" applyAlignment="1">
      <alignment vertical="top" indent="4"/>
    </xf>
    <xf numFmtId="0" fontId="39" fillId="8" borderId="114" xfId="0" applyFont="1" applyFill="1" applyBorder="1" applyAlignment="1">
      <alignment vertical="top" indent="6"/>
    </xf>
    <xf numFmtId="0" fontId="38" fillId="8" borderId="109" xfId="0" applyFont="1" applyFill="1" applyBorder="1" applyAlignment="1">
      <alignment vertical="top" indent="8"/>
    </xf>
    <xf numFmtId="0" fontId="39" fillId="8" borderId="114" xfId="0" applyFont="1" applyFill="1" applyBorder="1" applyAlignment="1">
      <alignment vertical="top" indent="2"/>
    </xf>
    <xf numFmtId="0" fontId="39" fillId="8" borderId="114" xfId="0" applyFont="1" applyFill="1" applyBorder="1" applyAlignment="1">
      <alignment vertical="top" indent="4"/>
    </xf>
    <xf numFmtId="0" fontId="39" fillId="8" borderId="114" xfId="0" applyFont="1" applyFill="1" applyBorder="1" applyAlignment="1">
      <alignment vertical="top"/>
    </xf>
    <xf numFmtId="0" fontId="33" fillId="8" borderId="109" xfId="0" applyFont="1" applyFill="1" applyBorder="1"/>
    <xf numFmtId="0" fontId="39" fillId="8" borderId="17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/>
    <xf numFmtId="9" fontId="30" fillId="0" borderId="0" xfId="0" applyNumberFormat="1" applyFont="1" applyFill="1" applyBorder="1"/>
    <xf numFmtId="0" fontId="59" fillId="0" borderId="0" xfId="0" applyFont="1" applyFill="1"/>
    <xf numFmtId="0" fontId="60" fillId="0" borderId="0" xfId="0" applyFont="1" applyFill="1"/>
    <xf numFmtId="0" fontId="3" fillId="2" borderId="123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18" xfId="0" applyFont="1" applyFill="1" applyBorder="1"/>
    <xf numFmtId="0" fontId="40" fillId="8" borderId="25" xfId="0" applyFont="1" applyFill="1" applyBorder="1"/>
    <xf numFmtId="3" fontId="3" fillId="2" borderId="91" xfId="80" applyNumberFormat="1" applyFont="1" applyFill="1" applyBorder="1"/>
    <xf numFmtId="0" fontId="3" fillId="2" borderId="91" xfId="80" applyFont="1" applyFill="1" applyBorder="1"/>
    <xf numFmtId="3" fontId="33" fillId="0" borderId="18" xfId="0" applyNumberFormat="1" applyFont="1" applyFill="1" applyBorder="1"/>
    <xf numFmtId="0" fontId="33" fillId="0" borderId="26" xfId="0" applyFont="1" applyFill="1" applyBorder="1"/>
    <xf numFmtId="3" fontId="33" fillId="0" borderId="26" xfId="0" applyNumberFormat="1" applyFont="1" applyFill="1" applyBorder="1"/>
    <xf numFmtId="3" fontId="33" fillId="0" borderId="50" xfId="0" applyNumberFormat="1" applyFont="1" applyFill="1" applyBorder="1"/>
    <xf numFmtId="9" fontId="3" fillId="2" borderId="91" xfId="80" applyNumberFormat="1" applyFont="1" applyFill="1" applyBorder="1"/>
    <xf numFmtId="9" fontId="3" fillId="2" borderId="92" xfId="80" applyNumberFormat="1" applyFont="1" applyFill="1" applyBorder="1"/>
    <xf numFmtId="3" fontId="33" fillId="0" borderId="27" xfId="0" applyNumberFormat="1" applyFont="1" applyFill="1" applyBorder="1"/>
    <xf numFmtId="0" fontId="3" fillId="2" borderId="124" xfId="79" applyFont="1" applyFill="1" applyBorder="1" applyAlignment="1">
      <alignment horizontal="left"/>
    </xf>
    <xf numFmtId="0" fontId="3" fillId="2" borderId="125" xfId="79" applyFont="1" applyFill="1" applyBorder="1" applyAlignment="1">
      <alignment horizontal="left"/>
    </xf>
    <xf numFmtId="0" fontId="3" fillId="2" borderId="126" xfId="80" applyFont="1" applyFill="1" applyBorder="1" applyAlignment="1">
      <alignment horizontal="left"/>
    </xf>
    <xf numFmtId="0" fontId="3" fillId="2" borderId="126" xfId="79" applyFont="1" applyFill="1" applyBorder="1" applyAlignment="1">
      <alignment horizontal="left"/>
    </xf>
    <xf numFmtId="0" fontId="3" fillId="2" borderId="127" xfId="79" applyFont="1" applyFill="1" applyBorder="1" applyAlignment="1">
      <alignment horizontal="left"/>
    </xf>
    <xf numFmtId="0" fontId="33" fillId="0" borderId="26" xfId="0" applyFont="1" applyFill="1" applyBorder="1" applyAlignment="1">
      <alignment horizontal="right"/>
    </xf>
    <xf numFmtId="0" fontId="33" fillId="0" borderId="26" xfId="0" applyFont="1" applyFill="1" applyBorder="1" applyAlignment="1">
      <alignment horizontal="left"/>
    </xf>
    <xf numFmtId="164" fontId="33" fillId="0" borderId="26" xfId="0" applyNumberFormat="1" applyFont="1" applyFill="1" applyBorder="1"/>
    <xf numFmtId="165" fontId="33" fillId="0" borderId="26" xfId="0" applyNumberFormat="1" applyFont="1" applyFill="1" applyBorder="1"/>
    <xf numFmtId="0" fontId="40" fillId="2" borderId="51" xfId="0" applyFont="1" applyFill="1" applyBorder="1"/>
    <xf numFmtId="3" fontId="40" fillId="2" borderId="128" xfId="0" applyNumberFormat="1" applyFont="1" applyFill="1" applyBorder="1"/>
    <xf numFmtId="9" fontId="40" fillId="2" borderId="71" xfId="0" applyNumberFormat="1" applyFont="1" applyFill="1" applyBorder="1"/>
    <xf numFmtId="3" fontId="40" fillId="2" borderId="65" xfId="0" applyNumberFormat="1" applyFont="1" applyFill="1" applyBorder="1"/>
    <xf numFmtId="3" fontId="33" fillId="0" borderId="53" xfId="0" applyNumberFormat="1" applyFont="1" applyFill="1" applyBorder="1"/>
    <xf numFmtId="9" fontId="33" fillId="0" borderId="53" xfId="0" applyNumberFormat="1" applyFont="1" applyFill="1" applyBorder="1"/>
    <xf numFmtId="3" fontId="33" fillId="0" borderId="59" xfId="0" applyNumberFormat="1" applyFont="1" applyFill="1" applyBorder="1"/>
    <xf numFmtId="0" fontId="33" fillId="0" borderId="23" xfId="0" applyFont="1" applyFill="1" applyBorder="1"/>
    <xf numFmtId="9" fontId="33" fillId="0" borderId="28" xfId="0" applyNumberFormat="1" applyFont="1" applyFill="1" applyBorder="1"/>
    <xf numFmtId="3" fontId="33" fillId="0" borderId="24" xfId="0" applyNumberFormat="1" applyFont="1" applyFill="1" applyBorder="1"/>
    <xf numFmtId="0" fontId="33" fillId="0" borderId="129" xfId="0" applyFont="1" applyFill="1" applyBorder="1"/>
    <xf numFmtId="3" fontId="33" fillId="0" borderId="130" xfId="0" applyNumberFormat="1" applyFont="1" applyFill="1" applyBorder="1"/>
    <xf numFmtId="9" fontId="33" fillId="0" borderId="130" xfId="0" applyNumberFormat="1" applyFont="1" applyFill="1" applyBorder="1"/>
    <xf numFmtId="3" fontId="33" fillId="0" borderId="131" xfId="0" applyNumberFormat="1" applyFont="1" applyFill="1" applyBorder="1"/>
    <xf numFmtId="3" fontId="33" fillId="0" borderId="19" xfId="0" applyNumberFormat="1" applyFont="1" applyFill="1" applyBorder="1"/>
    <xf numFmtId="0" fontId="40" fillId="8" borderId="18" xfId="0" applyFont="1" applyFill="1" applyBorder="1"/>
    <xf numFmtId="3" fontId="40" fillId="8" borderId="26" xfId="0" applyNumberFormat="1" applyFont="1" applyFill="1" applyBorder="1"/>
    <xf numFmtId="9" fontId="40" fillId="8" borderId="26" xfId="0" applyNumberFormat="1" applyFont="1" applyFill="1" applyBorder="1"/>
    <xf numFmtId="3" fontId="40" fillId="8" borderId="19" xfId="0" applyNumberFormat="1" applyFont="1" applyFill="1" applyBorder="1"/>
    <xf numFmtId="0" fontId="40" fillId="0" borderId="51" xfId="0" applyFont="1" applyFill="1" applyBorder="1"/>
    <xf numFmtId="0" fontId="33" fillId="5" borderId="9" xfId="0" applyFont="1" applyFill="1" applyBorder="1" applyAlignment="1">
      <alignment wrapText="1"/>
    </xf>
    <xf numFmtId="0" fontId="40" fillId="2" borderId="53" xfId="0" applyFont="1" applyFill="1" applyBorder="1"/>
    <xf numFmtId="3" fontId="40" fillId="2" borderId="0" xfId="0" applyNumberFormat="1" applyFont="1" applyFill="1" applyBorder="1"/>
    <xf numFmtId="3" fontId="40" fillId="2" borderId="15" xfId="0" applyNumberFormat="1" applyFont="1" applyFill="1" applyBorder="1"/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164" fontId="32" fillId="2" borderId="51" xfId="53" applyNumberFormat="1" applyFont="1" applyFill="1" applyBorder="1" applyAlignment="1">
      <alignment horizontal="left"/>
    </xf>
    <xf numFmtId="164" fontId="32" fillId="2" borderId="53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3" fontId="32" fillId="2" borderId="57" xfId="53" applyNumberFormat="1" applyFont="1" applyFill="1" applyBorder="1" applyAlignment="1">
      <alignment horizontal="left"/>
    </xf>
    <xf numFmtId="3" fontId="32" fillId="2" borderId="65" xfId="53" applyNumberFormat="1" applyFont="1" applyFill="1" applyBorder="1" applyAlignment="1">
      <alignment horizontal="left"/>
    </xf>
    <xf numFmtId="0" fontId="33" fillId="0" borderId="28" xfId="0" applyFont="1" applyFill="1" applyBorder="1"/>
    <xf numFmtId="164" fontId="33" fillId="0" borderId="28" xfId="0" applyNumberFormat="1" applyFont="1" applyFill="1" applyBorder="1"/>
    <xf numFmtId="164" fontId="33" fillId="0" borderId="28" xfId="0" applyNumberFormat="1" applyFont="1" applyFill="1" applyBorder="1" applyAlignment="1">
      <alignment horizontal="right"/>
    </xf>
    <xf numFmtId="0" fontId="33" fillId="0" borderId="132" xfId="0" applyFont="1" applyFill="1" applyBorder="1"/>
    <xf numFmtId="0" fontId="33" fillId="0" borderId="133" xfId="0" applyFont="1" applyFill="1" applyBorder="1"/>
    <xf numFmtId="164" fontId="33" fillId="0" borderId="133" xfId="0" applyNumberFormat="1" applyFont="1" applyFill="1" applyBorder="1"/>
    <xf numFmtId="164" fontId="33" fillId="0" borderId="133" xfId="0" applyNumberFormat="1" applyFont="1" applyFill="1" applyBorder="1" applyAlignment="1">
      <alignment horizontal="right"/>
    </xf>
    <xf numFmtId="3" fontId="33" fillId="0" borderId="133" xfId="0" applyNumberFormat="1" applyFont="1" applyFill="1" applyBorder="1"/>
    <xf numFmtId="3" fontId="33" fillId="0" borderId="134" xfId="0" applyNumberFormat="1" applyFont="1" applyFill="1" applyBorder="1"/>
    <xf numFmtId="0" fontId="33" fillId="0" borderId="130" xfId="0" applyFont="1" applyFill="1" applyBorder="1"/>
    <xf numFmtId="164" fontId="33" fillId="0" borderId="130" xfId="0" applyNumberFormat="1" applyFont="1" applyFill="1" applyBorder="1"/>
    <xf numFmtId="164" fontId="33" fillId="0" borderId="130" xfId="0" applyNumberFormat="1" applyFont="1" applyFill="1" applyBorder="1" applyAlignment="1">
      <alignment horizontal="right"/>
    </xf>
    <xf numFmtId="0" fontId="33" fillId="2" borderId="65" xfId="0" applyFont="1" applyFill="1" applyBorder="1" applyAlignment="1">
      <alignment vertical="center"/>
    </xf>
    <xf numFmtId="0" fontId="32" fillId="2" borderId="14" xfId="26" applyNumberFormat="1" applyFont="1" applyFill="1" applyBorder="1"/>
    <xf numFmtId="0" fontId="32" fillId="2" borderId="0" xfId="26" applyNumberFormat="1" applyFont="1" applyFill="1" applyBorder="1"/>
    <xf numFmtId="0" fontId="32" fillId="2" borderId="15" xfId="26" applyNumberFormat="1" applyFont="1" applyFill="1" applyBorder="1" applyAlignment="1">
      <alignment horizontal="right"/>
    </xf>
    <xf numFmtId="169" fontId="33" fillId="0" borderId="28" xfId="0" applyNumberFormat="1" applyFont="1" applyFill="1" applyBorder="1"/>
    <xf numFmtId="169" fontId="33" fillId="0" borderId="130" xfId="0" applyNumberFormat="1" applyFont="1" applyFill="1" applyBorder="1"/>
    <xf numFmtId="9" fontId="33" fillId="0" borderId="131" xfId="0" applyNumberFormat="1" applyFont="1" applyFill="1" applyBorder="1"/>
    <xf numFmtId="0" fontId="40" fillId="0" borderId="23" xfId="0" applyFont="1" applyFill="1" applyBorder="1"/>
    <xf numFmtId="0" fontId="40" fillId="0" borderId="129" xfId="0" applyFont="1" applyFill="1" applyBorder="1"/>
    <xf numFmtId="169" fontId="33" fillId="0" borderId="24" xfId="0" applyNumberFormat="1" applyFont="1" applyFill="1" applyBorder="1"/>
    <xf numFmtId="169" fontId="33" fillId="0" borderId="133" xfId="0" applyNumberFormat="1" applyFont="1" applyFill="1" applyBorder="1"/>
    <xf numFmtId="169" fontId="33" fillId="0" borderId="134" xfId="0" applyNumberFormat="1" applyFont="1" applyFill="1" applyBorder="1"/>
    <xf numFmtId="169" fontId="33" fillId="0" borderId="131" xfId="0" applyNumberFormat="1" applyFont="1" applyFill="1" applyBorder="1"/>
    <xf numFmtId="0" fontId="40" fillId="0" borderId="132" xfId="0" applyFont="1" applyFill="1" applyBorder="1"/>
    <xf numFmtId="0" fontId="33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0" fontId="0" fillId="0" borderId="30" xfId="0" applyNumberFormat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3" fontId="32" fillId="2" borderId="14" xfId="0" applyNumberFormat="1" applyFont="1" applyFill="1" applyBorder="1" applyAlignment="1">
      <alignment horizontal="left"/>
    </xf>
    <xf numFmtId="3" fontId="32" fillId="2" borderId="15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5" xfId="0" applyNumberFormat="1" applyFont="1" applyFill="1" applyBorder="1" applyAlignment="1">
      <alignment horizontal="center" vertical="top"/>
    </xf>
    <xf numFmtId="3" fontId="32" fillId="2" borderId="15" xfId="0" applyNumberFormat="1" applyFont="1" applyFill="1" applyBorder="1" applyAlignment="1">
      <alignment horizontal="center" vertical="top"/>
    </xf>
    <xf numFmtId="9" fontId="33" fillId="0" borderId="133" xfId="0" applyNumberFormat="1" applyFont="1" applyFill="1" applyBorder="1"/>
    <xf numFmtId="9" fontId="33" fillId="0" borderId="134" xfId="0" applyNumberFormat="1" applyFont="1" applyFill="1" applyBorder="1"/>
    <xf numFmtId="49" fontId="32" fillId="2" borderId="30" xfId="0" applyNumberFormat="1" applyFont="1" applyFill="1" applyBorder="1" applyAlignment="1">
      <alignment horizontal="center" vertical="top"/>
    </xf>
    <xf numFmtId="0" fontId="32" fillId="2" borderId="14" xfId="0" applyNumberFormat="1" applyFont="1" applyFill="1" applyBorder="1" applyAlignment="1">
      <alignment horizontal="left"/>
    </xf>
    <xf numFmtId="0" fontId="32" fillId="2" borderId="15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5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2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4.6520696822588468</c:v>
                </c:pt>
                <c:pt idx="1">
                  <c:v>2.3566465994718495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3836624"/>
        <c:axId val="-111383988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1.6381405389964678</c:v>
                </c:pt>
                <c:pt idx="1">
                  <c:v>1.6381405389964678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37449856"/>
        <c:axId val="-1337450400"/>
      </c:scatterChart>
      <c:catAx>
        <c:axId val="-1113836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113839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138398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113836624"/>
        <c:crosses val="autoZero"/>
        <c:crossBetween val="between"/>
      </c:valAx>
      <c:valAx>
        <c:axId val="-133744985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337450400"/>
        <c:crosses val="max"/>
        <c:crossBetween val="midCat"/>
      </c:valAx>
      <c:valAx>
        <c:axId val="-133745040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33744985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102.21875" style="130" bestFit="1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30" t="s">
        <v>106</v>
      </c>
      <c r="B1" s="330"/>
    </row>
    <row r="2" spans="1:3" ht="14.4" customHeight="1" thickBot="1" x14ac:dyDescent="0.35">
      <c r="A2" s="230" t="s">
        <v>253</v>
      </c>
      <c r="B2" s="46"/>
    </row>
    <row r="3" spans="1:3" ht="14.4" customHeight="1" thickBot="1" x14ac:dyDescent="0.35">
      <c r="A3" s="326" t="s">
        <v>135</v>
      </c>
      <c r="B3" s="327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117</v>
      </c>
      <c r="C4" s="47" t="s">
        <v>118</v>
      </c>
    </row>
    <row r="5" spans="1:3" ht="14.4" customHeight="1" x14ac:dyDescent="0.3">
      <c r="A5" s="146" t="str">
        <f t="shared" si="0"/>
        <v>HI</v>
      </c>
      <c r="B5" s="89" t="s">
        <v>132</v>
      </c>
      <c r="C5" s="47" t="s">
        <v>109</v>
      </c>
    </row>
    <row r="6" spans="1:3" ht="14.4" customHeight="1" x14ac:dyDescent="0.3">
      <c r="A6" s="147" t="str">
        <f t="shared" si="0"/>
        <v>HI Graf</v>
      </c>
      <c r="B6" s="90" t="s">
        <v>102</v>
      </c>
      <c r="C6" s="47" t="s">
        <v>110</v>
      </c>
    </row>
    <row r="7" spans="1:3" ht="14.4" customHeight="1" x14ac:dyDescent="0.3">
      <c r="A7" s="147" t="str">
        <f t="shared" si="0"/>
        <v>Man Tab</v>
      </c>
      <c r="B7" s="90" t="s">
        <v>255</v>
      </c>
      <c r="C7" s="47" t="s">
        <v>111</v>
      </c>
    </row>
    <row r="8" spans="1:3" ht="14.4" customHeight="1" thickBot="1" x14ac:dyDescent="0.35">
      <c r="A8" s="148" t="str">
        <f t="shared" si="0"/>
        <v>HV</v>
      </c>
      <c r="B8" s="91" t="s">
        <v>60</v>
      </c>
      <c r="C8" s="47" t="s">
        <v>65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8" t="s">
        <v>107</v>
      </c>
      <c r="B10" s="327"/>
    </row>
    <row r="11" spans="1:3" ht="14.4" customHeight="1" x14ac:dyDescent="0.3">
      <c r="A11" s="147" t="str">
        <f t="shared" ref="A11:A18" si="1">HYPERLINK("#'"&amp;C11&amp;"'!A1",C11)</f>
        <v>Léky Recepty</v>
      </c>
      <c r="B11" s="90" t="s">
        <v>133</v>
      </c>
      <c r="C11" s="47" t="s">
        <v>112</v>
      </c>
    </row>
    <row r="12" spans="1:3" ht="14.4" customHeight="1" x14ac:dyDescent="0.3">
      <c r="A12" s="147" t="str">
        <f t="shared" si="1"/>
        <v>LRp Lékaři</v>
      </c>
      <c r="B12" s="90" t="s">
        <v>141</v>
      </c>
      <c r="C12" s="47" t="s">
        <v>142</v>
      </c>
    </row>
    <row r="13" spans="1:3" ht="14.4" customHeight="1" x14ac:dyDescent="0.3">
      <c r="A13" s="147" t="str">
        <f t="shared" si="1"/>
        <v>LRp Detail</v>
      </c>
      <c r="B13" s="90" t="s">
        <v>326</v>
      </c>
      <c r="C13" s="47" t="s">
        <v>113</v>
      </c>
    </row>
    <row r="14" spans="1:3" ht="28.8" customHeight="1" x14ac:dyDescent="0.3">
      <c r="A14" s="147" t="str">
        <f t="shared" si="1"/>
        <v>LRp PL</v>
      </c>
      <c r="B14" s="514" t="s">
        <v>327</v>
      </c>
      <c r="C14" s="47" t="s">
        <v>138</v>
      </c>
    </row>
    <row r="15" spans="1:3" ht="14.4" customHeight="1" x14ac:dyDescent="0.3">
      <c r="A15" s="147" t="str">
        <f>HYPERLINK("#'"&amp;C15&amp;"'!A1",C15)</f>
        <v>LRp PL Detail</v>
      </c>
      <c r="B15" s="90" t="s">
        <v>330</v>
      </c>
      <c r="C15" s="47" t="s">
        <v>139</v>
      </c>
    </row>
    <row r="16" spans="1:3" ht="14.4" customHeight="1" x14ac:dyDescent="0.3">
      <c r="A16" s="149" t="str">
        <f t="shared" ref="A16" si="2">HYPERLINK("#'"&amp;C16&amp;"'!A1",C16)</f>
        <v>Materiál Žádanky</v>
      </c>
      <c r="B16" s="90" t="s">
        <v>134</v>
      </c>
      <c r="C16" s="47" t="s">
        <v>114</v>
      </c>
    </row>
    <row r="17" spans="1:3" ht="14.4" customHeight="1" x14ac:dyDescent="0.3">
      <c r="A17" s="147" t="str">
        <f t="shared" si="1"/>
        <v>MŽ Detail</v>
      </c>
      <c r="B17" s="90" t="s">
        <v>402</v>
      </c>
      <c r="C17" s="47" t="s">
        <v>115</v>
      </c>
    </row>
    <row r="18" spans="1:3" ht="14.4" customHeight="1" thickBot="1" x14ac:dyDescent="0.35">
      <c r="A18" s="149" t="str">
        <f t="shared" si="1"/>
        <v>Osobní náklady</v>
      </c>
      <c r="B18" s="90" t="s">
        <v>104</v>
      </c>
      <c r="C18" s="47" t="s">
        <v>116</v>
      </c>
    </row>
    <row r="19" spans="1:3" ht="14.4" customHeight="1" thickBot="1" x14ac:dyDescent="0.35">
      <c r="A19" s="93"/>
      <c r="B19" s="93"/>
    </row>
    <row r="20" spans="1:3" ht="14.4" customHeight="1" thickBot="1" x14ac:dyDescent="0.35">
      <c r="A20" s="329" t="s">
        <v>108</v>
      </c>
      <c r="B20" s="327"/>
    </row>
    <row r="21" spans="1:3" ht="14.4" customHeight="1" x14ac:dyDescent="0.3">
      <c r="A21" s="150" t="str">
        <f t="shared" ref="A21:A25" si="3">HYPERLINK("#'"&amp;C21&amp;"'!A1",C21)</f>
        <v>ZV Vykáz.-A</v>
      </c>
      <c r="B21" s="89" t="s">
        <v>405</v>
      </c>
      <c r="C21" s="47" t="s">
        <v>119</v>
      </c>
    </row>
    <row r="22" spans="1:3" ht="14.4" customHeight="1" x14ac:dyDescent="0.3">
      <c r="A22" s="147" t="str">
        <f t="shared" ref="A22" si="4">HYPERLINK("#'"&amp;C22&amp;"'!A1",C22)</f>
        <v>ZV Vykáz.-A Lékaři</v>
      </c>
      <c r="B22" s="90" t="s">
        <v>415</v>
      </c>
      <c r="C22" s="47" t="s">
        <v>215</v>
      </c>
    </row>
    <row r="23" spans="1:3" ht="14.4" customHeight="1" x14ac:dyDescent="0.3">
      <c r="A23" s="147" t="str">
        <f t="shared" si="3"/>
        <v>ZV Vykáz.-A Detail</v>
      </c>
      <c r="B23" s="90" t="s">
        <v>439</v>
      </c>
      <c r="C23" s="47" t="s">
        <v>120</v>
      </c>
    </row>
    <row r="24" spans="1:3" ht="14.4" customHeight="1" x14ac:dyDescent="0.3">
      <c r="A24" s="147" t="str">
        <f t="shared" si="3"/>
        <v>ZV Vykáz.-H</v>
      </c>
      <c r="B24" s="90" t="s">
        <v>123</v>
      </c>
      <c r="C24" s="47" t="s">
        <v>121</v>
      </c>
    </row>
    <row r="25" spans="1:3" ht="14.4" customHeight="1" x14ac:dyDescent="0.3">
      <c r="A25" s="147" t="str">
        <f t="shared" si="3"/>
        <v>ZV Vykáz.-H Detail</v>
      </c>
      <c r="B25" s="90" t="s">
        <v>458</v>
      </c>
      <c r="C25" s="47" t="s">
        <v>122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30" t="s">
        <v>117</v>
      </c>
      <c r="B1" s="330"/>
      <c r="C1" s="331"/>
      <c r="D1" s="331"/>
      <c r="E1" s="331"/>
    </row>
    <row r="2" spans="1:5" ht="14.4" customHeight="1" thickBot="1" x14ac:dyDescent="0.35">
      <c r="A2" s="230" t="s">
        <v>253</v>
      </c>
      <c r="B2" s="152"/>
    </row>
    <row r="3" spans="1:5" ht="14.4" customHeight="1" thickBot="1" x14ac:dyDescent="0.35">
      <c r="A3" s="155"/>
      <c r="C3" s="156" t="s">
        <v>105</v>
      </c>
      <c r="D3" s="157" t="s">
        <v>71</v>
      </c>
      <c r="E3" s="158" t="s">
        <v>73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92.309540238004004</v>
      </c>
      <c r="D4" s="161">
        <f ca="1">IF(ISERROR(VLOOKUP("Náklady celkem",INDIRECT("HI!$A:$G"),5,0)),0,VLOOKUP("Náklady celkem",INDIRECT("HI!$A:$G"),5,0))</f>
        <v>67.798879999999997</v>
      </c>
      <c r="E4" s="162">
        <f ca="1">IF(C4=0,0,D4/C4)</f>
        <v>0.73447316306843735</v>
      </c>
    </row>
    <row r="5" spans="1:5" ht="14.4" customHeight="1" x14ac:dyDescent="0.3">
      <c r="A5" s="163" t="s">
        <v>144</v>
      </c>
      <c r="B5" s="164"/>
      <c r="C5" s="165"/>
      <c r="D5" s="165"/>
      <c r="E5" s="166"/>
    </row>
    <row r="6" spans="1:5" ht="14.4" customHeight="1" x14ac:dyDescent="0.3">
      <c r="A6" s="167" t="s">
        <v>149</v>
      </c>
      <c r="B6" s="168"/>
      <c r="C6" s="169"/>
      <c r="D6" s="169"/>
      <c r="E6" s="166"/>
    </row>
    <row r="7" spans="1:5" ht="14.4" customHeight="1" x14ac:dyDescent="0.3">
      <c r="A7" s="30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109</v>
      </c>
      <c r="C7" s="169">
        <f>IF(ISERROR(HI!F5),"",HI!F5)</f>
        <v>0</v>
      </c>
      <c r="D7" s="169">
        <f>IF(ISERROR(HI!E5),"",HI!E5)</f>
        <v>0</v>
      </c>
      <c r="E7" s="166">
        <f t="shared" ref="E7:E13" si="0">IF(C7=0,0,D7/C7)</f>
        <v>0</v>
      </c>
    </row>
    <row r="8" spans="1:5" ht="14.4" customHeight="1" x14ac:dyDescent="0.3">
      <c r="A8" s="171" t="s">
        <v>145</v>
      </c>
      <c r="B8" s="168"/>
      <c r="C8" s="169"/>
      <c r="D8" s="169"/>
      <c r="E8" s="166"/>
    </row>
    <row r="9" spans="1:5" ht="14.4" customHeight="1" x14ac:dyDescent="0.3">
      <c r="A9" s="308" t="str">
        <f>HYPERLINK("#'Léky Recepty'!A1","Záchyt v lékárně (Úhrada Kč, min. 60%)")</f>
        <v>Záchyt v lékárně (Úhrada Kč, min. 60%)</v>
      </c>
      <c r="B9" s="168" t="s">
        <v>112</v>
      </c>
      <c r="C9" s="170">
        <v>0.6</v>
      </c>
      <c r="D9" s="170">
        <f>IF(ISERROR(VLOOKUP("Celkem",'Léky Recepty'!B:H,5,0)),0,VLOOKUP("Celkem",'Léky Recepty'!B:H,5,0))</f>
        <v>1</v>
      </c>
      <c r="E9" s="166">
        <f t="shared" si="0"/>
        <v>1.6666666666666667</v>
      </c>
    </row>
    <row r="10" spans="1:5" ht="14.4" customHeight="1" x14ac:dyDescent="0.3">
      <c r="A10" s="308" t="str">
        <f>HYPERLINK("#'LRp PL'!A1","Plnění pozitivního listu (min. 80%)")</f>
        <v>Plnění pozitivního listu (min. 80%)</v>
      </c>
      <c r="B10" s="168" t="s">
        <v>138</v>
      </c>
      <c r="C10" s="170">
        <v>0.8</v>
      </c>
      <c r="D10" s="170">
        <f>IF(ISERROR(VLOOKUP("Celkem",'LRp PL'!A:F,5,0)),0,VLOOKUP("Celkem",'LRp PL'!A:F,5,0))</f>
        <v>1</v>
      </c>
      <c r="E10" s="166">
        <f t="shared" si="0"/>
        <v>1.25</v>
      </c>
    </row>
    <row r="11" spans="1:5" ht="14.4" customHeight="1" x14ac:dyDescent="0.3">
      <c r="A11" s="171" t="s">
        <v>146</v>
      </c>
      <c r="B11" s="168"/>
      <c r="C11" s="169"/>
      <c r="D11" s="169"/>
      <c r="E11" s="166"/>
    </row>
    <row r="12" spans="1:5" ht="14.4" customHeight="1" x14ac:dyDescent="0.3">
      <c r="A12" s="172" t="s">
        <v>150</v>
      </c>
      <c r="B12" s="168"/>
      <c r="C12" s="165"/>
      <c r="D12" s="165"/>
      <c r="E12" s="166"/>
    </row>
    <row r="13" spans="1:5" ht="14.4" customHeight="1" x14ac:dyDescent="0.3">
      <c r="A13" s="17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68" t="s">
        <v>109</v>
      </c>
      <c r="C13" s="169">
        <f>IF(ISERROR(HI!F6),"",HI!F6)</f>
        <v>86.83335726943416</v>
      </c>
      <c r="D13" s="169">
        <f>IF(ISERROR(HI!E6),"",HI!E6)</f>
        <v>60.064670000000007</v>
      </c>
      <c r="E13" s="166">
        <f t="shared" si="0"/>
        <v>0.69172345615551956</v>
      </c>
    </row>
    <row r="14" spans="1:5" ht="14.4" customHeight="1" thickBot="1" x14ac:dyDescent="0.35">
      <c r="A14" s="174" t="str">
        <f>HYPERLINK("#HI!A1","Osobní náklady")</f>
        <v>Osobní náklady</v>
      </c>
      <c r="B14" s="168"/>
      <c r="C14" s="165">
        <f ca="1">IF(ISERROR(VLOOKUP("Osobní náklady (Kč) *",INDIRECT("HI!$A:$G"),6,0)),0,VLOOKUP("Osobní náklady (Kč) *",INDIRECT("HI!$A:$G"),6,0))</f>
        <v>0</v>
      </c>
      <c r="D14" s="165">
        <f ca="1">IF(ISERROR(VLOOKUP("Osobní náklady (Kč) *",INDIRECT("HI!$A:$G"),5,0)),0,VLOOKUP("Osobní náklady (Kč) *",INDIRECT("HI!$A:$G"),5,0))</f>
        <v>0</v>
      </c>
      <c r="E14" s="166">
        <f ca="1">IF(C14=0,0,D14/C14)</f>
        <v>0</v>
      </c>
    </row>
    <row r="15" spans="1:5" ht="14.4" customHeight="1" thickBot="1" x14ac:dyDescent="0.35">
      <c r="A15" s="178"/>
      <c r="B15" s="179"/>
      <c r="C15" s="180"/>
      <c r="D15" s="180"/>
      <c r="E15" s="181"/>
    </row>
    <row r="16" spans="1:5" ht="14.4" customHeight="1" thickBot="1" x14ac:dyDescent="0.35">
      <c r="A16" s="182" t="str">
        <f>HYPERLINK("#HI!A1","VÝNOSY CELKEM (v tisících)")</f>
        <v>VÝNOSY CELKEM (v tisících)</v>
      </c>
      <c r="B16" s="183"/>
      <c r="C16" s="184">
        <f ca="1">IF(ISERROR(VLOOKUP("Výnosy celkem",INDIRECT("HI!$A:$G"),6,0)),0,VLOOKUP("Výnosy celkem",INDIRECT("HI!$A:$G"),6,0))</f>
        <v>151.21600000000001</v>
      </c>
      <c r="D16" s="184">
        <f ca="1">IF(ISERROR(VLOOKUP("Výnosy celkem",INDIRECT("HI!$A:$G"),5,0)),0,VLOOKUP("Výnosy celkem",INDIRECT("HI!$A:$G"),5,0))</f>
        <v>159.77800000000002</v>
      </c>
      <c r="E16" s="185">
        <f t="shared" ref="E16:E19" ca="1" si="1">IF(C16=0,0,D16/C16)</f>
        <v>1.0566209924875676</v>
      </c>
    </row>
    <row r="17" spans="1:5" ht="14.4" customHeight="1" x14ac:dyDescent="0.3">
      <c r="A17" s="186" t="str">
        <f>HYPERLINK("#HI!A1","Ambulance (body za výkony + Kč za ZUM a ZULP)")</f>
        <v>Ambulance (body za výkony + Kč za ZUM a ZULP)</v>
      </c>
      <c r="B17" s="164"/>
      <c r="C17" s="165">
        <f ca="1">IF(ISERROR(VLOOKUP("Ambulance *",INDIRECT("HI!$A:$G"),6,0)),0,VLOOKUP("Ambulance *",INDIRECT("HI!$A:$G"),6,0))</f>
        <v>151.21600000000001</v>
      </c>
      <c r="D17" s="165">
        <f ca="1">IF(ISERROR(VLOOKUP("Ambulance *",INDIRECT("HI!$A:$G"),5,0)),0,VLOOKUP("Ambulance *",INDIRECT("HI!$A:$G"),5,0))</f>
        <v>159.77800000000002</v>
      </c>
      <c r="E17" s="166">
        <f t="shared" ca="1" si="1"/>
        <v>1.0566209924875676</v>
      </c>
    </row>
    <row r="18" spans="1:5" ht="14.4" customHeight="1" x14ac:dyDescent="0.3">
      <c r="A18" s="187" t="str">
        <f>HYPERLINK("#'ZV Vykáz.-A'!A1","Zdravotní výkony vykázané u ambulantních pacientů (min. 100 %)")</f>
        <v>Zdravotní výkony vykázané u ambulantních pacientů (min. 100 %)</v>
      </c>
      <c r="B18" s="151" t="s">
        <v>119</v>
      </c>
      <c r="C18" s="170">
        <v>1</v>
      </c>
      <c r="D18" s="170">
        <f>IF(ISERROR(VLOOKUP("Celkem:",'ZV Vykáz.-A'!$A:$S,7,0)),"",VLOOKUP("Celkem:",'ZV Vykáz.-A'!$A:$S,7,0))</f>
        <v>1.0566209924875676</v>
      </c>
      <c r="E18" s="166">
        <f t="shared" si="1"/>
        <v>1.0566209924875676</v>
      </c>
    </row>
    <row r="19" spans="1:5" ht="14.4" customHeight="1" x14ac:dyDescent="0.3">
      <c r="A19" s="187" t="str">
        <f>HYPERLINK("#'ZV Vykáz.-H'!A1","Zdravotní výkony vykázané u hospitalizovaných pacientů (max. 85 %)")</f>
        <v>Zdravotní výkony vykázané u hospitalizovaných pacientů (max. 85 %)</v>
      </c>
      <c r="B19" s="151" t="s">
        <v>121</v>
      </c>
      <c r="C19" s="170">
        <v>0.85</v>
      </c>
      <c r="D19" s="170">
        <f>IF(ISERROR(VLOOKUP("Celkem:",'ZV Vykáz.-H'!$A:$S,7,0)),"",VLOOKUP("Celkem:",'ZV Vykáz.-H'!$A:$S,7,0))</f>
        <v>0.58032915360501569</v>
      </c>
      <c r="E19" s="166">
        <f t="shared" si="1"/>
        <v>0.68274018071178322</v>
      </c>
    </row>
    <row r="20" spans="1:5" ht="14.4" customHeight="1" x14ac:dyDescent="0.3">
      <c r="A20" s="188" t="str">
        <f>HYPERLINK("#HI!A1","Hospitalizace (casemix * 30000)")</f>
        <v>Hospitalizace (casemix * 30000)</v>
      </c>
      <c r="B20" s="168"/>
      <c r="C20" s="165">
        <f ca="1">IF(ISERROR(VLOOKUP("Hospitalizace *",INDIRECT("HI!$A:$G"),6,0)),0,VLOOKUP("Hospitalizace *",INDIRECT("HI!$A:$G"),6,0))</f>
        <v>0</v>
      </c>
      <c r="D20" s="165">
        <f ca="1">IF(ISERROR(VLOOKUP("Hospitalizace *",INDIRECT("HI!$A:$G"),5,0)),0,VLOOKUP("Hospitalizace *",INDIRECT("HI!$A:$G"),5,0))</f>
        <v>0</v>
      </c>
      <c r="E20" s="166">
        <f ca="1">IF(C20=0,0,D20/C20)</f>
        <v>0</v>
      </c>
    </row>
    <row r="21" spans="1:5" ht="14.4" customHeight="1" thickBot="1" x14ac:dyDescent="0.35">
      <c r="A21" s="189" t="s">
        <v>147</v>
      </c>
      <c r="B21" s="175"/>
      <c r="C21" s="176"/>
      <c r="D21" s="176"/>
      <c r="E21" s="177"/>
    </row>
    <row r="22" spans="1:5" ht="14.4" customHeight="1" thickBot="1" x14ac:dyDescent="0.35">
      <c r="A22" s="190"/>
      <c r="B22" s="191"/>
      <c r="C22" s="192"/>
      <c r="D22" s="192"/>
      <c r="E22" s="193"/>
    </row>
    <row r="23" spans="1:5" ht="14.4" customHeight="1" thickBot="1" x14ac:dyDescent="0.35">
      <c r="A23" s="194" t="s">
        <v>148</v>
      </c>
      <c r="B23" s="195"/>
      <c r="C23" s="196"/>
      <c r="D23" s="196"/>
      <c r="E23" s="197"/>
    </row>
  </sheetData>
  <mergeCells count="1">
    <mergeCell ref="A1:E1"/>
  </mergeCells>
  <conditionalFormatting sqref="E5">
    <cfRule type="cellIs" dxfId="5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0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4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48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0">
    <cfRule type="cellIs" dxfId="47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6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18 E9:E10">
    <cfRule type="cellIs" dxfId="45" priority="20" operator="lessThan">
      <formula>1</formula>
    </cfRule>
  </conditionalFormatting>
  <conditionalFormatting sqref="E16 E18 E9:E10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3 E19">
    <cfRule type="cellIs" dxfId="44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30" t="s">
        <v>132</v>
      </c>
      <c r="B1" s="330"/>
      <c r="C1" s="330"/>
      <c r="D1" s="330"/>
      <c r="E1" s="330"/>
      <c r="F1" s="330"/>
      <c r="G1" s="331"/>
      <c r="H1" s="331"/>
    </row>
    <row r="2" spans="1:8" ht="14.4" customHeight="1" thickBot="1" x14ac:dyDescent="0.35">
      <c r="A2" s="230" t="s">
        <v>253</v>
      </c>
      <c r="B2" s="111"/>
      <c r="C2" s="111"/>
      <c r="D2" s="111"/>
      <c r="E2" s="111"/>
      <c r="F2" s="111"/>
    </row>
    <row r="3" spans="1:8" ht="14.4" customHeight="1" x14ac:dyDescent="0.3">
      <c r="A3" s="332"/>
      <c r="B3" s="107">
        <v>2014</v>
      </c>
      <c r="C3" s="40">
        <v>2015</v>
      </c>
      <c r="D3" s="7"/>
      <c r="E3" s="336">
        <v>2016</v>
      </c>
      <c r="F3" s="337"/>
      <c r="G3" s="337"/>
      <c r="H3" s="338"/>
    </row>
    <row r="4" spans="1:8" ht="14.4" customHeight="1" thickBot="1" x14ac:dyDescent="0.35">
      <c r="A4" s="333"/>
      <c r="B4" s="334" t="s">
        <v>71</v>
      </c>
      <c r="C4" s="335"/>
      <c r="D4" s="7"/>
      <c r="E4" s="128" t="s">
        <v>71</v>
      </c>
      <c r="F4" s="109" t="s">
        <v>72</v>
      </c>
      <c r="G4" s="109" t="s">
        <v>66</v>
      </c>
      <c r="H4" s="110" t="s">
        <v>73</v>
      </c>
    </row>
    <row r="5" spans="1:8" ht="14.4" customHeight="1" x14ac:dyDescent="0.3">
      <c r="A5" s="112" t="str">
        <f>HYPERLINK("#'Léky Žádanky'!A1","Léky (Kč)")</f>
        <v>Léky (Kč)</v>
      </c>
      <c r="B5" s="27">
        <v>0</v>
      </c>
      <c r="C5" s="29">
        <v>0</v>
      </c>
      <c r="D5" s="8"/>
      <c r="E5" s="117">
        <v>0</v>
      </c>
      <c r="F5" s="28">
        <v>0</v>
      </c>
      <c r="G5" s="116">
        <f>E5-F5</f>
        <v>0</v>
      </c>
      <c r="H5" s="122" t="str">
        <f>IF(F5&lt;0.00000001,"",E5/F5)</f>
        <v/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69.135729999999995</v>
      </c>
      <c r="C6" s="31">
        <v>71.112440000000007</v>
      </c>
      <c r="D6" s="8"/>
      <c r="E6" s="118">
        <v>60.064670000000007</v>
      </c>
      <c r="F6" s="30">
        <v>86.83335726943416</v>
      </c>
      <c r="G6" s="119">
        <f>E6-F6</f>
        <v>-26.768687269434153</v>
      </c>
      <c r="H6" s="123">
        <f>IF(F6&lt;0.00000001,"",E6/F6)</f>
        <v>0.69172345615551956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0</v>
      </c>
      <c r="C7" s="31">
        <v>0</v>
      </c>
      <c r="D7" s="8"/>
      <c r="E7" s="118">
        <v>0</v>
      </c>
      <c r="F7" s="30">
        <v>0</v>
      </c>
      <c r="G7" s="119">
        <f>E7-F7</f>
        <v>0</v>
      </c>
      <c r="H7" s="123" t="str">
        <f>IF(F7&lt;0.00000001,"",E7/F7)</f>
        <v/>
      </c>
    </row>
    <row r="8" spans="1:8" ht="14.4" customHeight="1" thickBot="1" x14ac:dyDescent="0.35">
      <c r="A8" s="1" t="s">
        <v>74</v>
      </c>
      <c r="B8" s="11">
        <v>5.2214600000000075</v>
      </c>
      <c r="C8" s="33">
        <v>22.345709999999997</v>
      </c>
      <c r="D8" s="8"/>
      <c r="E8" s="120">
        <v>7.7342099999999903</v>
      </c>
      <c r="F8" s="32">
        <v>5.4761829685698444</v>
      </c>
      <c r="G8" s="121">
        <f>E8-F8</f>
        <v>2.2580270314301458</v>
      </c>
      <c r="H8" s="124">
        <f>IF(F8&lt;0.00000001,"",E8/F8)</f>
        <v>1.4123359362515695</v>
      </c>
    </row>
    <row r="9" spans="1:8" ht="14.4" customHeight="1" thickBot="1" x14ac:dyDescent="0.35">
      <c r="A9" s="2" t="s">
        <v>75</v>
      </c>
      <c r="B9" s="3">
        <v>74.357190000000003</v>
      </c>
      <c r="C9" s="35">
        <v>93.458150000000003</v>
      </c>
      <c r="D9" s="8"/>
      <c r="E9" s="3">
        <v>67.798879999999997</v>
      </c>
      <c r="F9" s="34">
        <v>92.309540238004004</v>
      </c>
      <c r="G9" s="34">
        <f>E9-F9</f>
        <v>-24.510660238004007</v>
      </c>
      <c r="H9" s="125">
        <f>IF(F9&lt;0.00000001,"",E9/F9)</f>
        <v>0.73447316306843735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151.21600000000001</v>
      </c>
      <c r="C11" s="29">
        <f>IF(ISERROR(VLOOKUP("Celkem:",'ZV Vykáz.-A'!A:F,4,0)),0,VLOOKUP("Celkem:",'ZV Vykáz.-A'!A:F,4,0)/1000)</f>
        <v>80.384</v>
      </c>
      <c r="D11" s="8"/>
      <c r="E11" s="117">
        <f>IF(ISERROR(VLOOKUP("Celkem:",'ZV Vykáz.-A'!A:F,6,0)),0,VLOOKUP("Celkem:",'ZV Vykáz.-A'!A:F,6,0)/1000)</f>
        <v>159.77800000000002</v>
      </c>
      <c r="F11" s="28">
        <f>B11</f>
        <v>151.21600000000001</v>
      </c>
      <c r="G11" s="116">
        <f>E11-F11</f>
        <v>8.5620000000000118</v>
      </c>
      <c r="H11" s="122">
        <f>IF(F11&lt;0.00000001,"",E11/F11)</f>
        <v>1.0566209924875676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78</v>
      </c>
      <c r="B13" s="5">
        <f>SUM(B11:B12)</f>
        <v>151.21600000000001</v>
      </c>
      <c r="C13" s="37">
        <f>SUM(C11:C12)</f>
        <v>80.384</v>
      </c>
      <c r="D13" s="8"/>
      <c r="E13" s="5">
        <f>SUM(E11:E12)</f>
        <v>159.77800000000002</v>
      </c>
      <c r="F13" s="36">
        <f>SUM(F11:F12)</f>
        <v>151.21600000000001</v>
      </c>
      <c r="G13" s="36">
        <f>E13-F13</f>
        <v>8.5620000000000118</v>
      </c>
      <c r="H13" s="126">
        <f>IF(F13&lt;0.00000001,"",E13/F13)</f>
        <v>1.0566209924875676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2.0336432831848543</v>
      </c>
      <c r="C15" s="39">
        <f>IF(C9=0,"",C13/C9)</f>
        <v>0.86010690346427787</v>
      </c>
      <c r="D15" s="8"/>
      <c r="E15" s="6">
        <f>IF(E9=0,"",E13/E9)</f>
        <v>2.35664659947185</v>
      </c>
      <c r="F15" s="38">
        <f>IF(F9=0,"",F13/F9)</f>
        <v>1.6381405389964678</v>
      </c>
      <c r="G15" s="38">
        <f>IF(ISERROR(F15-E15),"",E15-F15)</f>
        <v>0.71850606047538212</v>
      </c>
      <c r="H15" s="127">
        <f>IF(ISERROR(F15-E15),"",IF(F15&lt;0.00000001,"",E15/F15))</f>
        <v>1.4386107561415593</v>
      </c>
    </row>
    <row r="17" spans="1:8" ht="14.4" customHeight="1" x14ac:dyDescent="0.3">
      <c r="A17" s="113" t="s">
        <v>152</v>
      </c>
    </row>
    <row r="18" spans="1:8" ht="14.4" customHeight="1" x14ac:dyDescent="0.3">
      <c r="A18" s="293" t="s">
        <v>174</v>
      </c>
      <c r="B18" s="294"/>
      <c r="C18" s="294"/>
      <c r="D18" s="294"/>
      <c r="E18" s="294"/>
      <c r="F18" s="294"/>
      <c r="G18" s="294"/>
      <c r="H18" s="294"/>
    </row>
    <row r="19" spans="1:8" x14ac:dyDescent="0.3">
      <c r="A19" s="292" t="s">
        <v>173</v>
      </c>
      <c r="B19" s="294"/>
      <c r="C19" s="294"/>
      <c r="D19" s="294"/>
      <c r="E19" s="294"/>
      <c r="F19" s="294"/>
      <c r="G19" s="294"/>
      <c r="H19" s="294"/>
    </row>
    <row r="20" spans="1:8" ht="14.4" customHeight="1" x14ac:dyDescent="0.3">
      <c r="A20" s="114" t="s">
        <v>213</v>
      </c>
    </row>
    <row r="21" spans="1:8" ht="14.4" customHeight="1" x14ac:dyDescent="0.3">
      <c r="A21" s="114" t="s">
        <v>153</v>
      </c>
    </row>
    <row r="22" spans="1:8" ht="14.4" customHeight="1" x14ac:dyDescent="0.3">
      <c r="A22" s="115" t="s">
        <v>252</v>
      </c>
    </row>
    <row r="23" spans="1:8" ht="14.4" customHeight="1" x14ac:dyDescent="0.3">
      <c r="A23" s="115" t="s">
        <v>154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3" priority="4" operator="greaterThan">
      <formula>0</formula>
    </cfRule>
  </conditionalFormatting>
  <conditionalFormatting sqref="G11:G13 G15">
    <cfRule type="cellIs" dxfId="42" priority="3" operator="lessThan">
      <formula>0</formula>
    </cfRule>
  </conditionalFormatting>
  <conditionalFormatting sqref="H5:H9">
    <cfRule type="cellIs" dxfId="41" priority="2" operator="greaterThan">
      <formula>1</formula>
    </cfRule>
  </conditionalFormatting>
  <conditionalFormatting sqref="H11:H13 H15">
    <cfRule type="cellIs" dxfId="4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30" t="s">
        <v>102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</row>
    <row r="2" spans="1:13" ht="14.4" customHeight="1" x14ac:dyDescent="0.3">
      <c r="A2" s="230" t="s">
        <v>253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8"/>
      <c r="B3" s="199" t="s">
        <v>80</v>
      </c>
      <c r="C3" s="200" t="s">
        <v>81</v>
      </c>
      <c r="D3" s="200" t="s">
        <v>82</v>
      </c>
      <c r="E3" s="199" t="s">
        <v>83</v>
      </c>
      <c r="F3" s="200" t="s">
        <v>84</v>
      </c>
      <c r="G3" s="200" t="s">
        <v>85</v>
      </c>
      <c r="H3" s="200" t="s">
        <v>86</v>
      </c>
      <c r="I3" s="200" t="s">
        <v>87</v>
      </c>
      <c r="J3" s="200" t="s">
        <v>88</v>
      </c>
      <c r="K3" s="200" t="s">
        <v>89</v>
      </c>
      <c r="L3" s="200" t="s">
        <v>90</v>
      </c>
      <c r="M3" s="200" t="s">
        <v>91</v>
      </c>
    </row>
    <row r="4" spans="1:13" ht="14.4" customHeight="1" x14ac:dyDescent="0.3">
      <c r="A4" s="198" t="s">
        <v>79</v>
      </c>
      <c r="B4" s="201">
        <f>(B10+B8)/B6</f>
        <v>4.6520696822588468</v>
      </c>
      <c r="C4" s="201">
        <f t="shared" ref="C4:M4" si="0">(C10+C8)/C6</f>
        <v>2.3566465994718495</v>
      </c>
      <c r="D4" s="201">
        <f t="shared" si="0"/>
        <v>2.3566465994718495</v>
      </c>
      <c r="E4" s="201">
        <f t="shared" si="0"/>
        <v>2.3566465994718495</v>
      </c>
      <c r="F4" s="201">
        <f t="shared" si="0"/>
        <v>2.3566465994718495</v>
      </c>
      <c r="G4" s="201">
        <f t="shared" si="0"/>
        <v>2.3566465994718495</v>
      </c>
      <c r="H4" s="201">
        <f t="shared" si="0"/>
        <v>2.3566465994718495</v>
      </c>
      <c r="I4" s="201">
        <f t="shared" si="0"/>
        <v>2.3566465994718495</v>
      </c>
      <c r="J4" s="201">
        <f t="shared" si="0"/>
        <v>2.3566465994718495</v>
      </c>
      <c r="K4" s="201">
        <f t="shared" si="0"/>
        <v>2.3566465994718495</v>
      </c>
      <c r="L4" s="201">
        <f t="shared" si="0"/>
        <v>2.3566465994718495</v>
      </c>
      <c r="M4" s="201">
        <f t="shared" si="0"/>
        <v>2.3566465994718495</v>
      </c>
    </row>
    <row r="5" spans="1:13" ht="14.4" customHeight="1" x14ac:dyDescent="0.3">
      <c r="A5" s="202" t="s">
        <v>52</v>
      </c>
      <c r="B5" s="201">
        <f>IF(ISERROR(VLOOKUP($A5,'Man Tab'!$A:$Q,COLUMN()+2,0)),0,VLOOKUP($A5,'Man Tab'!$A:$Q,COLUMN()+2,0))</f>
        <v>15.84277</v>
      </c>
      <c r="C5" s="201">
        <f>IF(ISERROR(VLOOKUP($A5,'Man Tab'!$A:$Q,COLUMN()+2,0)),0,VLOOKUP($A5,'Man Tab'!$A:$Q,COLUMN()+2,0))</f>
        <v>51.956110000000002</v>
      </c>
      <c r="D5" s="201">
        <f>IF(ISERROR(VLOOKUP($A5,'Man Tab'!$A:$Q,COLUMN()+2,0)),0,VLOOKUP($A5,'Man Tab'!$A:$Q,COLUMN()+2,0))</f>
        <v>0</v>
      </c>
      <c r="E5" s="201">
        <f>IF(ISERROR(VLOOKUP($A5,'Man Tab'!$A:$Q,COLUMN()+2,0)),0,VLOOKUP($A5,'Man Tab'!$A:$Q,COLUMN()+2,0))</f>
        <v>0</v>
      </c>
      <c r="F5" s="201">
        <f>IF(ISERROR(VLOOKUP($A5,'Man Tab'!$A:$Q,COLUMN()+2,0)),0,VLOOKUP($A5,'Man Tab'!$A:$Q,COLUMN()+2,0))</f>
        <v>0</v>
      </c>
      <c r="G5" s="201">
        <f>IF(ISERROR(VLOOKUP($A5,'Man Tab'!$A:$Q,COLUMN()+2,0)),0,VLOOKUP($A5,'Man Tab'!$A:$Q,COLUMN()+2,0))</f>
        <v>0</v>
      </c>
      <c r="H5" s="201">
        <f>IF(ISERROR(VLOOKUP($A5,'Man Tab'!$A:$Q,COLUMN()+2,0)),0,VLOOKUP($A5,'Man Tab'!$A:$Q,COLUMN()+2,0))</f>
        <v>0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75</v>
      </c>
      <c r="B6" s="203">
        <f>B5</f>
        <v>15.84277</v>
      </c>
      <c r="C6" s="203">
        <f t="shared" ref="C6:M6" si="1">C5+B6</f>
        <v>67.798879999999997</v>
      </c>
      <c r="D6" s="203">
        <f t="shared" si="1"/>
        <v>67.798879999999997</v>
      </c>
      <c r="E6" s="203">
        <f t="shared" si="1"/>
        <v>67.798879999999997</v>
      </c>
      <c r="F6" s="203">
        <f t="shared" si="1"/>
        <v>67.798879999999997</v>
      </c>
      <c r="G6" s="203">
        <f t="shared" si="1"/>
        <v>67.798879999999997</v>
      </c>
      <c r="H6" s="203">
        <f t="shared" si="1"/>
        <v>67.798879999999997</v>
      </c>
      <c r="I6" s="203">
        <f t="shared" si="1"/>
        <v>67.798879999999997</v>
      </c>
      <c r="J6" s="203">
        <f t="shared" si="1"/>
        <v>67.798879999999997</v>
      </c>
      <c r="K6" s="203">
        <f t="shared" si="1"/>
        <v>67.798879999999997</v>
      </c>
      <c r="L6" s="203">
        <f t="shared" si="1"/>
        <v>67.798879999999997</v>
      </c>
      <c r="M6" s="203">
        <f t="shared" si="1"/>
        <v>67.798879999999997</v>
      </c>
    </row>
    <row r="7" spans="1:13" ht="14.4" customHeight="1" x14ac:dyDescent="0.3">
      <c r="A7" s="202" t="s">
        <v>100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76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101</v>
      </c>
      <c r="B9" s="202">
        <v>73701.67</v>
      </c>
      <c r="C9" s="202">
        <v>86076.33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77</v>
      </c>
      <c r="B10" s="203">
        <f>B9/1000</f>
        <v>73.701669999999993</v>
      </c>
      <c r="C10" s="203">
        <f t="shared" ref="C10:M10" si="3">C9/1000+B10</f>
        <v>159.77799999999999</v>
      </c>
      <c r="D10" s="203">
        <f t="shared" si="3"/>
        <v>159.77799999999999</v>
      </c>
      <c r="E10" s="203">
        <f t="shared" si="3"/>
        <v>159.77799999999999</v>
      </c>
      <c r="F10" s="203">
        <f t="shared" si="3"/>
        <v>159.77799999999999</v>
      </c>
      <c r="G10" s="203">
        <f t="shared" si="3"/>
        <v>159.77799999999999</v>
      </c>
      <c r="H10" s="203">
        <f t="shared" si="3"/>
        <v>159.77799999999999</v>
      </c>
      <c r="I10" s="203">
        <f t="shared" si="3"/>
        <v>159.77799999999999</v>
      </c>
      <c r="J10" s="203">
        <f t="shared" si="3"/>
        <v>159.77799999999999</v>
      </c>
      <c r="K10" s="203">
        <f t="shared" si="3"/>
        <v>159.77799999999999</v>
      </c>
      <c r="L10" s="203">
        <f t="shared" si="3"/>
        <v>159.77799999999999</v>
      </c>
      <c r="M10" s="203">
        <f t="shared" si="3"/>
        <v>159.77799999999999</v>
      </c>
    </row>
    <row r="11" spans="1:13" ht="14.4" customHeight="1" x14ac:dyDescent="0.3">
      <c r="A11" s="198"/>
      <c r="B11" s="198" t="s">
        <v>92</v>
      </c>
      <c r="C11" s="198">
        <f ca="1">IF(MONTH(TODAY())=1,12,MONTH(TODAY())-1)</f>
        <v>2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1.6381405389964678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1.6381405389964678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4" customFormat="1" ht="18.600000000000001" customHeight="1" thickBot="1" x14ac:dyDescent="0.4">
      <c r="A1" s="339" t="s">
        <v>255</v>
      </c>
      <c r="B1" s="339"/>
      <c r="C1" s="339"/>
      <c r="D1" s="339"/>
      <c r="E1" s="339"/>
      <c r="F1" s="339"/>
      <c r="G1" s="339"/>
      <c r="H1" s="330"/>
      <c r="I1" s="330"/>
      <c r="J1" s="330"/>
      <c r="K1" s="330"/>
      <c r="L1" s="330"/>
      <c r="M1" s="330"/>
      <c r="N1" s="330"/>
      <c r="O1" s="330"/>
      <c r="P1" s="330"/>
      <c r="Q1" s="330"/>
    </row>
    <row r="2" spans="1:17" s="204" customFormat="1" ht="14.4" customHeight="1" thickBot="1" x14ac:dyDescent="0.3">
      <c r="A2" s="230" t="s">
        <v>253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40" t="s">
        <v>28</v>
      </c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138"/>
      <c r="Q3" s="140"/>
    </row>
    <row r="4" spans="1:17" ht="14.4" customHeight="1" x14ac:dyDescent="0.3">
      <c r="A4" s="77"/>
      <c r="B4" s="20">
        <v>2016</v>
      </c>
      <c r="C4" s="139" t="s">
        <v>29</v>
      </c>
      <c r="D4" s="129" t="s">
        <v>232</v>
      </c>
      <c r="E4" s="129" t="s">
        <v>233</v>
      </c>
      <c r="F4" s="129" t="s">
        <v>234</v>
      </c>
      <c r="G4" s="129" t="s">
        <v>235</v>
      </c>
      <c r="H4" s="129" t="s">
        <v>236</v>
      </c>
      <c r="I4" s="129" t="s">
        <v>237</v>
      </c>
      <c r="J4" s="129" t="s">
        <v>238</v>
      </c>
      <c r="K4" s="129" t="s">
        <v>239</v>
      </c>
      <c r="L4" s="129" t="s">
        <v>240</v>
      </c>
      <c r="M4" s="129" t="s">
        <v>241</v>
      </c>
      <c r="N4" s="129" t="s">
        <v>242</v>
      </c>
      <c r="O4" s="129" t="s">
        <v>243</v>
      </c>
      <c r="P4" s="342" t="s">
        <v>3</v>
      </c>
      <c r="Q4" s="343"/>
    </row>
    <row r="5" spans="1:17" ht="14.4" customHeight="1" thickBot="1" x14ac:dyDescent="0.35">
      <c r="A5" s="78"/>
      <c r="B5" s="21" t="s">
        <v>30</v>
      </c>
      <c r="C5" s="22" t="s">
        <v>30</v>
      </c>
      <c r="D5" s="22" t="s">
        <v>31</v>
      </c>
      <c r="E5" s="22" t="s">
        <v>31</v>
      </c>
      <c r="F5" s="22" t="s">
        <v>31</v>
      </c>
      <c r="G5" s="22" t="s">
        <v>31</v>
      </c>
      <c r="H5" s="22" t="s">
        <v>31</v>
      </c>
      <c r="I5" s="22" t="s">
        <v>31</v>
      </c>
      <c r="J5" s="22" t="s">
        <v>31</v>
      </c>
      <c r="K5" s="22" t="s">
        <v>31</v>
      </c>
      <c r="L5" s="22" t="s">
        <v>31</v>
      </c>
      <c r="M5" s="22" t="s">
        <v>31</v>
      </c>
      <c r="N5" s="22" t="s">
        <v>31</v>
      </c>
      <c r="O5" s="22" t="s">
        <v>31</v>
      </c>
      <c r="P5" s="22" t="s">
        <v>31</v>
      </c>
      <c r="Q5" s="23" t="s">
        <v>32</v>
      </c>
    </row>
    <row r="6" spans="1:17" ht="14.4" customHeight="1" x14ac:dyDescent="0.3">
      <c r="A6" s="14" t="s">
        <v>33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254</v>
      </c>
    </row>
    <row r="7" spans="1:17" ht="14.4" customHeight="1" x14ac:dyDescent="0.3">
      <c r="A7" s="15" t="s">
        <v>34</v>
      </c>
      <c r="B7" s="51">
        <v>0</v>
      </c>
      <c r="C7" s="52">
        <v>0</v>
      </c>
      <c r="D7" s="52">
        <v>0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0</v>
      </c>
      <c r="Q7" s="95" t="s">
        <v>254</v>
      </c>
    </row>
    <row r="8" spans="1:17" ht="14.4" customHeight="1" x14ac:dyDescent="0.3">
      <c r="A8" s="15" t="s">
        <v>35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254</v>
      </c>
    </row>
    <row r="9" spans="1:17" ht="14.4" customHeight="1" x14ac:dyDescent="0.3">
      <c r="A9" s="15" t="s">
        <v>36</v>
      </c>
      <c r="B9" s="51">
        <v>521.00014361660499</v>
      </c>
      <c r="C9" s="52">
        <v>43.416678634717002</v>
      </c>
      <c r="D9" s="52">
        <v>11.147690000000001</v>
      </c>
      <c r="E9" s="52">
        <v>48.916980000000002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60.06467</v>
      </c>
      <c r="Q9" s="95">
        <v>0.69172345615499997</v>
      </c>
    </row>
    <row r="10" spans="1:17" ht="14.4" customHeight="1" x14ac:dyDescent="0.3">
      <c r="A10" s="15" t="s">
        <v>37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254</v>
      </c>
    </row>
    <row r="11" spans="1:17" ht="14.4" customHeight="1" x14ac:dyDescent="0.3">
      <c r="A11" s="15" t="s">
        <v>38</v>
      </c>
      <c r="B11" s="51">
        <v>0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0</v>
      </c>
      <c r="Q11" s="95" t="s">
        <v>254</v>
      </c>
    </row>
    <row r="12" spans="1:17" ht="14.4" customHeight="1" x14ac:dyDescent="0.3">
      <c r="A12" s="15" t="s">
        <v>39</v>
      </c>
      <c r="B12" s="51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</v>
      </c>
      <c r="Q12" s="95" t="s">
        <v>254</v>
      </c>
    </row>
    <row r="13" spans="1:17" ht="14.4" customHeight="1" x14ac:dyDescent="0.3">
      <c r="A13" s="15" t="s">
        <v>40</v>
      </c>
      <c r="B13" s="51">
        <v>2.9800654744099999</v>
      </c>
      <c r="C13" s="52">
        <v>0.24833878953399999</v>
      </c>
      <c r="D13" s="52">
        <v>0.76607999999999998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0.76607999999999998</v>
      </c>
      <c r="Q13" s="95">
        <v>1.5424090643199999</v>
      </c>
    </row>
    <row r="14" spans="1:17" ht="14.4" customHeight="1" x14ac:dyDescent="0.3">
      <c r="A14" s="15" t="s">
        <v>41</v>
      </c>
      <c r="B14" s="51">
        <v>25.620322113086001</v>
      </c>
      <c r="C14" s="52">
        <v>2.1350268427570001</v>
      </c>
      <c r="D14" s="52">
        <v>3.9289999999999998</v>
      </c>
      <c r="E14" s="52">
        <v>3.0390000000000001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6.968</v>
      </c>
      <c r="Q14" s="95">
        <v>1.6318296005590001</v>
      </c>
    </row>
    <row r="15" spans="1:17" ht="14.4" customHeight="1" x14ac:dyDescent="0.3">
      <c r="A15" s="15" t="s">
        <v>42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254</v>
      </c>
    </row>
    <row r="16" spans="1:17" ht="14.4" customHeight="1" x14ac:dyDescent="0.3">
      <c r="A16" s="15" t="s">
        <v>43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254</v>
      </c>
    </row>
    <row r="17" spans="1:17" ht="14.4" customHeight="1" x14ac:dyDescent="0.3">
      <c r="A17" s="15" t="s">
        <v>44</v>
      </c>
      <c r="B17" s="51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0</v>
      </c>
      <c r="Q17" s="95" t="s">
        <v>254</v>
      </c>
    </row>
    <row r="18" spans="1:17" ht="14.4" customHeight="1" x14ac:dyDescent="0.3">
      <c r="A18" s="15" t="s">
        <v>45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0</v>
      </c>
      <c r="Q18" s="95" t="s">
        <v>254</v>
      </c>
    </row>
    <row r="19" spans="1:17" ht="14.4" customHeight="1" x14ac:dyDescent="0.3">
      <c r="A19" s="15" t="s">
        <v>46</v>
      </c>
      <c r="B19" s="51">
        <v>4.256710223921</v>
      </c>
      <c r="C19" s="52">
        <v>0.354725851993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0</v>
      </c>
      <c r="Q19" s="95">
        <v>0</v>
      </c>
    </row>
    <row r="20" spans="1:17" ht="14.4" customHeight="1" x14ac:dyDescent="0.3">
      <c r="A20" s="15" t="s">
        <v>47</v>
      </c>
      <c r="B20" s="51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0</v>
      </c>
      <c r="Q20" s="95" t="s">
        <v>254</v>
      </c>
    </row>
    <row r="21" spans="1:17" ht="14.4" customHeight="1" x14ac:dyDescent="0.3">
      <c r="A21" s="16" t="s">
        <v>48</v>
      </c>
      <c r="B21" s="51">
        <v>0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0</v>
      </c>
      <c r="Q21" s="95" t="s">
        <v>254</v>
      </c>
    </row>
    <row r="22" spans="1:17" ht="14.4" customHeight="1" x14ac:dyDescent="0.3">
      <c r="A22" s="15" t="s">
        <v>49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95" t="s">
        <v>254</v>
      </c>
    </row>
    <row r="23" spans="1:17" ht="14.4" customHeight="1" x14ac:dyDescent="0.3">
      <c r="A23" s="16" t="s">
        <v>50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254</v>
      </c>
    </row>
    <row r="24" spans="1:17" ht="14.4" customHeight="1" x14ac:dyDescent="0.3">
      <c r="A24" s="16" t="s">
        <v>51</v>
      </c>
      <c r="B24" s="51">
        <v>0</v>
      </c>
      <c r="C24" s="52">
        <v>0</v>
      </c>
      <c r="D24" s="52">
        <v>-1.7763568394002501E-15</v>
      </c>
      <c r="E24" s="52">
        <v>1.2999999899999999E-4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1.2999999899999999E-4</v>
      </c>
      <c r="Q24" s="95" t="s">
        <v>254</v>
      </c>
    </row>
    <row r="25" spans="1:17" ht="14.4" customHeight="1" x14ac:dyDescent="0.3">
      <c r="A25" s="17" t="s">
        <v>52</v>
      </c>
      <c r="B25" s="54">
        <v>553.85724142802405</v>
      </c>
      <c r="C25" s="55">
        <v>46.154770119002002</v>
      </c>
      <c r="D25" s="55">
        <v>15.84277</v>
      </c>
      <c r="E25" s="55">
        <v>51.956110000000002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67.798879999999997</v>
      </c>
      <c r="Q25" s="96">
        <v>0.73447316306800003</v>
      </c>
    </row>
    <row r="26" spans="1:17" ht="14.4" customHeight="1" x14ac:dyDescent="0.3">
      <c r="A26" s="15" t="s">
        <v>53</v>
      </c>
      <c r="B26" s="51">
        <v>0</v>
      </c>
      <c r="C26" s="52">
        <v>0</v>
      </c>
      <c r="D26" s="52">
        <v>0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0</v>
      </c>
      <c r="Q26" s="95" t="s">
        <v>254</v>
      </c>
    </row>
    <row r="27" spans="1:17" ht="14.4" customHeight="1" x14ac:dyDescent="0.3">
      <c r="A27" s="18" t="s">
        <v>54</v>
      </c>
      <c r="B27" s="54">
        <v>553.85724142802405</v>
      </c>
      <c r="C27" s="55">
        <v>46.154770119002002</v>
      </c>
      <c r="D27" s="55">
        <v>15.84277</v>
      </c>
      <c r="E27" s="55">
        <v>51.956110000000002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67.798879999999997</v>
      </c>
      <c r="Q27" s="96">
        <v>0.73447316306800003</v>
      </c>
    </row>
    <row r="28" spans="1:17" ht="14.4" customHeight="1" x14ac:dyDescent="0.3">
      <c r="A28" s="16" t="s">
        <v>55</v>
      </c>
      <c r="B28" s="51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95">
        <v>12.5</v>
      </c>
    </row>
    <row r="29" spans="1:17" ht="14.4" customHeight="1" x14ac:dyDescent="0.3">
      <c r="A29" s="16" t="s">
        <v>56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254</v>
      </c>
    </row>
    <row r="30" spans="1:17" ht="14.4" customHeight="1" x14ac:dyDescent="0.3">
      <c r="A30" s="16" t="s">
        <v>57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10</v>
      </c>
    </row>
    <row r="31" spans="1:17" ht="14.4" customHeight="1" thickBot="1" x14ac:dyDescent="0.35">
      <c r="A31" s="19" t="s">
        <v>58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254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152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244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59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6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39" t="s">
        <v>60</v>
      </c>
      <c r="B1" s="339"/>
      <c r="C1" s="339"/>
      <c r="D1" s="339"/>
      <c r="E1" s="339"/>
      <c r="F1" s="339"/>
      <c r="G1" s="339"/>
      <c r="H1" s="344"/>
      <c r="I1" s="344"/>
      <c r="J1" s="344"/>
      <c r="K1" s="344"/>
    </row>
    <row r="2" spans="1:11" s="60" customFormat="1" ht="14.4" customHeight="1" thickBot="1" x14ac:dyDescent="0.35">
      <c r="A2" s="230" t="s">
        <v>253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40" t="s">
        <v>61</v>
      </c>
      <c r="C3" s="341"/>
      <c r="D3" s="341"/>
      <c r="E3" s="341"/>
      <c r="F3" s="347" t="s">
        <v>62</v>
      </c>
      <c r="G3" s="341"/>
      <c r="H3" s="341"/>
      <c r="I3" s="341"/>
      <c r="J3" s="341"/>
      <c r="K3" s="348"/>
    </row>
    <row r="4" spans="1:11" ht="14.4" customHeight="1" x14ac:dyDescent="0.3">
      <c r="A4" s="77"/>
      <c r="B4" s="345"/>
      <c r="C4" s="346"/>
      <c r="D4" s="346"/>
      <c r="E4" s="346"/>
      <c r="F4" s="349" t="s">
        <v>249</v>
      </c>
      <c r="G4" s="351" t="s">
        <v>63</v>
      </c>
      <c r="H4" s="141" t="s">
        <v>136</v>
      </c>
      <c r="I4" s="349" t="s">
        <v>64</v>
      </c>
      <c r="J4" s="351" t="s">
        <v>216</v>
      </c>
      <c r="K4" s="352" t="s">
        <v>251</v>
      </c>
    </row>
    <row r="5" spans="1:11" ht="42" thickBot="1" x14ac:dyDescent="0.35">
      <c r="A5" s="78"/>
      <c r="B5" s="24" t="s">
        <v>245</v>
      </c>
      <c r="C5" s="25" t="s">
        <v>246</v>
      </c>
      <c r="D5" s="26" t="s">
        <v>247</v>
      </c>
      <c r="E5" s="26" t="s">
        <v>248</v>
      </c>
      <c r="F5" s="350"/>
      <c r="G5" s="350"/>
      <c r="H5" s="25" t="s">
        <v>250</v>
      </c>
      <c r="I5" s="350"/>
      <c r="J5" s="350"/>
      <c r="K5" s="353"/>
    </row>
    <row r="6" spans="1:11" ht="14.4" customHeight="1" thickBot="1" x14ac:dyDescent="0.35">
      <c r="A6" s="456" t="s">
        <v>256</v>
      </c>
      <c r="B6" s="438">
        <v>546.245836855785</v>
      </c>
      <c r="C6" s="438">
        <v>533.01206999999999</v>
      </c>
      <c r="D6" s="439">
        <v>-13.233766855783999</v>
      </c>
      <c r="E6" s="440">
        <v>0.97577323987999998</v>
      </c>
      <c r="F6" s="438">
        <v>553.85724142802405</v>
      </c>
      <c r="G6" s="439">
        <v>92.309540238004004</v>
      </c>
      <c r="H6" s="441">
        <v>51.956110000000002</v>
      </c>
      <c r="I6" s="438">
        <v>67.798879999999997</v>
      </c>
      <c r="J6" s="439">
        <v>-24.510660238004</v>
      </c>
      <c r="K6" s="442">
        <v>0.122412193844</v>
      </c>
    </row>
    <row r="7" spans="1:11" ht="14.4" customHeight="1" thickBot="1" x14ac:dyDescent="0.35">
      <c r="A7" s="457" t="s">
        <v>257</v>
      </c>
      <c r="B7" s="438">
        <v>543.99998636154896</v>
      </c>
      <c r="C7" s="438">
        <v>528.48634000000004</v>
      </c>
      <c r="D7" s="439">
        <v>-15.513646361549</v>
      </c>
      <c r="E7" s="440">
        <v>0.97148226700200002</v>
      </c>
      <c r="F7" s="438">
        <v>549.60053120410203</v>
      </c>
      <c r="G7" s="439">
        <v>91.600088534017004</v>
      </c>
      <c r="H7" s="441">
        <v>51.956110000000002</v>
      </c>
      <c r="I7" s="438">
        <v>67.798879999999997</v>
      </c>
      <c r="J7" s="439">
        <v>-23.801208534017</v>
      </c>
      <c r="K7" s="442">
        <v>0.123360288337</v>
      </c>
    </row>
    <row r="8" spans="1:11" ht="14.4" customHeight="1" thickBot="1" x14ac:dyDescent="0.35">
      <c r="A8" s="458" t="s">
        <v>258</v>
      </c>
      <c r="B8" s="438">
        <v>525.99998692850602</v>
      </c>
      <c r="C8" s="438">
        <v>513.58133999999995</v>
      </c>
      <c r="D8" s="439">
        <v>-12.418646928505</v>
      </c>
      <c r="E8" s="440">
        <v>0.97639040449199999</v>
      </c>
      <c r="F8" s="438">
        <v>523.98020909101604</v>
      </c>
      <c r="G8" s="439">
        <v>87.330034848501995</v>
      </c>
      <c r="H8" s="441">
        <v>48.917110000000001</v>
      </c>
      <c r="I8" s="438">
        <v>60.830880000000001</v>
      </c>
      <c r="J8" s="439">
        <v>-26.499154848501998</v>
      </c>
      <c r="K8" s="442">
        <v>0.116093850387</v>
      </c>
    </row>
    <row r="9" spans="1:11" ht="14.4" customHeight="1" thickBot="1" x14ac:dyDescent="0.35">
      <c r="A9" s="459" t="s">
        <v>259</v>
      </c>
      <c r="B9" s="443">
        <v>0</v>
      </c>
      <c r="C9" s="443">
        <v>8.0000000000000004E-4</v>
      </c>
      <c r="D9" s="444">
        <v>8.0000000000000004E-4</v>
      </c>
      <c r="E9" s="445" t="s">
        <v>254</v>
      </c>
      <c r="F9" s="443">
        <v>0</v>
      </c>
      <c r="G9" s="444">
        <v>0</v>
      </c>
      <c r="H9" s="446">
        <v>1.2999999999999999E-4</v>
      </c>
      <c r="I9" s="443">
        <v>1.2999999999999999E-4</v>
      </c>
      <c r="J9" s="444">
        <v>1.2999999999999999E-4</v>
      </c>
      <c r="K9" s="447" t="s">
        <v>254</v>
      </c>
    </row>
    <row r="10" spans="1:11" ht="14.4" customHeight="1" thickBot="1" x14ac:dyDescent="0.35">
      <c r="A10" s="460" t="s">
        <v>260</v>
      </c>
      <c r="B10" s="438">
        <v>0</v>
      </c>
      <c r="C10" s="438">
        <v>8.0000000000000004E-4</v>
      </c>
      <c r="D10" s="439">
        <v>8.0000000000000004E-4</v>
      </c>
      <c r="E10" s="448" t="s">
        <v>254</v>
      </c>
      <c r="F10" s="438">
        <v>0</v>
      </c>
      <c r="G10" s="439">
        <v>0</v>
      </c>
      <c r="H10" s="441">
        <v>1.2999999999999999E-4</v>
      </c>
      <c r="I10" s="438">
        <v>1.2999999999999999E-4</v>
      </c>
      <c r="J10" s="439">
        <v>1.2999999999999999E-4</v>
      </c>
      <c r="K10" s="449" t="s">
        <v>254</v>
      </c>
    </row>
    <row r="11" spans="1:11" ht="14.4" customHeight="1" thickBot="1" x14ac:dyDescent="0.35">
      <c r="A11" s="459" t="s">
        <v>261</v>
      </c>
      <c r="B11" s="443">
        <v>520.99998708599401</v>
      </c>
      <c r="C11" s="443">
        <v>493.70157</v>
      </c>
      <c r="D11" s="444">
        <v>-27.298417085993002</v>
      </c>
      <c r="E11" s="450">
        <v>0.94760380467799998</v>
      </c>
      <c r="F11" s="443">
        <v>521.00014361660499</v>
      </c>
      <c r="G11" s="444">
        <v>86.833357269434003</v>
      </c>
      <c r="H11" s="446">
        <v>48.916980000000002</v>
      </c>
      <c r="I11" s="443">
        <v>60.06467</v>
      </c>
      <c r="J11" s="444">
        <v>-26.768687269434</v>
      </c>
      <c r="K11" s="451">
        <v>0.115287242692</v>
      </c>
    </row>
    <row r="12" spans="1:11" ht="14.4" customHeight="1" thickBot="1" x14ac:dyDescent="0.35">
      <c r="A12" s="460" t="s">
        <v>262</v>
      </c>
      <c r="B12" s="438">
        <v>27.999999338550001</v>
      </c>
      <c r="C12" s="438">
        <v>31.560690000000001</v>
      </c>
      <c r="D12" s="439">
        <v>3.5606906614490001</v>
      </c>
      <c r="E12" s="440">
        <v>1.127167526627</v>
      </c>
      <c r="F12" s="438">
        <v>30.000008269670001</v>
      </c>
      <c r="G12" s="439">
        <v>5.0000013782780002</v>
      </c>
      <c r="H12" s="441">
        <v>3.5360200000000002</v>
      </c>
      <c r="I12" s="438">
        <v>6.7688100000000002</v>
      </c>
      <c r="J12" s="439">
        <v>1.768808621721</v>
      </c>
      <c r="K12" s="442">
        <v>0.22562693780400001</v>
      </c>
    </row>
    <row r="13" spans="1:11" ht="14.4" customHeight="1" thickBot="1" x14ac:dyDescent="0.35">
      <c r="A13" s="460" t="s">
        <v>263</v>
      </c>
      <c r="B13" s="438">
        <v>366.99999083420499</v>
      </c>
      <c r="C13" s="438">
        <v>352.00574</v>
      </c>
      <c r="D13" s="439">
        <v>-14.994250834204999</v>
      </c>
      <c r="E13" s="440">
        <v>0.95914372967600003</v>
      </c>
      <c r="F13" s="438">
        <v>370.00010199259799</v>
      </c>
      <c r="G13" s="439">
        <v>61.666683665432998</v>
      </c>
      <c r="H13" s="441">
        <v>40.73912</v>
      </c>
      <c r="I13" s="438">
        <v>45.58502</v>
      </c>
      <c r="J13" s="439">
        <v>-16.081663665432998</v>
      </c>
      <c r="K13" s="442">
        <v>0.123202722795</v>
      </c>
    </row>
    <row r="14" spans="1:11" ht="14.4" customHeight="1" thickBot="1" x14ac:dyDescent="0.35">
      <c r="A14" s="460" t="s">
        <v>264</v>
      </c>
      <c r="B14" s="438">
        <v>68.999998456618002</v>
      </c>
      <c r="C14" s="438">
        <v>72.178079999999994</v>
      </c>
      <c r="D14" s="439">
        <v>3.1780815433809999</v>
      </c>
      <c r="E14" s="440">
        <v>1.0460591538320001</v>
      </c>
      <c r="F14" s="438">
        <v>70.000019295897005</v>
      </c>
      <c r="G14" s="439">
        <v>11.666669882649</v>
      </c>
      <c r="H14" s="441">
        <v>1.0621</v>
      </c>
      <c r="I14" s="438">
        <v>2.0425</v>
      </c>
      <c r="J14" s="439">
        <v>-9.6241698826489994</v>
      </c>
      <c r="K14" s="442">
        <v>2.9178563384999998E-2</v>
      </c>
    </row>
    <row r="15" spans="1:11" ht="14.4" customHeight="1" thickBot="1" x14ac:dyDescent="0.35">
      <c r="A15" s="460" t="s">
        <v>265</v>
      </c>
      <c r="B15" s="438">
        <v>18.999999496038001</v>
      </c>
      <c r="C15" s="438">
        <v>11.543290000000001</v>
      </c>
      <c r="D15" s="439">
        <v>-7.456709496038</v>
      </c>
      <c r="E15" s="440">
        <v>0.60754159506100003</v>
      </c>
      <c r="F15" s="438">
        <v>17.000004686145999</v>
      </c>
      <c r="G15" s="439">
        <v>2.8333341143570001</v>
      </c>
      <c r="H15" s="441">
        <v>1.6507000000000001</v>
      </c>
      <c r="I15" s="438">
        <v>1.9387000000000001</v>
      </c>
      <c r="J15" s="439">
        <v>-0.89463411435700002</v>
      </c>
      <c r="K15" s="442">
        <v>0.11404114503399999</v>
      </c>
    </row>
    <row r="16" spans="1:11" ht="14.4" customHeight="1" thickBot="1" x14ac:dyDescent="0.35">
      <c r="A16" s="460" t="s">
        <v>266</v>
      </c>
      <c r="B16" s="438">
        <v>18.999999559033</v>
      </c>
      <c r="C16" s="438">
        <v>12.526</v>
      </c>
      <c r="D16" s="439">
        <v>-6.4739995590330004</v>
      </c>
      <c r="E16" s="440">
        <v>0.65926317319500005</v>
      </c>
      <c r="F16" s="438">
        <v>15.000004134835001</v>
      </c>
      <c r="G16" s="439">
        <v>2.5000006891390001</v>
      </c>
      <c r="H16" s="441">
        <v>1.9290400000000001</v>
      </c>
      <c r="I16" s="438">
        <v>3.7296399999999998</v>
      </c>
      <c r="J16" s="439">
        <v>1.2296393108599999</v>
      </c>
      <c r="K16" s="442">
        <v>0.24864259812600001</v>
      </c>
    </row>
    <row r="17" spans="1:11" ht="14.4" customHeight="1" thickBot="1" x14ac:dyDescent="0.35">
      <c r="A17" s="460" t="s">
        <v>267</v>
      </c>
      <c r="B17" s="438">
        <v>18.999999401545999</v>
      </c>
      <c r="C17" s="438">
        <v>13.88777</v>
      </c>
      <c r="D17" s="439">
        <v>-5.1122294015460001</v>
      </c>
      <c r="E17" s="440">
        <v>0.73093528618000003</v>
      </c>
      <c r="F17" s="438">
        <v>19.000005237457</v>
      </c>
      <c r="G17" s="439">
        <v>3.1666675395759998</v>
      </c>
      <c r="H17" s="441">
        <v>0</v>
      </c>
      <c r="I17" s="438">
        <v>0</v>
      </c>
      <c r="J17" s="439">
        <v>-3.1666675395759998</v>
      </c>
      <c r="K17" s="442">
        <v>0</v>
      </c>
    </row>
    <row r="18" spans="1:11" ht="14.4" customHeight="1" thickBot="1" x14ac:dyDescent="0.35">
      <c r="A18" s="459" t="s">
        <v>268</v>
      </c>
      <c r="B18" s="443">
        <v>4.9999998425119996</v>
      </c>
      <c r="C18" s="443">
        <v>3.2789700000000002</v>
      </c>
      <c r="D18" s="444">
        <v>-1.7210298425120001</v>
      </c>
      <c r="E18" s="450">
        <v>0.65579402065500003</v>
      </c>
      <c r="F18" s="443">
        <v>2.9800654744099999</v>
      </c>
      <c r="G18" s="444">
        <v>0.49667757906799997</v>
      </c>
      <c r="H18" s="446">
        <v>0</v>
      </c>
      <c r="I18" s="443">
        <v>0.76607999999999998</v>
      </c>
      <c r="J18" s="444">
        <v>0.26940242093099998</v>
      </c>
      <c r="K18" s="451">
        <v>0.25706817738600002</v>
      </c>
    </row>
    <row r="19" spans="1:11" ht="14.4" customHeight="1" thickBot="1" x14ac:dyDescent="0.35">
      <c r="A19" s="460" t="s">
        <v>269</v>
      </c>
      <c r="B19" s="438">
        <v>4.9999998425119996</v>
      </c>
      <c r="C19" s="438">
        <v>3.2789700000000002</v>
      </c>
      <c r="D19" s="439">
        <v>-1.7210298425120001</v>
      </c>
      <c r="E19" s="440">
        <v>0.65579402065500003</v>
      </c>
      <c r="F19" s="438">
        <v>2.9800654744099999</v>
      </c>
      <c r="G19" s="439">
        <v>0.49667757906799997</v>
      </c>
      <c r="H19" s="441">
        <v>0</v>
      </c>
      <c r="I19" s="438">
        <v>0.76607999999999998</v>
      </c>
      <c r="J19" s="439">
        <v>0.26940242093099998</v>
      </c>
      <c r="K19" s="442">
        <v>0.25706817738600002</v>
      </c>
    </row>
    <row r="20" spans="1:11" ht="14.4" customHeight="1" thickBot="1" x14ac:dyDescent="0.35">
      <c r="A20" s="459" t="s">
        <v>270</v>
      </c>
      <c r="B20" s="443">
        <v>0</v>
      </c>
      <c r="C20" s="443">
        <v>16.600000000000001</v>
      </c>
      <c r="D20" s="444">
        <v>16.600000000000001</v>
      </c>
      <c r="E20" s="445" t="s">
        <v>271</v>
      </c>
      <c r="F20" s="443">
        <v>0</v>
      </c>
      <c r="G20" s="444">
        <v>0</v>
      </c>
      <c r="H20" s="446">
        <v>0</v>
      </c>
      <c r="I20" s="443">
        <v>0</v>
      </c>
      <c r="J20" s="444">
        <v>0</v>
      </c>
      <c r="K20" s="447" t="s">
        <v>254</v>
      </c>
    </row>
    <row r="21" spans="1:11" ht="14.4" customHeight="1" thickBot="1" x14ac:dyDescent="0.35">
      <c r="A21" s="460" t="s">
        <v>272</v>
      </c>
      <c r="B21" s="438">
        <v>0</v>
      </c>
      <c r="C21" s="438">
        <v>16.600000000000001</v>
      </c>
      <c r="D21" s="439">
        <v>16.600000000000001</v>
      </c>
      <c r="E21" s="448" t="s">
        <v>271</v>
      </c>
      <c r="F21" s="438">
        <v>0</v>
      </c>
      <c r="G21" s="439">
        <v>0</v>
      </c>
      <c r="H21" s="441">
        <v>0</v>
      </c>
      <c r="I21" s="438">
        <v>0</v>
      </c>
      <c r="J21" s="439">
        <v>0</v>
      </c>
      <c r="K21" s="449" t="s">
        <v>254</v>
      </c>
    </row>
    <row r="22" spans="1:11" ht="14.4" customHeight="1" thickBot="1" x14ac:dyDescent="0.35">
      <c r="A22" s="458" t="s">
        <v>41</v>
      </c>
      <c r="B22" s="438">
        <v>17.999999433043001</v>
      </c>
      <c r="C22" s="438">
        <v>14.904999999999999</v>
      </c>
      <c r="D22" s="439">
        <v>-3.0949994330430002</v>
      </c>
      <c r="E22" s="440">
        <v>0.82805558163699999</v>
      </c>
      <c r="F22" s="438">
        <v>25.620322113086001</v>
      </c>
      <c r="G22" s="439">
        <v>4.2700536855140001</v>
      </c>
      <c r="H22" s="441">
        <v>3.0390000000000001</v>
      </c>
      <c r="I22" s="438">
        <v>6.968</v>
      </c>
      <c r="J22" s="439">
        <v>2.6979463144850002</v>
      </c>
      <c r="K22" s="442">
        <v>0.27197160009299998</v>
      </c>
    </row>
    <row r="23" spans="1:11" ht="14.4" customHeight="1" thickBot="1" x14ac:dyDescent="0.35">
      <c r="A23" s="459" t="s">
        <v>273</v>
      </c>
      <c r="B23" s="443">
        <v>17.999999433043001</v>
      </c>
      <c r="C23" s="443">
        <v>14.904999999999999</v>
      </c>
      <c r="D23" s="444">
        <v>-3.0949994330430002</v>
      </c>
      <c r="E23" s="450">
        <v>0.82805558163699999</v>
      </c>
      <c r="F23" s="443">
        <v>25.620322113086001</v>
      </c>
      <c r="G23" s="444">
        <v>4.2700536855140001</v>
      </c>
      <c r="H23" s="446">
        <v>3.0390000000000001</v>
      </c>
      <c r="I23" s="443">
        <v>6.968</v>
      </c>
      <c r="J23" s="444">
        <v>2.6979463144850002</v>
      </c>
      <c r="K23" s="451">
        <v>0.27197160009299998</v>
      </c>
    </row>
    <row r="24" spans="1:11" ht="14.4" customHeight="1" thickBot="1" x14ac:dyDescent="0.35">
      <c r="A24" s="460" t="s">
        <v>274</v>
      </c>
      <c r="B24" s="438">
        <v>0</v>
      </c>
      <c r="C24" s="438">
        <v>0</v>
      </c>
      <c r="D24" s="439">
        <v>0</v>
      </c>
      <c r="E24" s="440">
        <v>1</v>
      </c>
      <c r="F24" s="438">
        <v>11.000003032212</v>
      </c>
      <c r="G24" s="439">
        <v>1.833333838702</v>
      </c>
      <c r="H24" s="441">
        <v>0.79500000000000004</v>
      </c>
      <c r="I24" s="438">
        <v>1.6870000000000001</v>
      </c>
      <c r="J24" s="439">
        <v>-0.14633383870200001</v>
      </c>
      <c r="K24" s="442">
        <v>0.15336359408799999</v>
      </c>
    </row>
    <row r="25" spans="1:11" ht="14.4" customHeight="1" thickBot="1" x14ac:dyDescent="0.35">
      <c r="A25" s="460" t="s">
        <v>275</v>
      </c>
      <c r="B25" s="438">
        <v>17.999999433043001</v>
      </c>
      <c r="C25" s="438">
        <v>14.904999999999999</v>
      </c>
      <c r="D25" s="439">
        <v>-3.0949994330430002</v>
      </c>
      <c r="E25" s="440">
        <v>0.82805558163699999</v>
      </c>
      <c r="F25" s="438">
        <v>14.620319080873999</v>
      </c>
      <c r="G25" s="439">
        <v>2.4367198468120002</v>
      </c>
      <c r="H25" s="441">
        <v>2.2440000000000002</v>
      </c>
      <c r="I25" s="438">
        <v>5.2809999999999997</v>
      </c>
      <c r="J25" s="439">
        <v>2.8442801531869999</v>
      </c>
      <c r="K25" s="442">
        <v>0.36120962687500002</v>
      </c>
    </row>
    <row r="26" spans="1:11" ht="14.4" customHeight="1" thickBot="1" x14ac:dyDescent="0.35">
      <c r="A26" s="461" t="s">
        <v>276</v>
      </c>
      <c r="B26" s="443">
        <v>2.2458504942349999</v>
      </c>
      <c r="C26" s="443">
        <v>4.5257300000000003</v>
      </c>
      <c r="D26" s="444">
        <v>2.2798795057639998</v>
      </c>
      <c r="E26" s="450">
        <v>2.0151519487230001</v>
      </c>
      <c r="F26" s="443">
        <v>4.256710223921</v>
      </c>
      <c r="G26" s="444">
        <v>0.70945170398599999</v>
      </c>
      <c r="H26" s="446">
        <v>0</v>
      </c>
      <c r="I26" s="443">
        <v>0</v>
      </c>
      <c r="J26" s="444">
        <v>-0.70945170398599999</v>
      </c>
      <c r="K26" s="451">
        <v>0</v>
      </c>
    </row>
    <row r="27" spans="1:11" ht="14.4" customHeight="1" thickBot="1" x14ac:dyDescent="0.35">
      <c r="A27" s="458" t="s">
        <v>46</v>
      </c>
      <c r="B27" s="438">
        <v>2.2458504942349999</v>
      </c>
      <c r="C27" s="438">
        <v>4.5257300000000003</v>
      </c>
      <c r="D27" s="439">
        <v>2.2798795057639998</v>
      </c>
      <c r="E27" s="440">
        <v>2.0151519487230001</v>
      </c>
      <c r="F27" s="438">
        <v>4.256710223921</v>
      </c>
      <c r="G27" s="439">
        <v>0.70945170398599999</v>
      </c>
      <c r="H27" s="441">
        <v>0</v>
      </c>
      <c r="I27" s="438">
        <v>0</v>
      </c>
      <c r="J27" s="439">
        <v>-0.70945170398599999</v>
      </c>
      <c r="K27" s="442">
        <v>0</v>
      </c>
    </row>
    <row r="28" spans="1:11" ht="14.4" customHeight="1" thickBot="1" x14ac:dyDescent="0.35">
      <c r="A28" s="459" t="s">
        <v>277</v>
      </c>
      <c r="B28" s="443">
        <v>0.20973774570699999</v>
      </c>
      <c r="C28" s="443">
        <v>0</v>
      </c>
      <c r="D28" s="444">
        <v>-0.20973774570699999</v>
      </c>
      <c r="E28" s="450">
        <v>0</v>
      </c>
      <c r="F28" s="443">
        <v>0</v>
      </c>
      <c r="G28" s="444">
        <v>0</v>
      </c>
      <c r="H28" s="446">
        <v>0</v>
      </c>
      <c r="I28" s="443">
        <v>0</v>
      </c>
      <c r="J28" s="444">
        <v>0</v>
      </c>
      <c r="K28" s="451">
        <v>2</v>
      </c>
    </row>
    <row r="29" spans="1:11" ht="14.4" customHeight="1" thickBot="1" x14ac:dyDescent="0.35">
      <c r="A29" s="460" t="s">
        <v>278</v>
      </c>
      <c r="B29" s="438">
        <v>0.20973774570699999</v>
      </c>
      <c r="C29" s="438">
        <v>0</v>
      </c>
      <c r="D29" s="439">
        <v>-0.20973774570699999</v>
      </c>
      <c r="E29" s="440">
        <v>0</v>
      </c>
      <c r="F29" s="438">
        <v>0</v>
      </c>
      <c r="G29" s="439">
        <v>0</v>
      </c>
      <c r="H29" s="441">
        <v>0</v>
      </c>
      <c r="I29" s="438">
        <v>0</v>
      </c>
      <c r="J29" s="439">
        <v>0</v>
      </c>
      <c r="K29" s="442">
        <v>2</v>
      </c>
    </row>
    <row r="30" spans="1:11" ht="14.4" customHeight="1" thickBot="1" x14ac:dyDescent="0.35">
      <c r="A30" s="459" t="s">
        <v>279</v>
      </c>
      <c r="B30" s="443">
        <v>2.0361127485280002</v>
      </c>
      <c r="C30" s="443">
        <v>4.5257300000000003</v>
      </c>
      <c r="D30" s="444">
        <v>2.489617251471</v>
      </c>
      <c r="E30" s="450">
        <v>2.222730545383</v>
      </c>
      <c r="F30" s="443">
        <v>4.256710223921</v>
      </c>
      <c r="G30" s="444">
        <v>0.70945170398599999</v>
      </c>
      <c r="H30" s="446">
        <v>0</v>
      </c>
      <c r="I30" s="443">
        <v>0</v>
      </c>
      <c r="J30" s="444">
        <v>-0.70945170398599999</v>
      </c>
      <c r="K30" s="451">
        <v>0</v>
      </c>
    </row>
    <row r="31" spans="1:11" ht="14.4" customHeight="1" thickBot="1" x14ac:dyDescent="0.35">
      <c r="A31" s="460" t="s">
        <v>280</v>
      </c>
      <c r="B31" s="438">
        <v>2.0361127485280002</v>
      </c>
      <c r="C31" s="438">
        <v>4.5257300000000003</v>
      </c>
      <c r="D31" s="439">
        <v>2.489617251471</v>
      </c>
      <c r="E31" s="440">
        <v>2.222730545383</v>
      </c>
      <c r="F31" s="438">
        <v>4.256710223921</v>
      </c>
      <c r="G31" s="439">
        <v>0.70945170398599999</v>
      </c>
      <c r="H31" s="441">
        <v>0</v>
      </c>
      <c r="I31" s="438">
        <v>0</v>
      </c>
      <c r="J31" s="439">
        <v>-0.70945170398599999</v>
      </c>
      <c r="K31" s="442">
        <v>0</v>
      </c>
    </row>
    <row r="32" spans="1:11" ht="14.4" customHeight="1" thickBot="1" x14ac:dyDescent="0.35">
      <c r="A32" s="456" t="s">
        <v>281</v>
      </c>
      <c r="B32" s="438">
        <v>1433</v>
      </c>
      <c r="C32" s="438">
        <v>1233.4684199999999</v>
      </c>
      <c r="D32" s="439">
        <v>-199.53157999999999</v>
      </c>
      <c r="E32" s="440">
        <v>0.86075953942700001</v>
      </c>
      <c r="F32" s="438">
        <v>1323.70863475077</v>
      </c>
      <c r="G32" s="439">
        <v>220.61810579179399</v>
      </c>
      <c r="H32" s="441">
        <v>73.426689999999994</v>
      </c>
      <c r="I32" s="438">
        <v>150.36236</v>
      </c>
      <c r="J32" s="439">
        <v>-70.255745791793998</v>
      </c>
      <c r="K32" s="442">
        <v>0.113591734655</v>
      </c>
    </row>
    <row r="33" spans="1:11" ht="14.4" customHeight="1" thickBot="1" x14ac:dyDescent="0.35">
      <c r="A33" s="457" t="s">
        <v>282</v>
      </c>
      <c r="B33" s="438">
        <v>1433</v>
      </c>
      <c r="C33" s="438">
        <v>1216.86842</v>
      </c>
      <c r="D33" s="439">
        <v>-216.13158000000001</v>
      </c>
      <c r="E33" s="440">
        <v>0.84917545010399997</v>
      </c>
      <c r="F33" s="438">
        <v>1323.70863475077</v>
      </c>
      <c r="G33" s="439">
        <v>220.61810579179399</v>
      </c>
      <c r="H33" s="441">
        <v>73.426689999999994</v>
      </c>
      <c r="I33" s="438">
        <v>150.36236</v>
      </c>
      <c r="J33" s="439">
        <v>-70.255745791793998</v>
      </c>
      <c r="K33" s="442">
        <v>0.113591734655</v>
      </c>
    </row>
    <row r="34" spans="1:11" ht="14.4" customHeight="1" thickBot="1" x14ac:dyDescent="0.35">
      <c r="A34" s="458" t="s">
        <v>283</v>
      </c>
      <c r="B34" s="438">
        <v>1433</v>
      </c>
      <c r="C34" s="438">
        <v>1216.86842</v>
      </c>
      <c r="D34" s="439">
        <v>-216.13158000000001</v>
      </c>
      <c r="E34" s="440">
        <v>0.84917545010399997</v>
      </c>
      <c r="F34" s="438">
        <v>1323.70863475077</v>
      </c>
      <c r="G34" s="439">
        <v>220.61810579179399</v>
      </c>
      <c r="H34" s="441">
        <v>73.426689999999994</v>
      </c>
      <c r="I34" s="438">
        <v>150.36236</v>
      </c>
      <c r="J34" s="439">
        <v>-70.255745791793998</v>
      </c>
      <c r="K34" s="442">
        <v>0.113591734655</v>
      </c>
    </row>
    <row r="35" spans="1:11" ht="14.4" customHeight="1" thickBot="1" x14ac:dyDescent="0.35">
      <c r="A35" s="459" t="s">
        <v>284</v>
      </c>
      <c r="B35" s="443">
        <v>2</v>
      </c>
      <c r="C35" s="443">
        <v>1.7059599999999999</v>
      </c>
      <c r="D35" s="444">
        <v>-0.29404000000000002</v>
      </c>
      <c r="E35" s="450">
        <v>0.85297999999999996</v>
      </c>
      <c r="F35" s="443">
        <v>1.7085021955999999</v>
      </c>
      <c r="G35" s="444">
        <v>0.28475036593300002</v>
      </c>
      <c r="H35" s="446">
        <v>0</v>
      </c>
      <c r="I35" s="443">
        <v>0</v>
      </c>
      <c r="J35" s="444">
        <v>-0.28475036593300002</v>
      </c>
      <c r="K35" s="451">
        <v>0</v>
      </c>
    </row>
    <row r="36" spans="1:11" ht="14.4" customHeight="1" thickBot="1" x14ac:dyDescent="0.35">
      <c r="A36" s="460" t="s">
        <v>285</v>
      </c>
      <c r="B36" s="438">
        <v>2</v>
      </c>
      <c r="C36" s="438">
        <v>1.7059599999999999</v>
      </c>
      <c r="D36" s="439">
        <v>-0.29404000000000002</v>
      </c>
      <c r="E36" s="440">
        <v>0.85297999999999996</v>
      </c>
      <c r="F36" s="438">
        <v>1.0000001002679999</v>
      </c>
      <c r="G36" s="439">
        <v>0.166666683378</v>
      </c>
      <c r="H36" s="441">
        <v>0</v>
      </c>
      <c r="I36" s="438">
        <v>0</v>
      </c>
      <c r="J36" s="439">
        <v>-0.166666683378</v>
      </c>
      <c r="K36" s="442">
        <v>0</v>
      </c>
    </row>
    <row r="37" spans="1:11" ht="14.4" customHeight="1" thickBot="1" x14ac:dyDescent="0.35">
      <c r="A37" s="460" t="s">
        <v>286</v>
      </c>
      <c r="B37" s="438">
        <v>0</v>
      </c>
      <c r="C37" s="438">
        <v>0</v>
      </c>
      <c r="D37" s="439">
        <v>0</v>
      </c>
      <c r="E37" s="440">
        <v>1</v>
      </c>
      <c r="F37" s="438">
        <v>0.70850209533200004</v>
      </c>
      <c r="G37" s="439">
        <v>0.118083682555</v>
      </c>
      <c r="H37" s="441">
        <v>0</v>
      </c>
      <c r="I37" s="438">
        <v>0</v>
      </c>
      <c r="J37" s="439">
        <v>-0.118083682555</v>
      </c>
      <c r="K37" s="442">
        <v>0</v>
      </c>
    </row>
    <row r="38" spans="1:11" ht="14.4" customHeight="1" thickBot="1" x14ac:dyDescent="0.35">
      <c r="A38" s="459" t="s">
        <v>287</v>
      </c>
      <c r="B38" s="443">
        <v>1</v>
      </c>
      <c r="C38" s="443">
        <v>0</v>
      </c>
      <c r="D38" s="444">
        <v>-1</v>
      </c>
      <c r="E38" s="450">
        <v>0</v>
      </c>
      <c r="F38" s="443">
        <v>0</v>
      </c>
      <c r="G38" s="444">
        <v>0</v>
      </c>
      <c r="H38" s="446">
        <v>0</v>
      </c>
      <c r="I38" s="443">
        <v>0</v>
      </c>
      <c r="J38" s="444">
        <v>0</v>
      </c>
      <c r="K38" s="447" t="s">
        <v>254</v>
      </c>
    </row>
    <row r="39" spans="1:11" ht="14.4" customHeight="1" thickBot="1" x14ac:dyDescent="0.35">
      <c r="A39" s="460" t="s">
        <v>288</v>
      </c>
      <c r="B39" s="438">
        <v>1</v>
      </c>
      <c r="C39" s="438">
        <v>0</v>
      </c>
      <c r="D39" s="439">
        <v>-1</v>
      </c>
      <c r="E39" s="440">
        <v>0</v>
      </c>
      <c r="F39" s="438">
        <v>0</v>
      </c>
      <c r="G39" s="439">
        <v>0</v>
      </c>
      <c r="H39" s="441">
        <v>0</v>
      </c>
      <c r="I39" s="438">
        <v>0</v>
      </c>
      <c r="J39" s="439">
        <v>0</v>
      </c>
      <c r="K39" s="449" t="s">
        <v>254</v>
      </c>
    </row>
    <row r="40" spans="1:11" ht="14.4" customHeight="1" thickBot="1" x14ac:dyDescent="0.35">
      <c r="A40" s="459" t="s">
        <v>289</v>
      </c>
      <c r="B40" s="443">
        <v>1430</v>
      </c>
      <c r="C40" s="443">
        <v>1135.91039</v>
      </c>
      <c r="D40" s="444">
        <v>-294.08960999999999</v>
      </c>
      <c r="E40" s="450">
        <v>0.79434293006900003</v>
      </c>
      <c r="F40" s="443">
        <v>1322.00013255516</v>
      </c>
      <c r="G40" s="444">
        <v>220.33335542586099</v>
      </c>
      <c r="H40" s="446">
        <v>73.426689999999994</v>
      </c>
      <c r="I40" s="443">
        <v>150.36236</v>
      </c>
      <c r="J40" s="444">
        <v>-69.970995425859996</v>
      </c>
      <c r="K40" s="451">
        <v>0.11373853624999999</v>
      </c>
    </row>
    <row r="41" spans="1:11" ht="14.4" customHeight="1" thickBot="1" x14ac:dyDescent="0.35">
      <c r="A41" s="460" t="s">
        <v>290</v>
      </c>
      <c r="B41" s="438">
        <v>289</v>
      </c>
      <c r="C41" s="438">
        <v>417.20533</v>
      </c>
      <c r="D41" s="439">
        <v>128.20533</v>
      </c>
      <c r="E41" s="440">
        <v>1.443617058823</v>
      </c>
      <c r="F41" s="438">
        <v>524.00005254077598</v>
      </c>
      <c r="G41" s="439">
        <v>87.333342090128994</v>
      </c>
      <c r="H41" s="441">
        <v>48.857309999999998</v>
      </c>
      <c r="I41" s="438">
        <v>101.94399</v>
      </c>
      <c r="J41" s="439">
        <v>14.61064790987</v>
      </c>
      <c r="K41" s="442">
        <v>0.194549579729</v>
      </c>
    </row>
    <row r="42" spans="1:11" ht="14.4" customHeight="1" thickBot="1" x14ac:dyDescent="0.35">
      <c r="A42" s="460" t="s">
        <v>291</v>
      </c>
      <c r="B42" s="438">
        <v>1141</v>
      </c>
      <c r="C42" s="438">
        <v>718.70506</v>
      </c>
      <c r="D42" s="439">
        <v>-422.29494</v>
      </c>
      <c r="E42" s="440">
        <v>0.62989049956099996</v>
      </c>
      <c r="F42" s="438">
        <v>798.000080014388</v>
      </c>
      <c r="G42" s="439">
        <v>133.00001333573101</v>
      </c>
      <c r="H42" s="441">
        <v>24.569379999999999</v>
      </c>
      <c r="I42" s="438">
        <v>48.418370000000003</v>
      </c>
      <c r="J42" s="439">
        <v>-84.581643335731002</v>
      </c>
      <c r="K42" s="442">
        <v>6.0674643038999998E-2</v>
      </c>
    </row>
    <row r="43" spans="1:11" ht="14.4" customHeight="1" thickBot="1" x14ac:dyDescent="0.35">
      <c r="A43" s="459" t="s">
        <v>292</v>
      </c>
      <c r="B43" s="443">
        <v>0</v>
      </c>
      <c r="C43" s="443">
        <v>79.252070000000003</v>
      </c>
      <c r="D43" s="444">
        <v>79.252070000000003</v>
      </c>
      <c r="E43" s="445" t="s">
        <v>254</v>
      </c>
      <c r="F43" s="443">
        <v>0</v>
      </c>
      <c r="G43" s="444">
        <v>0</v>
      </c>
      <c r="H43" s="446">
        <v>0</v>
      </c>
      <c r="I43" s="443">
        <v>0</v>
      </c>
      <c r="J43" s="444">
        <v>0</v>
      </c>
      <c r="K43" s="447" t="s">
        <v>254</v>
      </c>
    </row>
    <row r="44" spans="1:11" ht="14.4" customHeight="1" thickBot="1" x14ac:dyDescent="0.35">
      <c r="A44" s="460" t="s">
        <v>293</v>
      </c>
      <c r="B44" s="438">
        <v>0</v>
      </c>
      <c r="C44" s="438">
        <v>8.2666599999999999</v>
      </c>
      <c r="D44" s="439">
        <v>8.2666599999999999</v>
      </c>
      <c r="E44" s="448" t="s">
        <v>254</v>
      </c>
      <c r="F44" s="438">
        <v>0</v>
      </c>
      <c r="G44" s="439">
        <v>0</v>
      </c>
      <c r="H44" s="441">
        <v>0</v>
      </c>
      <c r="I44" s="438">
        <v>0</v>
      </c>
      <c r="J44" s="439">
        <v>0</v>
      </c>
      <c r="K44" s="449" t="s">
        <v>254</v>
      </c>
    </row>
    <row r="45" spans="1:11" ht="14.4" customHeight="1" thickBot="1" x14ac:dyDescent="0.35">
      <c r="A45" s="460" t="s">
        <v>294</v>
      </c>
      <c r="B45" s="438">
        <v>0</v>
      </c>
      <c r="C45" s="438">
        <v>70.985410000000002</v>
      </c>
      <c r="D45" s="439">
        <v>70.985410000000002</v>
      </c>
      <c r="E45" s="448" t="s">
        <v>254</v>
      </c>
      <c r="F45" s="438">
        <v>0</v>
      </c>
      <c r="G45" s="439">
        <v>0</v>
      </c>
      <c r="H45" s="441">
        <v>0</v>
      </c>
      <c r="I45" s="438">
        <v>0</v>
      </c>
      <c r="J45" s="439">
        <v>0</v>
      </c>
      <c r="K45" s="449" t="s">
        <v>254</v>
      </c>
    </row>
    <row r="46" spans="1:11" ht="14.4" customHeight="1" thickBot="1" x14ac:dyDescent="0.35">
      <c r="A46" s="457" t="s">
        <v>295</v>
      </c>
      <c r="B46" s="438">
        <v>0</v>
      </c>
      <c r="C46" s="438">
        <v>16.600000000000001</v>
      </c>
      <c r="D46" s="439">
        <v>16.600000000000001</v>
      </c>
      <c r="E46" s="448" t="s">
        <v>254</v>
      </c>
      <c r="F46" s="438">
        <v>0</v>
      </c>
      <c r="G46" s="439">
        <v>0</v>
      </c>
      <c r="H46" s="441">
        <v>0</v>
      </c>
      <c r="I46" s="438">
        <v>0</v>
      </c>
      <c r="J46" s="439">
        <v>0</v>
      </c>
      <c r="K46" s="449" t="s">
        <v>254</v>
      </c>
    </row>
    <row r="47" spans="1:11" ht="14.4" customHeight="1" thickBot="1" x14ac:dyDescent="0.35">
      <c r="A47" s="462" t="s">
        <v>296</v>
      </c>
      <c r="B47" s="443">
        <v>0</v>
      </c>
      <c r="C47" s="443">
        <v>16.600000000000001</v>
      </c>
      <c r="D47" s="444">
        <v>16.600000000000001</v>
      </c>
      <c r="E47" s="445" t="s">
        <v>254</v>
      </c>
      <c r="F47" s="443">
        <v>0</v>
      </c>
      <c r="G47" s="444">
        <v>0</v>
      </c>
      <c r="H47" s="446">
        <v>0</v>
      </c>
      <c r="I47" s="443">
        <v>0</v>
      </c>
      <c r="J47" s="444">
        <v>0</v>
      </c>
      <c r="K47" s="447" t="s">
        <v>254</v>
      </c>
    </row>
    <row r="48" spans="1:11" ht="14.4" customHeight="1" thickBot="1" x14ac:dyDescent="0.35">
      <c r="A48" s="459" t="s">
        <v>297</v>
      </c>
      <c r="B48" s="443">
        <v>0</v>
      </c>
      <c r="C48" s="443">
        <v>16.600000000000001</v>
      </c>
      <c r="D48" s="444">
        <v>16.600000000000001</v>
      </c>
      <c r="E48" s="445" t="s">
        <v>271</v>
      </c>
      <c r="F48" s="443">
        <v>0</v>
      </c>
      <c r="G48" s="444">
        <v>0</v>
      </c>
      <c r="H48" s="446">
        <v>0</v>
      </c>
      <c r="I48" s="443">
        <v>0</v>
      </c>
      <c r="J48" s="444">
        <v>0</v>
      </c>
      <c r="K48" s="447" t="s">
        <v>254</v>
      </c>
    </row>
    <row r="49" spans="1:11" ht="14.4" customHeight="1" thickBot="1" x14ac:dyDescent="0.35">
      <c r="A49" s="460" t="s">
        <v>298</v>
      </c>
      <c r="B49" s="438">
        <v>0</v>
      </c>
      <c r="C49" s="438">
        <v>16.600000000000001</v>
      </c>
      <c r="D49" s="439">
        <v>16.600000000000001</v>
      </c>
      <c r="E49" s="448" t="s">
        <v>271</v>
      </c>
      <c r="F49" s="438">
        <v>0</v>
      </c>
      <c r="G49" s="439">
        <v>0</v>
      </c>
      <c r="H49" s="441">
        <v>0</v>
      </c>
      <c r="I49" s="438">
        <v>0</v>
      </c>
      <c r="J49" s="439">
        <v>0</v>
      </c>
      <c r="K49" s="449" t="s">
        <v>254</v>
      </c>
    </row>
    <row r="50" spans="1:11" ht="14.4" customHeight="1" thickBot="1" x14ac:dyDescent="0.35">
      <c r="A50" s="456" t="s">
        <v>299</v>
      </c>
      <c r="B50" s="438">
        <v>0.34090201312200002</v>
      </c>
      <c r="C50" s="438">
        <v>0</v>
      </c>
      <c r="D50" s="439">
        <v>-0.34090201312200002</v>
      </c>
      <c r="E50" s="440">
        <v>0</v>
      </c>
      <c r="F50" s="438">
        <v>0</v>
      </c>
      <c r="G50" s="439">
        <v>0</v>
      </c>
      <c r="H50" s="441">
        <v>0</v>
      </c>
      <c r="I50" s="438">
        <v>0</v>
      </c>
      <c r="J50" s="439">
        <v>0</v>
      </c>
      <c r="K50" s="442">
        <v>2</v>
      </c>
    </row>
    <row r="51" spans="1:11" ht="14.4" customHeight="1" thickBot="1" x14ac:dyDescent="0.35">
      <c r="A51" s="461" t="s">
        <v>300</v>
      </c>
      <c r="B51" s="443">
        <v>0.34090201312200002</v>
      </c>
      <c r="C51" s="443">
        <v>0</v>
      </c>
      <c r="D51" s="444">
        <v>-0.34090201312200002</v>
      </c>
      <c r="E51" s="450">
        <v>0</v>
      </c>
      <c r="F51" s="443">
        <v>0</v>
      </c>
      <c r="G51" s="444">
        <v>0</v>
      </c>
      <c r="H51" s="446">
        <v>0</v>
      </c>
      <c r="I51" s="443">
        <v>0</v>
      </c>
      <c r="J51" s="444">
        <v>0</v>
      </c>
      <c r="K51" s="451">
        <v>2</v>
      </c>
    </row>
    <row r="52" spans="1:11" ht="14.4" customHeight="1" thickBot="1" x14ac:dyDescent="0.35">
      <c r="A52" s="462" t="s">
        <v>53</v>
      </c>
      <c r="B52" s="443">
        <v>0.34090201312200002</v>
      </c>
      <c r="C52" s="443">
        <v>0</v>
      </c>
      <c r="D52" s="444">
        <v>-0.34090201312200002</v>
      </c>
      <c r="E52" s="450">
        <v>0</v>
      </c>
      <c r="F52" s="443">
        <v>0</v>
      </c>
      <c r="G52" s="444">
        <v>0</v>
      </c>
      <c r="H52" s="446">
        <v>0</v>
      </c>
      <c r="I52" s="443">
        <v>0</v>
      </c>
      <c r="J52" s="444">
        <v>0</v>
      </c>
      <c r="K52" s="451">
        <v>2</v>
      </c>
    </row>
    <row r="53" spans="1:11" ht="14.4" customHeight="1" thickBot="1" x14ac:dyDescent="0.35">
      <c r="A53" s="459" t="s">
        <v>301</v>
      </c>
      <c r="B53" s="443">
        <v>0.34090201312200002</v>
      </c>
      <c r="C53" s="443">
        <v>0</v>
      </c>
      <c r="D53" s="444">
        <v>-0.34090201312200002</v>
      </c>
      <c r="E53" s="450">
        <v>0</v>
      </c>
      <c r="F53" s="443">
        <v>0</v>
      </c>
      <c r="G53" s="444">
        <v>0</v>
      </c>
      <c r="H53" s="446">
        <v>0</v>
      </c>
      <c r="I53" s="443">
        <v>0</v>
      </c>
      <c r="J53" s="444">
        <v>0</v>
      </c>
      <c r="K53" s="451">
        <v>2</v>
      </c>
    </row>
    <row r="54" spans="1:11" ht="14.4" customHeight="1" thickBot="1" x14ac:dyDescent="0.35">
      <c r="A54" s="460" t="s">
        <v>302</v>
      </c>
      <c r="B54" s="438">
        <v>0.34090201312200002</v>
      </c>
      <c r="C54" s="438">
        <v>0</v>
      </c>
      <c r="D54" s="439">
        <v>-0.34090201312200002</v>
      </c>
      <c r="E54" s="440">
        <v>0</v>
      </c>
      <c r="F54" s="438">
        <v>0</v>
      </c>
      <c r="G54" s="439">
        <v>0</v>
      </c>
      <c r="H54" s="441">
        <v>0</v>
      </c>
      <c r="I54" s="438">
        <v>0</v>
      </c>
      <c r="J54" s="439">
        <v>0</v>
      </c>
      <c r="K54" s="442">
        <v>2</v>
      </c>
    </row>
    <row r="55" spans="1:11" ht="14.4" customHeight="1" thickBot="1" x14ac:dyDescent="0.35">
      <c r="A55" s="463" t="s">
        <v>303</v>
      </c>
      <c r="B55" s="443">
        <v>0</v>
      </c>
      <c r="C55" s="443">
        <v>0.93991999999999998</v>
      </c>
      <c r="D55" s="444">
        <v>0.93991999999999998</v>
      </c>
      <c r="E55" s="445" t="s">
        <v>254</v>
      </c>
      <c r="F55" s="443">
        <v>0</v>
      </c>
      <c r="G55" s="444">
        <v>0</v>
      </c>
      <c r="H55" s="446">
        <v>0</v>
      </c>
      <c r="I55" s="443">
        <v>0</v>
      </c>
      <c r="J55" s="444">
        <v>0</v>
      </c>
      <c r="K55" s="451">
        <v>2</v>
      </c>
    </row>
    <row r="56" spans="1:11" ht="14.4" customHeight="1" thickBot="1" x14ac:dyDescent="0.35">
      <c r="A56" s="461" t="s">
        <v>304</v>
      </c>
      <c r="B56" s="443">
        <v>0</v>
      </c>
      <c r="C56" s="443">
        <v>0.93991999999999998</v>
      </c>
      <c r="D56" s="444">
        <v>0.93991999999999998</v>
      </c>
      <c r="E56" s="445" t="s">
        <v>254</v>
      </c>
      <c r="F56" s="443">
        <v>0</v>
      </c>
      <c r="G56" s="444">
        <v>0</v>
      </c>
      <c r="H56" s="446">
        <v>0</v>
      </c>
      <c r="I56" s="443">
        <v>0</v>
      </c>
      <c r="J56" s="444">
        <v>0</v>
      </c>
      <c r="K56" s="451">
        <v>2</v>
      </c>
    </row>
    <row r="57" spans="1:11" ht="14.4" customHeight="1" thickBot="1" x14ac:dyDescent="0.35">
      <c r="A57" s="462" t="s">
        <v>305</v>
      </c>
      <c r="B57" s="443">
        <v>0</v>
      </c>
      <c r="C57" s="443">
        <v>0.93991999999999998</v>
      </c>
      <c r="D57" s="444">
        <v>0.93991999999999998</v>
      </c>
      <c r="E57" s="445" t="s">
        <v>254</v>
      </c>
      <c r="F57" s="443">
        <v>0</v>
      </c>
      <c r="G57" s="444">
        <v>0</v>
      </c>
      <c r="H57" s="446">
        <v>0</v>
      </c>
      <c r="I57" s="443">
        <v>0</v>
      </c>
      <c r="J57" s="444">
        <v>0</v>
      </c>
      <c r="K57" s="451">
        <v>2</v>
      </c>
    </row>
    <row r="58" spans="1:11" ht="14.4" customHeight="1" thickBot="1" x14ac:dyDescent="0.35">
      <c r="A58" s="459" t="s">
        <v>306</v>
      </c>
      <c r="B58" s="443">
        <v>0</v>
      </c>
      <c r="C58" s="443">
        <v>0.93991999999999998</v>
      </c>
      <c r="D58" s="444">
        <v>0.93991999999999998</v>
      </c>
      <c r="E58" s="445" t="s">
        <v>271</v>
      </c>
      <c r="F58" s="443">
        <v>0</v>
      </c>
      <c r="G58" s="444">
        <v>0</v>
      </c>
      <c r="H58" s="446">
        <v>0</v>
      </c>
      <c r="I58" s="443">
        <v>0</v>
      </c>
      <c r="J58" s="444">
        <v>0</v>
      </c>
      <c r="K58" s="451">
        <v>2</v>
      </c>
    </row>
    <row r="59" spans="1:11" ht="14.4" customHeight="1" thickBot="1" x14ac:dyDescent="0.35">
      <c r="A59" s="460" t="s">
        <v>307</v>
      </c>
      <c r="B59" s="438">
        <v>0</v>
      </c>
      <c r="C59" s="438">
        <v>0.93991999999999998</v>
      </c>
      <c r="D59" s="439">
        <v>0.93991999999999998</v>
      </c>
      <c r="E59" s="448" t="s">
        <v>271</v>
      </c>
      <c r="F59" s="438">
        <v>0</v>
      </c>
      <c r="G59" s="439">
        <v>0</v>
      </c>
      <c r="H59" s="441">
        <v>0</v>
      </c>
      <c r="I59" s="438">
        <v>0</v>
      </c>
      <c r="J59" s="439">
        <v>0</v>
      </c>
      <c r="K59" s="442">
        <v>2</v>
      </c>
    </row>
    <row r="60" spans="1:11" ht="14.4" customHeight="1" thickBot="1" x14ac:dyDescent="0.35">
      <c r="A60" s="464"/>
      <c r="B60" s="438">
        <v>886.41326113109301</v>
      </c>
      <c r="C60" s="438">
        <v>701.39626999999996</v>
      </c>
      <c r="D60" s="439">
        <v>-185.016991131092</v>
      </c>
      <c r="E60" s="440">
        <v>0.79127456769399995</v>
      </c>
      <c r="F60" s="438">
        <v>769.85139332274105</v>
      </c>
      <c r="G60" s="439">
        <v>128.30856555379</v>
      </c>
      <c r="H60" s="441">
        <v>21.470580000000002</v>
      </c>
      <c r="I60" s="438">
        <v>82.563479999999998</v>
      </c>
      <c r="J60" s="439">
        <v>-45.745085553789998</v>
      </c>
      <c r="K60" s="442">
        <v>0.107245996715</v>
      </c>
    </row>
    <row r="61" spans="1:11" ht="14.4" customHeight="1" thickBot="1" x14ac:dyDescent="0.35">
      <c r="A61" s="465" t="s">
        <v>65</v>
      </c>
      <c r="B61" s="452">
        <v>886.41326113109301</v>
      </c>
      <c r="C61" s="452">
        <v>701.39626999999996</v>
      </c>
      <c r="D61" s="453">
        <v>-185.01699113109299</v>
      </c>
      <c r="E61" s="454" t="s">
        <v>254</v>
      </c>
      <c r="F61" s="452">
        <v>769.85139332274105</v>
      </c>
      <c r="G61" s="453">
        <v>128.30856555379</v>
      </c>
      <c r="H61" s="452">
        <v>21.470580000000002</v>
      </c>
      <c r="I61" s="452">
        <v>82.563479999999998</v>
      </c>
      <c r="J61" s="453">
        <v>-45.745085553789998</v>
      </c>
      <c r="K61" s="455">
        <v>0.107245996715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66" t="s">
        <v>133</v>
      </c>
      <c r="B1" s="366"/>
      <c r="C1" s="366"/>
      <c r="D1" s="366"/>
      <c r="E1" s="366"/>
      <c r="F1" s="366"/>
      <c r="G1" s="366"/>
      <c r="H1" s="366"/>
      <c r="I1" s="331"/>
      <c r="J1" s="331"/>
      <c r="K1" s="331"/>
      <c r="L1" s="331"/>
    </row>
    <row r="2" spans="1:14" ht="14.4" customHeight="1" thickBot="1" x14ac:dyDescent="0.35">
      <c r="A2" s="230" t="s">
        <v>253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4"/>
      <c r="B3" s="144"/>
      <c r="C3" s="377" t="s">
        <v>14</v>
      </c>
      <c r="D3" s="376"/>
      <c r="E3" s="376" t="s">
        <v>15</v>
      </c>
      <c r="F3" s="376"/>
      <c r="G3" s="376"/>
      <c r="H3" s="376"/>
      <c r="I3" s="376" t="s">
        <v>140</v>
      </c>
      <c r="J3" s="376"/>
      <c r="K3" s="376"/>
      <c r="L3" s="378"/>
    </row>
    <row r="4" spans="1:14" ht="14.4" customHeight="1" thickBot="1" x14ac:dyDescent="0.35">
      <c r="A4" s="81" t="s">
        <v>16</v>
      </c>
      <c r="B4" s="82" t="s">
        <v>17</v>
      </c>
      <c r="C4" s="83" t="s">
        <v>18</v>
      </c>
      <c r="D4" s="83" t="s">
        <v>19</v>
      </c>
      <c r="E4" s="83" t="s">
        <v>18</v>
      </c>
      <c r="F4" s="83" t="s">
        <v>2</v>
      </c>
      <c r="G4" s="83" t="s">
        <v>19</v>
      </c>
      <c r="H4" s="83" t="s">
        <v>2</v>
      </c>
      <c r="I4" s="83" t="s">
        <v>18</v>
      </c>
      <c r="J4" s="83" t="s">
        <v>2</v>
      </c>
      <c r="K4" s="83" t="s">
        <v>19</v>
      </c>
      <c r="L4" s="84" t="s">
        <v>2</v>
      </c>
    </row>
    <row r="5" spans="1:14" ht="14.4" customHeight="1" x14ac:dyDescent="0.3">
      <c r="A5" s="466">
        <v>57</v>
      </c>
      <c r="B5" s="467" t="s">
        <v>308</v>
      </c>
      <c r="C5" s="468">
        <v>1942.6</v>
      </c>
      <c r="D5" s="468">
        <v>2</v>
      </c>
      <c r="E5" s="468">
        <v>1942.6</v>
      </c>
      <c r="F5" s="469">
        <v>1</v>
      </c>
      <c r="G5" s="468">
        <v>2</v>
      </c>
      <c r="H5" s="469">
        <v>1</v>
      </c>
      <c r="I5" s="468" t="s">
        <v>309</v>
      </c>
      <c r="J5" s="469">
        <v>0</v>
      </c>
      <c r="K5" s="468" t="s">
        <v>309</v>
      </c>
      <c r="L5" s="469">
        <v>0</v>
      </c>
      <c r="M5" s="468" t="s">
        <v>67</v>
      </c>
      <c r="N5" s="151"/>
    </row>
    <row r="6" spans="1:14" ht="14.4" customHeight="1" x14ac:dyDescent="0.3">
      <c r="A6" s="466">
        <v>57</v>
      </c>
      <c r="B6" s="467" t="s">
        <v>310</v>
      </c>
      <c r="C6" s="468">
        <v>1942.6</v>
      </c>
      <c r="D6" s="468">
        <v>2</v>
      </c>
      <c r="E6" s="468">
        <v>1942.6</v>
      </c>
      <c r="F6" s="469">
        <v>1</v>
      </c>
      <c r="G6" s="468">
        <v>2</v>
      </c>
      <c r="H6" s="469">
        <v>1</v>
      </c>
      <c r="I6" s="468" t="s">
        <v>309</v>
      </c>
      <c r="J6" s="469">
        <v>0</v>
      </c>
      <c r="K6" s="468" t="s">
        <v>309</v>
      </c>
      <c r="L6" s="469">
        <v>0</v>
      </c>
      <c r="M6" s="468" t="s">
        <v>1</v>
      </c>
      <c r="N6" s="151"/>
    </row>
    <row r="7" spans="1:14" ht="14.4" customHeight="1" x14ac:dyDescent="0.3">
      <c r="A7" s="466" t="s">
        <v>311</v>
      </c>
      <c r="B7" s="467" t="s">
        <v>3</v>
      </c>
      <c r="C7" s="468">
        <v>1942.6</v>
      </c>
      <c r="D7" s="468">
        <v>2</v>
      </c>
      <c r="E7" s="468">
        <v>1942.6</v>
      </c>
      <c r="F7" s="469">
        <v>1</v>
      </c>
      <c r="G7" s="468">
        <v>2</v>
      </c>
      <c r="H7" s="469">
        <v>1</v>
      </c>
      <c r="I7" s="468" t="s">
        <v>309</v>
      </c>
      <c r="J7" s="469">
        <v>0</v>
      </c>
      <c r="K7" s="468" t="s">
        <v>309</v>
      </c>
      <c r="L7" s="469">
        <v>0</v>
      </c>
      <c r="M7" s="468" t="s">
        <v>312</v>
      </c>
      <c r="N7" s="151"/>
    </row>
    <row r="9" spans="1:14" ht="14.4" customHeight="1" x14ac:dyDescent="0.3">
      <c r="A9" s="466">
        <v>57</v>
      </c>
      <c r="B9" s="467" t="s">
        <v>308</v>
      </c>
      <c r="C9" s="468" t="s">
        <v>309</v>
      </c>
      <c r="D9" s="468" t="s">
        <v>309</v>
      </c>
      <c r="E9" s="468" t="s">
        <v>309</v>
      </c>
      <c r="F9" s="469" t="s">
        <v>309</v>
      </c>
      <c r="G9" s="468" t="s">
        <v>309</v>
      </c>
      <c r="H9" s="469" t="s">
        <v>309</v>
      </c>
      <c r="I9" s="468" t="s">
        <v>309</v>
      </c>
      <c r="J9" s="469" t="s">
        <v>309</v>
      </c>
      <c r="K9" s="468" t="s">
        <v>309</v>
      </c>
      <c r="L9" s="469" t="s">
        <v>309</v>
      </c>
      <c r="M9" s="468" t="s">
        <v>67</v>
      </c>
      <c r="N9" s="151"/>
    </row>
    <row r="10" spans="1:14" ht="14.4" customHeight="1" x14ac:dyDescent="0.3">
      <c r="A10" s="466" t="s">
        <v>313</v>
      </c>
      <c r="B10" s="467" t="s">
        <v>310</v>
      </c>
      <c r="C10" s="468">
        <v>1942.6</v>
      </c>
      <c r="D10" s="468">
        <v>2</v>
      </c>
      <c r="E10" s="468">
        <v>1942.6</v>
      </c>
      <c r="F10" s="469">
        <v>1</v>
      </c>
      <c r="G10" s="468">
        <v>2</v>
      </c>
      <c r="H10" s="469">
        <v>1</v>
      </c>
      <c r="I10" s="468" t="s">
        <v>309</v>
      </c>
      <c r="J10" s="469">
        <v>0</v>
      </c>
      <c r="K10" s="468" t="s">
        <v>309</v>
      </c>
      <c r="L10" s="469">
        <v>0</v>
      </c>
      <c r="M10" s="468" t="s">
        <v>1</v>
      </c>
      <c r="N10" s="151"/>
    </row>
    <row r="11" spans="1:14" ht="14.4" customHeight="1" x14ac:dyDescent="0.3">
      <c r="A11" s="466" t="s">
        <v>313</v>
      </c>
      <c r="B11" s="467" t="s">
        <v>314</v>
      </c>
      <c r="C11" s="468">
        <v>1942.6</v>
      </c>
      <c r="D11" s="468">
        <v>2</v>
      </c>
      <c r="E11" s="468">
        <v>1942.6</v>
      </c>
      <c r="F11" s="469">
        <v>1</v>
      </c>
      <c r="G11" s="468">
        <v>2</v>
      </c>
      <c r="H11" s="469">
        <v>1</v>
      </c>
      <c r="I11" s="468" t="s">
        <v>309</v>
      </c>
      <c r="J11" s="469">
        <v>0</v>
      </c>
      <c r="K11" s="468" t="s">
        <v>309</v>
      </c>
      <c r="L11" s="469">
        <v>0</v>
      </c>
      <c r="M11" s="468" t="s">
        <v>315</v>
      </c>
      <c r="N11" s="151"/>
    </row>
    <row r="12" spans="1:14" ht="14.4" customHeight="1" x14ac:dyDescent="0.3">
      <c r="A12" s="466" t="s">
        <v>309</v>
      </c>
      <c r="B12" s="467" t="s">
        <v>309</v>
      </c>
      <c r="C12" s="468" t="s">
        <v>309</v>
      </c>
      <c r="D12" s="468" t="s">
        <v>309</v>
      </c>
      <c r="E12" s="468" t="s">
        <v>309</v>
      </c>
      <c r="F12" s="469" t="s">
        <v>309</v>
      </c>
      <c r="G12" s="468" t="s">
        <v>309</v>
      </c>
      <c r="H12" s="469" t="s">
        <v>309</v>
      </c>
      <c r="I12" s="468" t="s">
        <v>309</v>
      </c>
      <c r="J12" s="469" t="s">
        <v>309</v>
      </c>
      <c r="K12" s="468" t="s">
        <v>309</v>
      </c>
      <c r="L12" s="469" t="s">
        <v>309</v>
      </c>
      <c r="M12" s="468" t="s">
        <v>316</v>
      </c>
      <c r="N12" s="151"/>
    </row>
    <row r="13" spans="1:14" ht="14.4" customHeight="1" x14ac:dyDescent="0.3">
      <c r="A13" s="466" t="s">
        <v>311</v>
      </c>
      <c r="B13" s="467" t="s">
        <v>314</v>
      </c>
      <c r="C13" s="468">
        <v>1942.6</v>
      </c>
      <c r="D13" s="468">
        <v>2</v>
      </c>
      <c r="E13" s="468">
        <v>1942.6</v>
      </c>
      <c r="F13" s="469">
        <v>1</v>
      </c>
      <c r="G13" s="468">
        <v>2</v>
      </c>
      <c r="H13" s="469">
        <v>1</v>
      </c>
      <c r="I13" s="468" t="s">
        <v>309</v>
      </c>
      <c r="J13" s="469">
        <v>0</v>
      </c>
      <c r="K13" s="468" t="s">
        <v>309</v>
      </c>
      <c r="L13" s="469">
        <v>0</v>
      </c>
      <c r="M13" s="468" t="s">
        <v>312</v>
      </c>
      <c r="N13" s="151"/>
    </row>
    <row r="14" spans="1:14" ht="14.4" customHeight="1" x14ac:dyDescent="0.3">
      <c r="A14" s="470" t="s">
        <v>317</v>
      </c>
    </row>
    <row r="15" spans="1:14" ht="14.4" customHeight="1" x14ac:dyDescent="0.3">
      <c r="A15" s="471" t="s">
        <v>318</v>
      </c>
    </row>
    <row r="16" spans="1:14" ht="14.4" customHeight="1" x14ac:dyDescent="0.3">
      <c r="A16" s="470" t="s">
        <v>319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9" priority="15" stopIfTrue="1" operator="lessThan">
      <formula>0.6</formula>
    </cfRule>
  </conditionalFormatting>
  <conditionalFormatting sqref="B5:B7">
    <cfRule type="expression" dxfId="38" priority="10">
      <formula>AND(LEFT(M5,6)&lt;&gt;"mezera",M5&lt;&gt;"")</formula>
    </cfRule>
  </conditionalFormatting>
  <conditionalFormatting sqref="A5:A7">
    <cfRule type="expression" dxfId="37" priority="8">
      <formula>AND(M5&lt;&gt;"",M5&lt;&gt;"mezeraKL")</formula>
    </cfRule>
  </conditionalFormatting>
  <conditionalFormatting sqref="F5:F7">
    <cfRule type="cellIs" dxfId="36" priority="7" operator="lessThan">
      <formula>0.6</formula>
    </cfRule>
  </conditionalFormatting>
  <conditionalFormatting sqref="B5:L7">
    <cfRule type="expression" dxfId="35" priority="9">
      <formula>OR($M5="KL",$M5="SumaKL")</formula>
    </cfRule>
    <cfRule type="expression" dxfId="34" priority="11">
      <formula>$M5="SumaNS"</formula>
    </cfRule>
  </conditionalFormatting>
  <conditionalFormatting sqref="A5:L7">
    <cfRule type="expression" dxfId="33" priority="12">
      <formula>$M5&lt;&gt;""</formula>
    </cfRule>
  </conditionalFormatting>
  <conditionalFormatting sqref="B9:B13">
    <cfRule type="expression" dxfId="32" priority="4">
      <formula>AND(LEFT(M9,6)&lt;&gt;"mezera",M9&lt;&gt;"")</formula>
    </cfRule>
  </conditionalFormatting>
  <conditionalFormatting sqref="A9:A13">
    <cfRule type="expression" dxfId="31" priority="2">
      <formula>AND(M9&lt;&gt;"",M9&lt;&gt;"mezeraKL")</formula>
    </cfRule>
  </conditionalFormatting>
  <conditionalFormatting sqref="F9:F13">
    <cfRule type="cellIs" dxfId="30" priority="1" operator="lessThan">
      <formula>0.6</formula>
    </cfRule>
  </conditionalFormatting>
  <conditionalFormatting sqref="B9:L13">
    <cfRule type="expression" dxfId="29" priority="3">
      <formula>OR($M9="KL",$M9="SumaKL")</formula>
    </cfRule>
    <cfRule type="expression" dxfId="28" priority="5">
      <formula>$M9="SumaNS"</formula>
    </cfRule>
  </conditionalFormatting>
  <conditionalFormatting sqref="A9:L13">
    <cfRule type="expression" dxfId="27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7" bestFit="1" customWidth="1"/>
    <col min="3" max="3" width="11.109375" style="130" hidden="1" customWidth="1"/>
    <col min="4" max="4" width="7.33203125" style="207" bestFit="1" customWidth="1"/>
    <col min="5" max="5" width="7.33203125" style="130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66" t="s">
        <v>141</v>
      </c>
      <c r="B1" s="366"/>
      <c r="C1" s="366"/>
      <c r="D1" s="366"/>
      <c r="E1" s="366"/>
      <c r="F1" s="366"/>
      <c r="G1" s="366"/>
      <c r="H1" s="366"/>
      <c r="I1" s="366"/>
      <c r="J1" s="331"/>
      <c r="K1" s="331"/>
      <c r="L1" s="331"/>
      <c r="M1" s="331"/>
    </row>
    <row r="2" spans="1:13" ht="14.4" customHeight="1" thickBot="1" x14ac:dyDescent="0.35">
      <c r="A2" s="230" t="s">
        <v>253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4"/>
      <c r="B3" s="377" t="s">
        <v>14</v>
      </c>
      <c r="C3" s="379"/>
      <c r="D3" s="376"/>
      <c r="E3" s="143"/>
      <c r="F3" s="376" t="s">
        <v>15</v>
      </c>
      <c r="G3" s="376"/>
      <c r="H3" s="376"/>
      <c r="I3" s="376"/>
      <c r="J3" s="376" t="s">
        <v>140</v>
      </c>
      <c r="K3" s="376"/>
      <c r="L3" s="376"/>
      <c r="M3" s="378"/>
    </row>
    <row r="4" spans="1:13" ht="14.4" customHeight="1" thickBot="1" x14ac:dyDescent="0.35">
      <c r="A4" s="472" t="s">
        <v>131</v>
      </c>
      <c r="B4" s="476" t="s">
        <v>18</v>
      </c>
      <c r="C4" s="477"/>
      <c r="D4" s="476" t="s">
        <v>19</v>
      </c>
      <c r="E4" s="477"/>
      <c r="F4" s="476" t="s">
        <v>18</v>
      </c>
      <c r="G4" s="482" t="s">
        <v>2</v>
      </c>
      <c r="H4" s="476" t="s">
        <v>19</v>
      </c>
      <c r="I4" s="482" t="s">
        <v>2</v>
      </c>
      <c r="J4" s="476" t="s">
        <v>18</v>
      </c>
      <c r="K4" s="482" t="s">
        <v>2</v>
      </c>
      <c r="L4" s="476" t="s">
        <v>19</v>
      </c>
      <c r="M4" s="483" t="s">
        <v>2</v>
      </c>
    </row>
    <row r="5" spans="1:13" ht="14.4" customHeight="1" thickBot="1" x14ac:dyDescent="0.35">
      <c r="A5" s="475" t="s">
        <v>320</v>
      </c>
      <c r="B5" s="478">
        <v>1942.6</v>
      </c>
      <c r="C5" s="479">
        <v>1</v>
      </c>
      <c r="D5" s="481">
        <v>2</v>
      </c>
      <c r="E5" s="473" t="s">
        <v>320</v>
      </c>
      <c r="F5" s="478">
        <v>1942.6</v>
      </c>
      <c r="G5" s="306">
        <v>1</v>
      </c>
      <c r="H5" s="480">
        <v>2</v>
      </c>
      <c r="I5" s="307">
        <v>1</v>
      </c>
      <c r="J5" s="484"/>
      <c r="K5" s="306">
        <v>0</v>
      </c>
      <c r="L5" s="480"/>
      <c r="M5" s="307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6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8" customWidth="1"/>
    <col min="5" max="5" width="13.5546875" style="208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09" customWidth="1"/>
    <col min="13" max="13" width="11.109375" style="209" customWidth="1"/>
    <col min="14" max="14" width="7.77734375" style="130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30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30"/>
  </cols>
  <sheetData>
    <row r="1" spans="1:21" ht="18.600000000000001" customHeight="1" thickBot="1" x14ac:dyDescent="0.4">
      <c r="A1" s="359" t="s">
        <v>326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</row>
    <row r="2" spans="1:21" ht="14.4" customHeight="1" thickBot="1" x14ac:dyDescent="0.35">
      <c r="A2" s="230" t="s">
        <v>253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83"/>
      <c r="B3" s="384"/>
      <c r="C3" s="384"/>
      <c r="D3" s="384"/>
      <c r="E3" s="384"/>
      <c r="F3" s="384"/>
      <c r="G3" s="384"/>
      <c r="H3" s="384"/>
      <c r="I3" s="384"/>
      <c r="J3" s="384"/>
      <c r="K3" s="385" t="s">
        <v>124</v>
      </c>
      <c r="L3" s="386"/>
      <c r="M3" s="66">
        <f>SUBTOTAL(9,M7:M1048576)</f>
        <v>1942.6</v>
      </c>
      <c r="N3" s="66">
        <f>SUBTOTAL(9,N7:N1048576)</f>
        <v>10</v>
      </c>
      <c r="O3" s="66">
        <f>SUBTOTAL(9,O7:O1048576)</f>
        <v>2</v>
      </c>
      <c r="P3" s="66">
        <f>SUBTOTAL(9,P7:P1048576)</f>
        <v>1942.6</v>
      </c>
      <c r="Q3" s="67">
        <f>IF(M3=0,0,P3/M3)</f>
        <v>1</v>
      </c>
      <c r="R3" s="66">
        <f>SUBTOTAL(9,R7:R1048576)</f>
        <v>10</v>
      </c>
      <c r="S3" s="67">
        <f>IF(N3=0,0,R3/N3)</f>
        <v>1</v>
      </c>
      <c r="T3" s="66">
        <f>SUBTOTAL(9,T7:T1048576)</f>
        <v>2</v>
      </c>
      <c r="U3" s="68">
        <f>IF(O3=0,0,T3/O3)</f>
        <v>1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87" t="s">
        <v>14</v>
      </c>
      <c r="N4" s="388"/>
      <c r="O4" s="388"/>
      <c r="P4" s="389" t="s">
        <v>20</v>
      </c>
      <c r="Q4" s="388"/>
      <c r="R4" s="388"/>
      <c r="S4" s="388"/>
      <c r="T4" s="388"/>
      <c r="U4" s="390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21</v>
      </c>
      <c r="N5" s="86" t="s">
        <v>12</v>
      </c>
      <c r="O5" s="86" t="s">
        <v>19</v>
      </c>
      <c r="P5" s="380" t="s">
        <v>21</v>
      </c>
      <c r="Q5" s="381"/>
      <c r="R5" s="380" t="s">
        <v>12</v>
      </c>
      <c r="S5" s="381"/>
      <c r="T5" s="380" t="s">
        <v>19</v>
      </c>
      <c r="U5" s="382"/>
    </row>
    <row r="6" spans="1:21" s="208" customFormat="1" ht="14.4" customHeight="1" thickBot="1" x14ac:dyDescent="0.35">
      <c r="A6" s="485" t="s">
        <v>22</v>
      </c>
      <c r="B6" s="486" t="s">
        <v>5</v>
      </c>
      <c r="C6" s="485" t="s">
        <v>23</v>
      </c>
      <c r="D6" s="486" t="s">
        <v>6</v>
      </c>
      <c r="E6" s="486" t="s">
        <v>143</v>
      </c>
      <c r="F6" s="486" t="s">
        <v>24</v>
      </c>
      <c r="G6" s="486" t="s">
        <v>25</v>
      </c>
      <c r="H6" s="486" t="s">
        <v>8</v>
      </c>
      <c r="I6" s="486" t="s">
        <v>9</v>
      </c>
      <c r="J6" s="486" t="s">
        <v>10</v>
      </c>
      <c r="K6" s="486" t="s">
        <v>11</v>
      </c>
      <c r="L6" s="486" t="s">
        <v>26</v>
      </c>
      <c r="M6" s="487" t="s">
        <v>13</v>
      </c>
      <c r="N6" s="488" t="s">
        <v>27</v>
      </c>
      <c r="O6" s="488" t="s">
        <v>27</v>
      </c>
      <c r="P6" s="488" t="s">
        <v>13</v>
      </c>
      <c r="Q6" s="488" t="s">
        <v>2</v>
      </c>
      <c r="R6" s="488" t="s">
        <v>27</v>
      </c>
      <c r="S6" s="488" t="s">
        <v>2</v>
      </c>
      <c r="T6" s="488" t="s">
        <v>27</v>
      </c>
      <c r="U6" s="489" t="s">
        <v>2</v>
      </c>
    </row>
    <row r="7" spans="1:21" ht="14.4" customHeight="1" thickBot="1" x14ac:dyDescent="0.35">
      <c r="A7" s="474">
        <v>57</v>
      </c>
      <c r="B7" s="479" t="s">
        <v>308</v>
      </c>
      <c r="C7" s="479" t="s">
        <v>313</v>
      </c>
      <c r="D7" s="490" t="s">
        <v>308</v>
      </c>
      <c r="E7" s="491" t="s">
        <v>320</v>
      </c>
      <c r="F7" s="479" t="s">
        <v>310</v>
      </c>
      <c r="G7" s="479" t="s">
        <v>321</v>
      </c>
      <c r="H7" s="479" t="s">
        <v>325</v>
      </c>
      <c r="I7" s="479" t="s">
        <v>322</v>
      </c>
      <c r="J7" s="479" t="s">
        <v>323</v>
      </c>
      <c r="K7" s="479" t="s">
        <v>324</v>
      </c>
      <c r="L7" s="492">
        <v>194.26</v>
      </c>
      <c r="M7" s="492">
        <v>1942.6</v>
      </c>
      <c r="N7" s="479">
        <v>10</v>
      </c>
      <c r="O7" s="493">
        <v>2</v>
      </c>
      <c r="P7" s="492">
        <v>1942.6</v>
      </c>
      <c r="Q7" s="306">
        <v>1</v>
      </c>
      <c r="R7" s="479">
        <v>10</v>
      </c>
      <c r="S7" s="306">
        <v>1</v>
      </c>
      <c r="T7" s="493">
        <v>2</v>
      </c>
      <c r="U7" s="307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65" t="s">
        <v>327</v>
      </c>
      <c r="B1" s="366"/>
      <c r="C1" s="366"/>
      <c r="D1" s="366"/>
      <c r="E1" s="366"/>
      <c r="F1" s="366"/>
    </row>
    <row r="2" spans="1:6" ht="14.4" customHeight="1" thickBot="1" x14ac:dyDescent="0.35">
      <c r="A2" s="230" t="s">
        <v>253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7" t="s">
        <v>126</v>
      </c>
      <c r="C3" s="368"/>
      <c r="D3" s="369" t="s">
        <v>125</v>
      </c>
      <c r="E3" s="368"/>
      <c r="F3" s="80" t="s">
        <v>3</v>
      </c>
    </row>
    <row r="4" spans="1:6" ht="14.4" customHeight="1" thickBot="1" x14ac:dyDescent="0.35">
      <c r="A4" s="494" t="s">
        <v>155</v>
      </c>
      <c r="B4" s="495" t="s">
        <v>13</v>
      </c>
      <c r="C4" s="496" t="s">
        <v>2</v>
      </c>
      <c r="D4" s="495" t="s">
        <v>13</v>
      </c>
      <c r="E4" s="496" t="s">
        <v>2</v>
      </c>
      <c r="F4" s="497" t="s">
        <v>13</v>
      </c>
    </row>
    <row r="5" spans="1:6" ht="14.4" customHeight="1" thickBot="1" x14ac:dyDescent="0.35">
      <c r="A5" s="513" t="s">
        <v>320</v>
      </c>
      <c r="B5" s="498"/>
      <c r="C5" s="499">
        <v>0</v>
      </c>
      <c r="D5" s="498">
        <v>1942.6</v>
      </c>
      <c r="E5" s="499">
        <v>1</v>
      </c>
      <c r="F5" s="500">
        <v>1942.6</v>
      </c>
    </row>
    <row r="6" spans="1:6" ht="14.4" customHeight="1" thickBot="1" x14ac:dyDescent="0.35">
      <c r="A6" s="509" t="s">
        <v>3</v>
      </c>
      <c r="B6" s="510"/>
      <c r="C6" s="511">
        <v>0</v>
      </c>
      <c r="D6" s="510">
        <v>1942.6</v>
      </c>
      <c r="E6" s="511">
        <v>1</v>
      </c>
      <c r="F6" s="512">
        <v>1942.6</v>
      </c>
    </row>
    <row r="7" spans="1:6" ht="14.4" customHeight="1" thickBot="1" x14ac:dyDescent="0.35"/>
    <row r="8" spans="1:6" ht="14.4" customHeight="1" thickBot="1" x14ac:dyDescent="0.35">
      <c r="A8" s="513" t="s">
        <v>328</v>
      </c>
      <c r="B8" s="498"/>
      <c r="C8" s="499">
        <v>0</v>
      </c>
      <c r="D8" s="498">
        <v>1942.6</v>
      </c>
      <c r="E8" s="499">
        <v>1</v>
      </c>
      <c r="F8" s="500">
        <v>1942.6</v>
      </c>
    </row>
    <row r="9" spans="1:6" ht="14.4" customHeight="1" thickBot="1" x14ac:dyDescent="0.35">
      <c r="A9" s="509" t="s">
        <v>3</v>
      </c>
      <c r="B9" s="510"/>
      <c r="C9" s="511">
        <v>0</v>
      </c>
      <c r="D9" s="510">
        <v>1942.6</v>
      </c>
      <c r="E9" s="511">
        <v>1</v>
      </c>
      <c r="F9" s="512">
        <v>1942.6</v>
      </c>
    </row>
  </sheetData>
  <mergeCells count="3">
    <mergeCell ref="A1:F1"/>
    <mergeCell ref="B3:C3"/>
    <mergeCell ref="D3:E3"/>
  </mergeCells>
  <conditionalFormatting sqref="C5:C1048576">
    <cfRule type="cellIs" dxfId="25" priority="12" stopIfTrue="1" operator="greaterThan">
      <formula>0.2</formula>
    </cfRule>
  </conditionalFormatting>
  <conditionalFormatting sqref="F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{F6F0776D-FE4F-442D-BCAB-B947768C7845}</x14:id>
        </ext>
      </extLst>
    </cfRule>
  </conditionalFormatting>
  <conditionalFormatting sqref="F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{7F9248C4-72B2-4E9B-8F2C-46C4E0518C43}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6F0776D-FE4F-442D-BCAB-B947768C784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7F9248C4-72B2-4E9B-8F2C-46C4E0518C4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30"/>
  </cols>
  <sheetData>
    <row r="1" spans="1:13" ht="18.600000000000001" customHeight="1" thickBot="1" x14ac:dyDescent="0.4">
      <c r="A1" s="366" t="s">
        <v>330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30"/>
      <c r="M1" s="330"/>
    </row>
    <row r="2" spans="1:13" ht="14.4" customHeight="1" thickBot="1" x14ac:dyDescent="0.35">
      <c r="A2" s="230" t="s">
        <v>253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124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10</v>
      </c>
      <c r="J3" s="43">
        <f>SUBTOTAL(9,J6:J1048576)</f>
        <v>1942.6</v>
      </c>
      <c r="K3" s="44">
        <f>IF(M3=0,0,J3/M3)</f>
        <v>1</v>
      </c>
      <c r="L3" s="43">
        <f>SUBTOTAL(9,L6:L1048576)</f>
        <v>10</v>
      </c>
      <c r="M3" s="45">
        <f>SUBTOTAL(9,M6:M1048576)</f>
        <v>1942.6</v>
      </c>
    </row>
    <row r="4" spans="1:13" ht="14.4" customHeight="1" thickBot="1" x14ac:dyDescent="0.35">
      <c r="A4" s="41"/>
      <c r="B4" s="41"/>
      <c r="C4" s="41"/>
      <c r="D4" s="41"/>
      <c r="E4" s="42"/>
      <c r="F4" s="370" t="s">
        <v>126</v>
      </c>
      <c r="G4" s="371"/>
      <c r="H4" s="372"/>
      <c r="I4" s="373" t="s">
        <v>125</v>
      </c>
      <c r="J4" s="371"/>
      <c r="K4" s="372"/>
      <c r="L4" s="374" t="s">
        <v>3</v>
      </c>
      <c r="M4" s="375"/>
    </row>
    <row r="5" spans="1:13" ht="14.4" customHeight="1" thickBot="1" x14ac:dyDescent="0.35">
      <c r="A5" s="494" t="s">
        <v>131</v>
      </c>
      <c r="B5" s="515" t="s">
        <v>127</v>
      </c>
      <c r="C5" s="515" t="s">
        <v>69</v>
      </c>
      <c r="D5" s="515" t="s">
        <v>128</v>
      </c>
      <c r="E5" s="515" t="s">
        <v>129</v>
      </c>
      <c r="F5" s="516" t="s">
        <v>27</v>
      </c>
      <c r="G5" s="516" t="s">
        <v>13</v>
      </c>
      <c r="H5" s="496" t="s">
        <v>130</v>
      </c>
      <c r="I5" s="495" t="s">
        <v>27</v>
      </c>
      <c r="J5" s="516" t="s">
        <v>13</v>
      </c>
      <c r="K5" s="496" t="s">
        <v>130</v>
      </c>
      <c r="L5" s="495" t="s">
        <v>27</v>
      </c>
      <c r="M5" s="517" t="s">
        <v>13</v>
      </c>
    </row>
    <row r="6" spans="1:13" ht="14.4" customHeight="1" thickBot="1" x14ac:dyDescent="0.35">
      <c r="A6" s="474" t="s">
        <v>320</v>
      </c>
      <c r="B6" s="479" t="s">
        <v>329</v>
      </c>
      <c r="C6" s="479" t="s">
        <v>322</v>
      </c>
      <c r="D6" s="479" t="s">
        <v>323</v>
      </c>
      <c r="E6" s="479" t="s">
        <v>324</v>
      </c>
      <c r="F6" s="480"/>
      <c r="G6" s="480"/>
      <c r="H6" s="306">
        <v>0</v>
      </c>
      <c r="I6" s="480">
        <v>10</v>
      </c>
      <c r="J6" s="480">
        <v>1942.6</v>
      </c>
      <c r="K6" s="306">
        <v>1</v>
      </c>
      <c r="L6" s="480">
        <v>10</v>
      </c>
      <c r="M6" s="508">
        <v>1942.6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9" t="s">
        <v>134</v>
      </c>
      <c r="B1" s="360"/>
      <c r="C1" s="360"/>
      <c r="D1" s="360"/>
      <c r="E1" s="360"/>
      <c r="F1" s="360"/>
      <c r="G1" s="331"/>
      <c r="H1" s="361"/>
      <c r="I1" s="361"/>
    </row>
    <row r="2" spans="1:10" ht="14.4" customHeight="1" thickBot="1" x14ac:dyDescent="0.35">
      <c r="A2" s="230" t="s">
        <v>253</v>
      </c>
      <c r="B2" s="206"/>
      <c r="C2" s="206"/>
      <c r="D2" s="206"/>
      <c r="E2" s="206"/>
      <c r="F2" s="206"/>
    </row>
    <row r="3" spans="1:10" ht="14.4" customHeight="1" thickBot="1" x14ac:dyDescent="0.35">
      <c r="A3" s="230"/>
      <c r="B3" s="206"/>
      <c r="C3" s="298">
        <v>2014</v>
      </c>
      <c r="D3" s="299">
        <v>2015</v>
      </c>
      <c r="E3" s="7"/>
      <c r="F3" s="354">
        <v>2016</v>
      </c>
      <c r="G3" s="355"/>
      <c r="H3" s="355"/>
      <c r="I3" s="356"/>
    </row>
    <row r="4" spans="1:10" ht="14.4" customHeight="1" thickBot="1" x14ac:dyDescent="0.35">
      <c r="A4" s="303" t="s">
        <v>0</v>
      </c>
      <c r="B4" s="304" t="s">
        <v>212</v>
      </c>
      <c r="C4" s="357" t="s">
        <v>71</v>
      </c>
      <c r="D4" s="358"/>
      <c r="E4" s="305"/>
      <c r="F4" s="300" t="s">
        <v>71</v>
      </c>
      <c r="G4" s="301" t="s">
        <v>72</v>
      </c>
      <c r="H4" s="301" t="s">
        <v>66</v>
      </c>
      <c r="I4" s="302" t="s">
        <v>73</v>
      </c>
    </row>
    <row r="5" spans="1:10" ht="14.4" customHeight="1" x14ac:dyDescent="0.3">
      <c r="A5" s="466" t="s">
        <v>311</v>
      </c>
      <c r="B5" s="467" t="s">
        <v>308</v>
      </c>
      <c r="C5" s="518" t="s">
        <v>309</v>
      </c>
      <c r="D5" s="518" t="s">
        <v>309</v>
      </c>
      <c r="E5" s="518"/>
      <c r="F5" s="518" t="s">
        <v>309</v>
      </c>
      <c r="G5" s="518" t="s">
        <v>309</v>
      </c>
      <c r="H5" s="518" t="s">
        <v>309</v>
      </c>
      <c r="I5" s="519" t="s">
        <v>309</v>
      </c>
      <c r="J5" s="468" t="s">
        <v>67</v>
      </c>
    </row>
    <row r="6" spans="1:10" ht="14.4" customHeight="1" x14ac:dyDescent="0.3">
      <c r="A6" s="466" t="s">
        <v>311</v>
      </c>
      <c r="B6" s="467" t="s">
        <v>262</v>
      </c>
      <c r="C6" s="518">
        <v>2.9211799999999997</v>
      </c>
      <c r="D6" s="518">
        <v>11.675199999999</v>
      </c>
      <c r="E6" s="518"/>
      <c r="F6" s="518">
        <v>6.7688100000000002</v>
      </c>
      <c r="G6" s="518">
        <v>5.0000013782783332</v>
      </c>
      <c r="H6" s="518">
        <v>1.768808621721667</v>
      </c>
      <c r="I6" s="519">
        <v>1.3537616268279362</v>
      </c>
      <c r="J6" s="468" t="s">
        <v>1</v>
      </c>
    </row>
    <row r="7" spans="1:10" ht="14.4" customHeight="1" x14ac:dyDescent="0.3">
      <c r="A7" s="466" t="s">
        <v>311</v>
      </c>
      <c r="B7" s="467" t="s">
        <v>263</v>
      </c>
      <c r="C7" s="518">
        <v>59.477850000000004</v>
      </c>
      <c r="D7" s="518">
        <v>44.724649999999997</v>
      </c>
      <c r="E7" s="518"/>
      <c r="F7" s="518">
        <v>45.58502</v>
      </c>
      <c r="G7" s="518">
        <v>61.666683665432998</v>
      </c>
      <c r="H7" s="518">
        <v>-16.081663665432998</v>
      </c>
      <c r="I7" s="519">
        <v>0.73921633677136578</v>
      </c>
      <c r="J7" s="468" t="s">
        <v>1</v>
      </c>
    </row>
    <row r="8" spans="1:10" ht="14.4" customHeight="1" x14ac:dyDescent="0.3">
      <c r="A8" s="466" t="s">
        <v>311</v>
      </c>
      <c r="B8" s="467" t="s">
        <v>264</v>
      </c>
      <c r="C8" s="518">
        <v>1.7157</v>
      </c>
      <c r="D8" s="518">
        <v>12.20856</v>
      </c>
      <c r="E8" s="518"/>
      <c r="F8" s="518">
        <v>2.0425</v>
      </c>
      <c r="G8" s="518">
        <v>11.666669882649501</v>
      </c>
      <c r="H8" s="518">
        <v>-9.6241698826495004</v>
      </c>
      <c r="I8" s="519">
        <v>0.17507138031200967</v>
      </c>
      <c r="J8" s="468" t="s">
        <v>1</v>
      </c>
    </row>
    <row r="9" spans="1:10" ht="14.4" customHeight="1" x14ac:dyDescent="0.3">
      <c r="A9" s="466" t="s">
        <v>311</v>
      </c>
      <c r="B9" s="467" t="s">
        <v>265</v>
      </c>
      <c r="C9" s="518">
        <v>3.1459999999999999</v>
      </c>
      <c r="D9" s="518">
        <v>1.8290299999999999</v>
      </c>
      <c r="E9" s="518"/>
      <c r="F9" s="518">
        <v>1.9387000000000001</v>
      </c>
      <c r="G9" s="518">
        <v>2.8333341143576667</v>
      </c>
      <c r="H9" s="518">
        <v>-0.8946341143576666</v>
      </c>
      <c r="I9" s="519">
        <v>0.68424687020701569</v>
      </c>
      <c r="J9" s="468" t="s">
        <v>1</v>
      </c>
    </row>
    <row r="10" spans="1:10" ht="14.4" customHeight="1" x14ac:dyDescent="0.3">
      <c r="A10" s="466" t="s">
        <v>311</v>
      </c>
      <c r="B10" s="467" t="s">
        <v>266</v>
      </c>
      <c r="C10" s="518">
        <v>1.875</v>
      </c>
      <c r="D10" s="518">
        <v>0.67500000000000004</v>
      </c>
      <c r="E10" s="518"/>
      <c r="F10" s="518">
        <v>3.7296399999999998</v>
      </c>
      <c r="G10" s="518">
        <v>2.5000006891391666</v>
      </c>
      <c r="H10" s="518">
        <v>1.2296393108608332</v>
      </c>
      <c r="I10" s="519">
        <v>1.491855588761553</v>
      </c>
      <c r="J10" s="468" t="s">
        <v>1</v>
      </c>
    </row>
    <row r="11" spans="1:10" ht="14.4" customHeight="1" x14ac:dyDescent="0.3">
      <c r="A11" s="466" t="s">
        <v>311</v>
      </c>
      <c r="B11" s="467" t="s">
        <v>267</v>
      </c>
      <c r="C11" s="518">
        <v>0</v>
      </c>
      <c r="D11" s="518">
        <v>0</v>
      </c>
      <c r="E11" s="518"/>
      <c r="F11" s="518">
        <v>0</v>
      </c>
      <c r="G11" s="518">
        <v>3.1666675395761668</v>
      </c>
      <c r="H11" s="518">
        <v>-3.1666675395761668</v>
      </c>
      <c r="I11" s="519">
        <v>0</v>
      </c>
      <c r="J11" s="468" t="s">
        <v>1</v>
      </c>
    </row>
    <row r="12" spans="1:10" ht="14.4" customHeight="1" x14ac:dyDescent="0.3">
      <c r="A12" s="466" t="s">
        <v>311</v>
      </c>
      <c r="B12" s="467" t="s">
        <v>314</v>
      </c>
      <c r="C12" s="518">
        <v>69.135730000000009</v>
      </c>
      <c r="D12" s="518">
        <v>71.112439999998998</v>
      </c>
      <c r="E12" s="518"/>
      <c r="F12" s="518">
        <v>60.064669999999992</v>
      </c>
      <c r="G12" s="518">
        <v>86.833357269433833</v>
      </c>
      <c r="H12" s="518">
        <v>-26.76868726943384</v>
      </c>
      <c r="I12" s="519">
        <v>0.691723456155522</v>
      </c>
      <c r="J12" s="468" t="s">
        <v>312</v>
      </c>
    </row>
    <row r="14" spans="1:10" ht="14.4" customHeight="1" x14ac:dyDescent="0.3">
      <c r="A14" s="466" t="s">
        <v>311</v>
      </c>
      <c r="B14" s="467" t="s">
        <v>308</v>
      </c>
      <c r="C14" s="518" t="s">
        <v>309</v>
      </c>
      <c r="D14" s="518" t="s">
        <v>309</v>
      </c>
      <c r="E14" s="518"/>
      <c r="F14" s="518" t="s">
        <v>309</v>
      </c>
      <c r="G14" s="518" t="s">
        <v>309</v>
      </c>
      <c r="H14" s="518" t="s">
        <v>309</v>
      </c>
      <c r="I14" s="519" t="s">
        <v>309</v>
      </c>
      <c r="J14" s="468" t="s">
        <v>67</v>
      </c>
    </row>
    <row r="15" spans="1:10" ht="14.4" customHeight="1" x14ac:dyDescent="0.3">
      <c r="A15" s="466" t="s">
        <v>331</v>
      </c>
      <c r="B15" s="467" t="s">
        <v>332</v>
      </c>
      <c r="C15" s="518" t="s">
        <v>309</v>
      </c>
      <c r="D15" s="518" t="s">
        <v>309</v>
      </c>
      <c r="E15" s="518"/>
      <c r="F15" s="518" t="s">
        <v>309</v>
      </c>
      <c r="G15" s="518" t="s">
        <v>309</v>
      </c>
      <c r="H15" s="518" t="s">
        <v>309</v>
      </c>
      <c r="I15" s="519" t="s">
        <v>309</v>
      </c>
      <c r="J15" s="468" t="s">
        <v>0</v>
      </c>
    </row>
    <row r="16" spans="1:10" ht="14.4" customHeight="1" x14ac:dyDescent="0.3">
      <c r="A16" s="466" t="s">
        <v>331</v>
      </c>
      <c r="B16" s="467" t="s">
        <v>262</v>
      </c>
      <c r="C16" s="518">
        <v>2.9211799999999997</v>
      </c>
      <c r="D16" s="518">
        <v>11.675199999999</v>
      </c>
      <c r="E16" s="518"/>
      <c r="F16" s="518">
        <v>6.7688100000000002</v>
      </c>
      <c r="G16" s="518">
        <v>5.0000013782783332</v>
      </c>
      <c r="H16" s="518">
        <v>1.768808621721667</v>
      </c>
      <c r="I16" s="519">
        <v>1.3537616268279362</v>
      </c>
      <c r="J16" s="468" t="s">
        <v>1</v>
      </c>
    </row>
    <row r="17" spans="1:10" ht="14.4" customHeight="1" x14ac:dyDescent="0.3">
      <c r="A17" s="466" t="s">
        <v>331</v>
      </c>
      <c r="B17" s="467" t="s">
        <v>263</v>
      </c>
      <c r="C17" s="518">
        <v>59.477850000000004</v>
      </c>
      <c r="D17" s="518">
        <v>44.724649999999997</v>
      </c>
      <c r="E17" s="518"/>
      <c r="F17" s="518">
        <v>45.58502</v>
      </c>
      <c r="G17" s="518">
        <v>61.666683665432998</v>
      </c>
      <c r="H17" s="518">
        <v>-16.081663665432998</v>
      </c>
      <c r="I17" s="519">
        <v>0.73921633677136578</v>
      </c>
      <c r="J17" s="468" t="s">
        <v>1</v>
      </c>
    </row>
    <row r="18" spans="1:10" ht="14.4" customHeight="1" x14ac:dyDescent="0.3">
      <c r="A18" s="466" t="s">
        <v>331</v>
      </c>
      <c r="B18" s="467" t="s">
        <v>264</v>
      </c>
      <c r="C18" s="518">
        <v>1.7157</v>
      </c>
      <c r="D18" s="518">
        <v>12.20856</v>
      </c>
      <c r="E18" s="518"/>
      <c r="F18" s="518">
        <v>2.0425</v>
      </c>
      <c r="G18" s="518">
        <v>11.666669882649501</v>
      </c>
      <c r="H18" s="518">
        <v>-9.6241698826495004</v>
      </c>
      <c r="I18" s="519">
        <v>0.17507138031200967</v>
      </c>
      <c r="J18" s="468" t="s">
        <v>1</v>
      </c>
    </row>
    <row r="19" spans="1:10" ht="14.4" customHeight="1" x14ac:dyDescent="0.3">
      <c r="A19" s="466" t="s">
        <v>331</v>
      </c>
      <c r="B19" s="467" t="s">
        <v>265</v>
      </c>
      <c r="C19" s="518">
        <v>3.1459999999999999</v>
      </c>
      <c r="D19" s="518">
        <v>1.8290299999999999</v>
      </c>
      <c r="E19" s="518"/>
      <c r="F19" s="518">
        <v>1.9387000000000001</v>
      </c>
      <c r="G19" s="518">
        <v>2.8333341143576667</v>
      </c>
      <c r="H19" s="518">
        <v>-0.8946341143576666</v>
      </c>
      <c r="I19" s="519">
        <v>0.68424687020701569</v>
      </c>
      <c r="J19" s="468" t="s">
        <v>1</v>
      </c>
    </row>
    <row r="20" spans="1:10" ht="14.4" customHeight="1" x14ac:dyDescent="0.3">
      <c r="A20" s="466" t="s">
        <v>331</v>
      </c>
      <c r="B20" s="467" t="s">
        <v>266</v>
      </c>
      <c r="C20" s="518">
        <v>1.875</v>
      </c>
      <c r="D20" s="518">
        <v>0.67500000000000004</v>
      </c>
      <c r="E20" s="518"/>
      <c r="F20" s="518">
        <v>3.7296399999999998</v>
      </c>
      <c r="G20" s="518">
        <v>2.5000006891391666</v>
      </c>
      <c r="H20" s="518">
        <v>1.2296393108608332</v>
      </c>
      <c r="I20" s="519">
        <v>1.491855588761553</v>
      </c>
      <c r="J20" s="468" t="s">
        <v>1</v>
      </c>
    </row>
    <row r="21" spans="1:10" ht="14.4" customHeight="1" x14ac:dyDescent="0.3">
      <c r="A21" s="466" t="s">
        <v>331</v>
      </c>
      <c r="B21" s="467" t="s">
        <v>267</v>
      </c>
      <c r="C21" s="518">
        <v>0</v>
      </c>
      <c r="D21" s="518">
        <v>0</v>
      </c>
      <c r="E21" s="518"/>
      <c r="F21" s="518">
        <v>0</v>
      </c>
      <c r="G21" s="518">
        <v>3.1666675395761668</v>
      </c>
      <c r="H21" s="518">
        <v>-3.1666675395761668</v>
      </c>
      <c r="I21" s="519">
        <v>0</v>
      </c>
      <c r="J21" s="468" t="s">
        <v>1</v>
      </c>
    </row>
    <row r="22" spans="1:10" ht="14.4" customHeight="1" x14ac:dyDescent="0.3">
      <c r="A22" s="466" t="s">
        <v>331</v>
      </c>
      <c r="B22" s="467" t="s">
        <v>333</v>
      </c>
      <c r="C22" s="518">
        <v>69.135730000000009</v>
      </c>
      <c r="D22" s="518">
        <v>71.112439999998998</v>
      </c>
      <c r="E22" s="518"/>
      <c r="F22" s="518">
        <v>60.064669999999992</v>
      </c>
      <c r="G22" s="518">
        <v>86.833357269433833</v>
      </c>
      <c r="H22" s="518">
        <v>-26.76868726943384</v>
      </c>
      <c r="I22" s="519">
        <v>0.691723456155522</v>
      </c>
      <c r="J22" s="468" t="s">
        <v>315</v>
      </c>
    </row>
    <row r="23" spans="1:10" ht="14.4" customHeight="1" x14ac:dyDescent="0.3">
      <c r="A23" s="466" t="s">
        <v>309</v>
      </c>
      <c r="B23" s="467" t="s">
        <v>309</v>
      </c>
      <c r="C23" s="518" t="s">
        <v>309</v>
      </c>
      <c r="D23" s="518" t="s">
        <v>309</v>
      </c>
      <c r="E23" s="518"/>
      <c r="F23" s="518" t="s">
        <v>309</v>
      </c>
      <c r="G23" s="518" t="s">
        <v>309</v>
      </c>
      <c r="H23" s="518" t="s">
        <v>309</v>
      </c>
      <c r="I23" s="519" t="s">
        <v>309</v>
      </c>
      <c r="J23" s="468" t="s">
        <v>316</v>
      </c>
    </row>
    <row r="24" spans="1:10" ht="14.4" customHeight="1" x14ac:dyDescent="0.3">
      <c r="A24" s="466" t="s">
        <v>311</v>
      </c>
      <c r="B24" s="467" t="s">
        <v>314</v>
      </c>
      <c r="C24" s="518">
        <v>69.135730000000009</v>
      </c>
      <c r="D24" s="518">
        <v>71.112439999998998</v>
      </c>
      <c r="E24" s="518"/>
      <c r="F24" s="518">
        <v>60.064669999999992</v>
      </c>
      <c r="G24" s="518">
        <v>86.833357269433833</v>
      </c>
      <c r="H24" s="518">
        <v>-26.76868726943384</v>
      </c>
      <c r="I24" s="519">
        <v>0.691723456155522</v>
      </c>
      <c r="J24" s="468" t="s">
        <v>312</v>
      </c>
    </row>
  </sheetData>
  <mergeCells count="3">
    <mergeCell ref="A1:I1"/>
    <mergeCell ref="F3:I3"/>
    <mergeCell ref="C4:D4"/>
  </mergeCells>
  <conditionalFormatting sqref="F13 F25:F65537">
    <cfRule type="cellIs" dxfId="24" priority="18" stopIfTrue="1" operator="greaterThan">
      <formula>1</formula>
    </cfRule>
  </conditionalFormatting>
  <conditionalFormatting sqref="H5:H12">
    <cfRule type="expression" dxfId="23" priority="14">
      <formula>$H5&gt;0</formula>
    </cfRule>
  </conditionalFormatting>
  <conditionalFormatting sqref="I5:I12">
    <cfRule type="expression" dxfId="22" priority="15">
      <formula>$I5&gt;1</formula>
    </cfRule>
  </conditionalFormatting>
  <conditionalFormatting sqref="B5:B12">
    <cfRule type="expression" dxfId="21" priority="11">
      <formula>OR($J5="NS",$J5="SumaNS",$J5="Účet")</formula>
    </cfRule>
  </conditionalFormatting>
  <conditionalFormatting sqref="F5:I12 B5:D12">
    <cfRule type="expression" dxfId="20" priority="17">
      <formula>AND($J5&lt;&gt;"",$J5&lt;&gt;"mezeraKL")</formula>
    </cfRule>
  </conditionalFormatting>
  <conditionalFormatting sqref="B5:D12 F5:I12">
    <cfRule type="expression" dxfId="19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8" priority="13">
      <formula>OR($J5="SumaNS",$J5="NS")</formula>
    </cfRule>
  </conditionalFormatting>
  <conditionalFormatting sqref="A5:A12">
    <cfRule type="expression" dxfId="17" priority="9">
      <formula>AND($J5&lt;&gt;"mezeraKL",$J5&lt;&gt;"")</formula>
    </cfRule>
  </conditionalFormatting>
  <conditionalFormatting sqref="A5:A12">
    <cfRule type="expression" dxfId="16" priority="10">
      <formula>AND($J5&lt;&gt;"",$J5&lt;&gt;"mezeraKL")</formula>
    </cfRule>
  </conditionalFormatting>
  <conditionalFormatting sqref="H14:H24">
    <cfRule type="expression" dxfId="15" priority="5">
      <formula>$H14&gt;0</formula>
    </cfRule>
  </conditionalFormatting>
  <conditionalFormatting sqref="A14:A24">
    <cfRule type="expression" dxfId="14" priority="2">
      <formula>AND($J14&lt;&gt;"mezeraKL",$J14&lt;&gt;"")</formula>
    </cfRule>
  </conditionalFormatting>
  <conditionalFormatting sqref="I14:I24">
    <cfRule type="expression" dxfId="13" priority="6">
      <formula>$I14&gt;1</formula>
    </cfRule>
  </conditionalFormatting>
  <conditionalFormatting sqref="B14:B24">
    <cfRule type="expression" dxfId="12" priority="1">
      <formula>OR($J14="NS",$J14="SumaNS",$J14="Účet")</formula>
    </cfRule>
  </conditionalFormatting>
  <conditionalFormatting sqref="A14:D24 F14:I24">
    <cfRule type="expression" dxfId="11" priority="8">
      <formula>AND($J14&lt;&gt;"",$J14&lt;&gt;"mezeraKL")</formula>
    </cfRule>
  </conditionalFormatting>
  <conditionalFormatting sqref="B14:D24 F14:I24">
    <cfRule type="expression" dxfId="10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24 F14:I24">
    <cfRule type="expression" dxfId="9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30"/>
  </cols>
  <sheetData>
    <row r="1" spans="1:11" ht="18.600000000000001" customHeight="1" thickBot="1" x14ac:dyDescent="0.4">
      <c r="A1" s="364" t="s">
        <v>402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</row>
    <row r="2" spans="1:11" ht="14.4" customHeight="1" thickBot="1" x14ac:dyDescent="0.35">
      <c r="A2" s="230" t="s">
        <v>253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62"/>
      <c r="D3" s="363"/>
      <c r="E3" s="363"/>
      <c r="F3" s="363"/>
      <c r="G3" s="363"/>
      <c r="H3" s="142" t="s">
        <v>124</v>
      </c>
      <c r="I3" s="98">
        <f>IF(J3&lt;&gt;0,K3/J3,0)</f>
        <v>7.7612960330792085</v>
      </c>
      <c r="J3" s="98">
        <f>SUBTOTAL(9,J5:J1048576)</f>
        <v>7739</v>
      </c>
      <c r="K3" s="99">
        <f>SUBTOTAL(9,K5:K1048576)</f>
        <v>60064.669999999991</v>
      </c>
    </row>
    <row r="4" spans="1:11" s="208" customFormat="1" ht="14.4" customHeight="1" thickBot="1" x14ac:dyDescent="0.35">
      <c r="A4" s="520" t="s">
        <v>4</v>
      </c>
      <c r="B4" s="521" t="s">
        <v>5</v>
      </c>
      <c r="C4" s="521" t="s">
        <v>0</v>
      </c>
      <c r="D4" s="521" t="s">
        <v>6</v>
      </c>
      <c r="E4" s="521" t="s">
        <v>7</v>
      </c>
      <c r="F4" s="521" t="s">
        <v>1</v>
      </c>
      <c r="G4" s="521" t="s">
        <v>69</v>
      </c>
      <c r="H4" s="522" t="s">
        <v>10</v>
      </c>
      <c r="I4" s="523" t="s">
        <v>137</v>
      </c>
      <c r="J4" s="523" t="s">
        <v>12</v>
      </c>
      <c r="K4" s="524" t="s">
        <v>151</v>
      </c>
    </row>
    <row r="5" spans="1:11" ht="14.4" customHeight="1" x14ac:dyDescent="0.3">
      <c r="A5" s="501" t="s">
        <v>311</v>
      </c>
      <c r="B5" s="525" t="s">
        <v>308</v>
      </c>
      <c r="C5" s="526" t="s">
        <v>331</v>
      </c>
      <c r="D5" s="527" t="s">
        <v>308</v>
      </c>
      <c r="E5" s="526" t="s">
        <v>392</v>
      </c>
      <c r="F5" s="527" t="s">
        <v>393</v>
      </c>
      <c r="G5" s="526" t="s">
        <v>334</v>
      </c>
      <c r="H5" s="526" t="s">
        <v>335</v>
      </c>
      <c r="I5" s="116">
        <v>42.453999999999994</v>
      </c>
      <c r="J5" s="116">
        <v>15</v>
      </c>
      <c r="K5" s="503">
        <v>636.82999999999993</v>
      </c>
    </row>
    <row r="6" spans="1:11" ht="14.4" customHeight="1" x14ac:dyDescent="0.3">
      <c r="A6" s="528" t="s">
        <v>311</v>
      </c>
      <c r="B6" s="529" t="s">
        <v>308</v>
      </c>
      <c r="C6" s="530" t="s">
        <v>331</v>
      </c>
      <c r="D6" s="531" t="s">
        <v>308</v>
      </c>
      <c r="E6" s="530" t="s">
        <v>392</v>
      </c>
      <c r="F6" s="531" t="s">
        <v>393</v>
      </c>
      <c r="G6" s="530" t="s">
        <v>336</v>
      </c>
      <c r="H6" s="530" t="s">
        <v>337</v>
      </c>
      <c r="I6" s="532">
        <v>0.88</v>
      </c>
      <c r="J6" s="532">
        <v>300</v>
      </c>
      <c r="K6" s="533">
        <v>264</v>
      </c>
    </row>
    <row r="7" spans="1:11" ht="14.4" customHeight="1" x14ac:dyDescent="0.3">
      <c r="A7" s="528" t="s">
        <v>311</v>
      </c>
      <c r="B7" s="529" t="s">
        <v>308</v>
      </c>
      <c r="C7" s="530" t="s">
        <v>331</v>
      </c>
      <c r="D7" s="531" t="s">
        <v>308</v>
      </c>
      <c r="E7" s="530" t="s">
        <v>392</v>
      </c>
      <c r="F7" s="531" t="s">
        <v>393</v>
      </c>
      <c r="G7" s="530" t="s">
        <v>338</v>
      </c>
      <c r="H7" s="530" t="s">
        <v>339</v>
      </c>
      <c r="I7" s="532">
        <v>0.67</v>
      </c>
      <c r="J7" s="532">
        <v>650</v>
      </c>
      <c r="K7" s="533">
        <v>435.5</v>
      </c>
    </row>
    <row r="8" spans="1:11" ht="14.4" customHeight="1" x14ac:dyDescent="0.3">
      <c r="A8" s="528" t="s">
        <v>311</v>
      </c>
      <c r="B8" s="529" t="s">
        <v>308</v>
      </c>
      <c r="C8" s="530" t="s">
        <v>331</v>
      </c>
      <c r="D8" s="531" t="s">
        <v>308</v>
      </c>
      <c r="E8" s="530" t="s">
        <v>392</v>
      </c>
      <c r="F8" s="531" t="s">
        <v>393</v>
      </c>
      <c r="G8" s="530" t="s">
        <v>340</v>
      </c>
      <c r="H8" s="530" t="s">
        <v>341</v>
      </c>
      <c r="I8" s="532">
        <v>1.1724999999999999</v>
      </c>
      <c r="J8" s="532">
        <v>1450</v>
      </c>
      <c r="K8" s="533">
        <v>1697.5</v>
      </c>
    </row>
    <row r="9" spans="1:11" ht="14.4" customHeight="1" x14ac:dyDescent="0.3">
      <c r="A9" s="528" t="s">
        <v>311</v>
      </c>
      <c r="B9" s="529" t="s">
        <v>308</v>
      </c>
      <c r="C9" s="530" t="s">
        <v>331</v>
      </c>
      <c r="D9" s="531" t="s">
        <v>308</v>
      </c>
      <c r="E9" s="530" t="s">
        <v>392</v>
      </c>
      <c r="F9" s="531" t="s">
        <v>393</v>
      </c>
      <c r="G9" s="530" t="s">
        <v>342</v>
      </c>
      <c r="H9" s="530" t="s">
        <v>343</v>
      </c>
      <c r="I9" s="532">
        <v>0.59</v>
      </c>
      <c r="J9" s="532">
        <v>600</v>
      </c>
      <c r="K9" s="533">
        <v>354</v>
      </c>
    </row>
    <row r="10" spans="1:11" ht="14.4" customHeight="1" x14ac:dyDescent="0.3">
      <c r="A10" s="528" t="s">
        <v>311</v>
      </c>
      <c r="B10" s="529" t="s">
        <v>308</v>
      </c>
      <c r="C10" s="530" t="s">
        <v>331</v>
      </c>
      <c r="D10" s="531" t="s">
        <v>308</v>
      </c>
      <c r="E10" s="530" t="s">
        <v>392</v>
      </c>
      <c r="F10" s="531" t="s">
        <v>393</v>
      </c>
      <c r="G10" s="530" t="s">
        <v>344</v>
      </c>
      <c r="H10" s="530" t="s">
        <v>345</v>
      </c>
      <c r="I10" s="532">
        <v>0.86</v>
      </c>
      <c r="J10" s="532">
        <v>100</v>
      </c>
      <c r="K10" s="533">
        <v>86</v>
      </c>
    </row>
    <row r="11" spans="1:11" ht="14.4" customHeight="1" x14ac:dyDescent="0.3">
      <c r="A11" s="528" t="s">
        <v>311</v>
      </c>
      <c r="B11" s="529" t="s">
        <v>308</v>
      </c>
      <c r="C11" s="530" t="s">
        <v>331</v>
      </c>
      <c r="D11" s="531" t="s">
        <v>308</v>
      </c>
      <c r="E11" s="530" t="s">
        <v>392</v>
      </c>
      <c r="F11" s="531" t="s">
        <v>393</v>
      </c>
      <c r="G11" s="530" t="s">
        <v>346</v>
      </c>
      <c r="H11" s="530" t="s">
        <v>347</v>
      </c>
      <c r="I11" s="532">
        <v>1.52</v>
      </c>
      <c r="J11" s="532">
        <v>10</v>
      </c>
      <c r="K11" s="533">
        <v>15.2</v>
      </c>
    </row>
    <row r="12" spans="1:11" ht="14.4" customHeight="1" x14ac:dyDescent="0.3">
      <c r="A12" s="528" t="s">
        <v>311</v>
      </c>
      <c r="B12" s="529" t="s">
        <v>308</v>
      </c>
      <c r="C12" s="530" t="s">
        <v>331</v>
      </c>
      <c r="D12" s="531" t="s">
        <v>308</v>
      </c>
      <c r="E12" s="530" t="s">
        <v>392</v>
      </c>
      <c r="F12" s="531" t="s">
        <v>393</v>
      </c>
      <c r="G12" s="530" t="s">
        <v>348</v>
      </c>
      <c r="H12" s="530" t="s">
        <v>349</v>
      </c>
      <c r="I12" s="532">
        <v>43.86</v>
      </c>
      <c r="J12" s="532">
        <v>50</v>
      </c>
      <c r="K12" s="533">
        <v>2193.0299999999997</v>
      </c>
    </row>
    <row r="13" spans="1:11" ht="14.4" customHeight="1" x14ac:dyDescent="0.3">
      <c r="A13" s="528" t="s">
        <v>311</v>
      </c>
      <c r="B13" s="529" t="s">
        <v>308</v>
      </c>
      <c r="C13" s="530" t="s">
        <v>331</v>
      </c>
      <c r="D13" s="531" t="s">
        <v>308</v>
      </c>
      <c r="E13" s="530" t="s">
        <v>392</v>
      </c>
      <c r="F13" s="531" t="s">
        <v>393</v>
      </c>
      <c r="G13" s="530" t="s">
        <v>350</v>
      </c>
      <c r="H13" s="530" t="s">
        <v>351</v>
      </c>
      <c r="I13" s="532">
        <v>120.75</v>
      </c>
      <c r="J13" s="532">
        <v>3</v>
      </c>
      <c r="K13" s="533">
        <v>362.25</v>
      </c>
    </row>
    <row r="14" spans="1:11" ht="14.4" customHeight="1" x14ac:dyDescent="0.3">
      <c r="A14" s="528" t="s">
        <v>311</v>
      </c>
      <c r="B14" s="529" t="s">
        <v>308</v>
      </c>
      <c r="C14" s="530" t="s">
        <v>331</v>
      </c>
      <c r="D14" s="531" t="s">
        <v>308</v>
      </c>
      <c r="E14" s="530" t="s">
        <v>392</v>
      </c>
      <c r="F14" s="531" t="s">
        <v>393</v>
      </c>
      <c r="G14" s="530" t="s">
        <v>352</v>
      </c>
      <c r="H14" s="530" t="s">
        <v>353</v>
      </c>
      <c r="I14" s="532">
        <v>120.75</v>
      </c>
      <c r="J14" s="532">
        <v>3</v>
      </c>
      <c r="K14" s="533">
        <v>362.25</v>
      </c>
    </row>
    <row r="15" spans="1:11" ht="14.4" customHeight="1" x14ac:dyDescent="0.3">
      <c r="A15" s="528" t="s">
        <v>311</v>
      </c>
      <c r="B15" s="529" t="s">
        <v>308</v>
      </c>
      <c r="C15" s="530" t="s">
        <v>331</v>
      </c>
      <c r="D15" s="531" t="s">
        <v>308</v>
      </c>
      <c r="E15" s="530" t="s">
        <v>392</v>
      </c>
      <c r="F15" s="531" t="s">
        <v>393</v>
      </c>
      <c r="G15" s="530" t="s">
        <v>354</v>
      </c>
      <c r="H15" s="530" t="s">
        <v>355</v>
      </c>
      <c r="I15" s="532">
        <v>120.75</v>
      </c>
      <c r="J15" s="532">
        <v>3</v>
      </c>
      <c r="K15" s="533">
        <v>362.25</v>
      </c>
    </row>
    <row r="16" spans="1:11" ht="14.4" customHeight="1" x14ac:dyDescent="0.3">
      <c r="A16" s="528" t="s">
        <v>311</v>
      </c>
      <c r="B16" s="529" t="s">
        <v>308</v>
      </c>
      <c r="C16" s="530" t="s">
        <v>331</v>
      </c>
      <c r="D16" s="531" t="s">
        <v>308</v>
      </c>
      <c r="E16" s="530" t="s">
        <v>394</v>
      </c>
      <c r="F16" s="531" t="s">
        <v>395</v>
      </c>
      <c r="G16" s="530" t="s">
        <v>356</v>
      </c>
      <c r="H16" s="530" t="s">
        <v>357</v>
      </c>
      <c r="I16" s="532">
        <v>2.75</v>
      </c>
      <c r="J16" s="532">
        <v>20</v>
      </c>
      <c r="K16" s="533">
        <v>55</v>
      </c>
    </row>
    <row r="17" spans="1:11" ht="14.4" customHeight="1" x14ac:dyDescent="0.3">
      <c r="A17" s="528" t="s">
        <v>311</v>
      </c>
      <c r="B17" s="529" t="s">
        <v>308</v>
      </c>
      <c r="C17" s="530" t="s">
        <v>331</v>
      </c>
      <c r="D17" s="531" t="s">
        <v>308</v>
      </c>
      <c r="E17" s="530" t="s">
        <v>394</v>
      </c>
      <c r="F17" s="531" t="s">
        <v>395</v>
      </c>
      <c r="G17" s="530" t="s">
        <v>358</v>
      </c>
      <c r="H17" s="530" t="s">
        <v>359</v>
      </c>
      <c r="I17" s="532">
        <v>11.14</v>
      </c>
      <c r="J17" s="532">
        <v>120</v>
      </c>
      <c r="K17" s="533">
        <v>1336.8</v>
      </c>
    </row>
    <row r="18" spans="1:11" ht="14.4" customHeight="1" x14ac:dyDescent="0.3">
      <c r="A18" s="528" t="s">
        <v>311</v>
      </c>
      <c r="B18" s="529" t="s">
        <v>308</v>
      </c>
      <c r="C18" s="530" t="s">
        <v>331</v>
      </c>
      <c r="D18" s="531" t="s">
        <v>308</v>
      </c>
      <c r="E18" s="530" t="s">
        <v>394</v>
      </c>
      <c r="F18" s="531" t="s">
        <v>395</v>
      </c>
      <c r="G18" s="530" t="s">
        <v>360</v>
      </c>
      <c r="H18" s="530" t="s">
        <v>361</v>
      </c>
      <c r="I18" s="532">
        <v>1.0900000000000001</v>
      </c>
      <c r="J18" s="532">
        <v>1100</v>
      </c>
      <c r="K18" s="533">
        <v>1199</v>
      </c>
    </row>
    <row r="19" spans="1:11" ht="14.4" customHeight="1" x14ac:dyDescent="0.3">
      <c r="A19" s="528" t="s">
        <v>311</v>
      </c>
      <c r="B19" s="529" t="s">
        <v>308</v>
      </c>
      <c r="C19" s="530" t="s">
        <v>331</v>
      </c>
      <c r="D19" s="531" t="s">
        <v>308</v>
      </c>
      <c r="E19" s="530" t="s">
        <v>394</v>
      </c>
      <c r="F19" s="531" t="s">
        <v>395</v>
      </c>
      <c r="G19" s="530" t="s">
        <v>362</v>
      </c>
      <c r="H19" s="530" t="s">
        <v>363</v>
      </c>
      <c r="I19" s="532">
        <v>1.67</v>
      </c>
      <c r="J19" s="532">
        <v>440</v>
      </c>
      <c r="K19" s="533">
        <v>734.8</v>
      </c>
    </row>
    <row r="20" spans="1:11" ht="14.4" customHeight="1" x14ac:dyDescent="0.3">
      <c r="A20" s="528" t="s">
        <v>311</v>
      </c>
      <c r="B20" s="529" t="s">
        <v>308</v>
      </c>
      <c r="C20" s="530" t="s">
        <v>331</v>
      </c>
      <c r="D20" s="531" t="s">
        <v>308</v>
      </c>
      <c r="E20" s="530" t="s">
        <v>394</v>
      </c>
      <c r="F20" s="531" t="s">
        <v>395</v>
      </c>
      <c r="G20" s="530" t="s">
        <v>364</v>
      </c>
      <c r="H20" s="530" t="s">
        <v>365</v>
      </c>
      <c r="I20" s="532">
        <v>0.67</v>
      </c>
      <c r="J20" s="532">
        <v>400</v>
      </c>
      <c r="K20" s="533">
        <v>268</v>
      </c>
    </row>
    <row r="21" spans="1:11" ht="14.4" customHeight="1" x14ac:dyDescent="0.3">
      <c r="A21" s="528" t="s">
        <v>311</v>
      </c>
      <c r="B21" s="529" t="s">
        <v>308</v>
      </c>
      <c r="C21" s="530" t="s">
        <v>331</v>
      </c>
      <c r="D21" s="531" t="s">
        <v>308</v>
      </c>
      <c r="E21" s="530" t="s">
        <v>394</v>
      </c>
      <c r="F21" s="531" t="s">
        <v>395</v>
      </c>
      <c r="G21" s="530" t="s">
        <v>366</v>
      </c>
      <c r="H21" s="530" t="s">
        <v>367</v>
      </c>
      <c r="I21" s="532">
        <v>2.64</v>
      </c>
      <c r="J21" s="532">
        <v>5</v>
      </c>
      <c r="K21" s="533">
        <v>13.2</v>
      </c>
    </row>
    <row r="22" spans="1:11" ht="14.4" customHeight="1" x14ac:dyDescent="0.3">
      <c r="A22" s="528" t="s">
        <v>311</v>
      </c>
      <c r="B22" s="529" t="s">
        <v>308</v>
      </c>
      <c r="C22" s="530" t="s">
        <v>331</v>
      </c>
      <c r="D22" s="531" t="s">
        <v>308</v>
      </c>
      <c r="E22" s="530" t="s">
        <v>394</v>
      </c>
      <c r="F22" s="531" t="s">
        <v>395</v>
      </c>
      <c r="G22" s="530" t="s">
        <v>368</v>
      </c>
      <c r="H22" s="530" t="s">
        <v>369</v>
      </c>
      <c r="I22" s="532">
        <v>12.1</v>
      </c>
      <c r="J22" s="532">
        <v>1</v>
      </c>
      <c r="K22" s="533">
        <v>12.1</v>
      </c>
    </row>
    <row r="23" spans="1:11" ht="14.4" customHeight="1" x14ac:dyDescent="0.3">
      <c r="A23" s="528" t="s">
        <v>311</v>
      </c>
      <c r="B23" s="529" t="s">
        <v>308</v>
      </c>
      <c r="C23" s="530" t="s">
        <v>331</v>
      </c>
      <c r="D23" s="531" t="s">
        <v>308</v>
      </c>
      <c r="E23" s="530" t="s">
        <v>394</v>
      </c>
      <c r="F23" s="531" t="s">
        <v>395</v>
      </c>
      <c r="G23" s="530" t="s">
        <v>370</v>
      </c>
      <c r="H23" s="530" t="s">
        <v>371</v>
      </c>
      <c r="I23" s="532">
        <v>1.94</v>
      </c>
      <c r="J23" s="532">
        <v>30</v>
      </c>
      <c r="K23" s="533">
        <v>58.2</v>
      </c>
    </row>
    <row r="24" spans="1:11" ht="14.4" customHeight="1" x14ac:dyDescent="0.3">
      <c r="A24" s="528" t="s">
        <v>311</v>
      </c>
      <c r="B24" s="529" t="s">
        <v>308</v>
      </c>
      <c r="C24" s="530" t="s">
        <v>331</v>
      </c>
      <c r="D24" s="531" t="s">
        <v>308</v>
      </c>
      <c r="E24" s="530" t="s">
        <v>394</v>
      </c>
      <c r="F24" s="531" t="s">
        <v>395</v>
      </c>
      <c r="G24" s="530" t="s">
        <v>372</v>
      </c>
      <c r="H24" s="530" t="s">
        <v>373</v>
      </c>
      <c r="I24" s="532">
        <v>217.4366666666667</v>
      </c>
      <c r="J24" s="532">
        <v>180</v>
      </c>
      <c r="K24" s="533">
        <v>39138.6</v>
      </c>
    </row>
    <row r="25" spans="1:11" ht="14.4" customHeight="1" x14ac:dyDescent="0.3">
      <c r="A25" s="528" t="s">
        <v>311</v>
      </c>
      <c r="B25" s="529" t="s">
        <v>308</v>
      </c>
      <c r="C25" s="530" t="s">
        <v>331</v>
      </c>
      <c r="D25" s="531" t="s">
        <v>308</v>
      </c>
      <c r="E25" s="530" t="s">
        <v>394</v>
      </c>
      <c r="F25" s="531" t="s">
        <v>395</v>
      </c>
      <c r="G25" s="530" t="s">
        <v>374</v>
      </c>
      <c r="H25" s="530" t="s">
        <v>375</v>
      </c>
      <c r="I25" s="532">
        <v>0.47</v>
      </c>
      <c r="J25" s="532">
        <v>200</v>
      </c>
      <c r="K25" s="533">
        <v>94</v>
      </c>
    </row>
    <row r="26" spans="1:11" ht="14.4" customHeight="1" x14ac:dyDescent="0.3">
      <c r="A26" s="528" t="s">
        <v>311</v>
      </c>
      <c r="B26" s="529" t="s">
        <v>308</v>
      </c>
      <c r="C26" s="530" t="s">
        <v>331</v>
      </c>
      <c r="D26" s="531" t="s">
        <v>308</v>
      </c>
      <c r="E26" s="530" t="s">
        <v>394</v>
      </c>
      <c r="F26" s="531" t="s">
        <v>395</v>
      </c>
      <c r="G26" s="530" t="s">
        <v>376</v>
      </c>
      <c r="H26" s="530" t="s">
        <v>377</v>
      </c>
      <c r="I26" s="532">
        <v>3.42</v>
      </c>
      <c r="J26" s="532">
        <v>60</v>
      </c>
      <c r="K26" s="533">
        <v>205.2</v>
      </c>
    </row>
    <row r="27" spans="1:11" ht="14.4" customHeight="1" x14ac:dyDescent="0.3">
      <c r="A27" s="528" t="s">
        <v>311</v>
      </c>
      <c r="B27" s="529" t="s">
        <v>308</v>
      </c>
      <c r="C27" s="530" t="s">
        <v>331</v>
      </c>
      <c r="D27" s="531" t="s">
        <v>308</v>
      </c>
      <c r="E27" s="530" t="s">
        <v>394</v>
      </c>
      <c r="F27" s="531" t="s">
        <v>395</v>
      </c>
      <c r="G27" s="530" t="s">
        <v>378</v>
      </c>
      <c r="H27" s="530" t="s">
        <v>379</v>
      </c>
      <c r="I27" s="532">
        <v>6.0780000000000012</v>
      </c>
      <c r="J27" s="532">
        <v>220</v>
      </c>
      <c r="K27" s="533">
        <v>1337.42</v>
      </c>
    </row>
    <row r="28" spans="1:11" ht="14.4" customHeight="1" x14ac:dyDescent="0.3">
      <c r="A28" s="528" t="s">
        <v>311</v>
      </c>
      <c r="B28" s="529" t="s">
        <v>308</v>
      </c>
      <c r="C28" s="530" t="s">
        <v>331</v>
      </c>
      <c r="D28" s="531" t="s">
        <v>308</v>
      </c>
      <c r="E28" s="530" t="s">
        <v>394</v>
      </c>
      <c r="F28" s="531" t="s">
        <v>395</v>
      </c>
      <c r="G28" s="530" t="s">
        <v>380</v>
      </c>
      <c r="H28" s="530" t="s">
        <v>381</v>
      </c>
      <c r="I28" s="532">
        <v>9.4379999999999988</v>
      </c>
      <c r="J28" s="532">
        <v>120</v>
      </c>
      <c r="K28" s="533">
        <v>1132.7</v>
      </c>
    </row>
    <row r="29" spans="1:11" ht="14.4" customHeight="1" x14ac:dyDescent="0.3">
      <c r="A29" s="528" t="s">
        <v>311</v>
      </c>
      <c r="B29" s="529" t="s">
        <v>308</v>
      </c>
      <c r="C29" s="530" t="s">
        <v>331</v>
      </c>
      <c r="D29" s="531" t="s">
        <v>308</v>
      </c>
      <c r="E29" s="530" t="s">
        <v>396</v>
      </c>
      <c r="F29" s="531" t="s">
        <v>397</v>
      </c>
      <c r="G29" s="530" t="s">
        <v>382</v>
      </c>
      <c r="H29" s="530" t="s">
        <v>383</v>
      </c>
      <c r="I29" s="532">
        <v>8.17</v>
      </c>
      <c r="J29" s="532">
        <v>250</v>
      </c>
      <c r="K29" s="533">
        <v>2042.5</v>
      </c>
    </row>
    <row r="30" spans="1:11" ht="14.4" customHeight="1" x14ac:dyDescent="0.3">
      <c r="A30" s="528" t="s">
        <v>311</v>
      </c>
      <c r="B30" s="529" t="s">
        <v>308</v>
      </c>
      <c r="C30" s="530" t="s">
        <v>331</v>
      </c>
      <c r="D30" s="531" t="s">
        <v>308</v>
      </c>
      <c r="E30" s="530" t="s">
        <v>398</v>
      </c>
      <c r="F30" s="531" t="s">
        <v>399</v>
      </c>
      <c r="G30" s="530" t="s">
        <v>384</v>
      </c>
      <c r="H30" s="530" t="s">
        <v>385</v>
      </c>
      <c r="I30" s="532">
        <v>0.48166666666666669</v>
      </c>
      <c r="J30" s="532">
        <v>900</v>
      </c>
      <c r="K30" s="533">
        <v>433</v>
      </c>
    </row>
    <row r="31" spans="1:11" ht="14.4" customHeight="1" x14ac:dyDescent="0.3">
      <c r="A31" s="528" t="s">
        <v>311</v>
      </c>
      <c r="B31" s="529" t="s">
        <v>308</v>
      </c>
      <c r="C31" s="530" t="s">
        <v>331</v>
      </c>
      <c r="D31" s="531" t="s">
        <v>308</v>
      </c>
      <c r="E31" s="530" t="s">
        <v>398</v>
      </c>
      <c r="F31" s="531" t="s">
        <v>399</v>
      </c>
      <c r="G31" s="530" t="s">
        <v>386</v>
      </c>
      <c r="H31" s="530" t="s">
        <v>387</v>
      </c>
      <c r="I31" s="532">
        <v>125.48</v>
      </c>
      <c r="J31" s="532">
        <v>12</v>
      </c>
      <c r="K31" s="533">
        <v>1505.7</v>
      </c>
    </row>
    <row r="32" spans="1:11" ht="14.4" customHeight="1" x14ac:dyDescent="0.3">
      <c r="A32" s="528" t="s">
        <v>311</v>
      </c>
      <c r="B32" s="529" t="s">
        <v>308</v>
      </c>
      <c r="C32" s="530" t="s">
        <v>331</v>
      </c>
      <c r="D32" s="531" t="s">
        <v>308</v>
      </c>
      <c r="E32" s="530" t="s">
        <v>400</v>
      </c>
      <c r="F32" s="531" t="s">
        <v>401</v>
      </c>
      <c r="G32" s="530" t="s">
        <v>388</v>
      </c>
      <c r="H32" s="530" t="s">
        <v>389</v>
      </c>
      <c r="I32" s="532">
        <v>7.5024999999999995</v>
      </c>
      <c r="J32" s="532">
        <v>420</v>
      </c>
      <c r="K32" s="533">
        <v>3150.6</v>
      </c>
    </row>
    <row r="33" spans="1:11" ht="14.4" customHeight="1" thickBot="1" x14ac:dyDescent="0.35">
      <c r="A33" s="504" t="s">
        <v>311</v>
      </c>
      <c r="B33" s="534" t="s">
        <v>308</v>
      </c>
      <c r="C33" s="535" t="s">
        <v>331</v>
      </c>
      <c r="D33" s="536" t="s">
        <v>308</v>
      </c>
      <c r="E33" s="535" t="s">
        <v>400</v>
      </c>
      <c r="F33" s="536" t="s">
        <v>401</v>
      </c>
      <c r="G33" s="535" t="s">
        <v>390</v>
      </c>
      <c r="H33" s="535" t="s">
        <v>391</v>
      </c>
      <c r="I33" s="505">
        <v>7.52</v>
      </c>
      <c r="J33" s="505">
        <v>77</v>
      </c>
      <c r="K33" s="507">
        <v>579.04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S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S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45" ht="18.600000000000001" thickBot="1" x14ac:dyDescent="0.4">
      <c r="A1" s="393" t="s">
        <v>104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1"/>
      <c r="X1" s="361"/>
      <c r="Y1" s="361"/>
      <c r="Z1" s="361"/>
      <c r="AA1" s="361"/>
      <c r="AB1" s="361"/>
      <c r="AC1" s="361"/>
      <c r="AD1" s="361"/>
      <c r="AE1" s="361"/>
      <c r="AF1" s="361"/>
      <c r="AG1" s="361"/>
      <c r="AH1" s="361"/>
      <c r="AI1" s="361"/>
      <c r="AJ1" s="361"/>
      <c r="AK1" s="361"/>
      <c r="AL1" s="361"/>
      <c r="AM1" s="361"/>
      <c r="AN1" s="361"/>
      <c r="AO1" s="361"/>
      <c r="AP1" s="361"/>
      <c r="AQ1" s="361"/>
      <c r="AR1" s="361"/>
      <c r="AS1" s="361"/>
    </row>
    <row r="2" spans="1:45" ht="15" thickBot="1" x14ac:dyDescent="0.35">
      <c r="A2" s="230" t="s">
        <v>253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</row>
    <row r="3" spans="1:45" x14ac:dyDescent="0.3">
      <c r="A3" s="251" t="s">
        <v>177</v>
      </c>
      <c r="B3" s="391" t="s">
        <v>156</v>
      </c>
      <c r="C3" s="232">
        <v>0</v>
      </c>
      <c r="D3" s="233">
        <v>25</v>
      </c>
      <c r="E3" s="233">
        <v>99</v>
      </c>
      <c r="F3" s="253">
        <v>100</v>
      </c>
      <c r="G3" s="253">
        <v>101</v>
      </c>
      <c r="H3" s="253">
        <v>102</v>
      </c>
      <c r="I3" s="253">
        <v>103</v>
      </c>
      <c r="J3" s="253">
        <v>203</v>
      </c>
      <c r="K3" s="253">
        <v>302</v>
      </c>
      <c r="L3" s="253">
        <v>303</v>
      </c>
      <c r="M3" s="253">
        <v>304</v>
      </c>
      <c r="N3" s="253">
        <v>305</v>
      </c>
      <c r="O3" s="253">
        <v>306</v>
      </c>
      <c r="P3" s="253">
        <v>407</v>
      </c>
      <c r="Q3" s="253">
        <v>408</v>
      </c>
      <c r="R3" s="253">
        <v>409</v>
      </c>
      <c r="S3" s="253">
        <v>410</v>
      </c>
      <c r="T3" s="253">
        <v>415</v>
      </c>
      <c r="U3" s="253">
        <v>416</v>
      </c>
      <c r="V3" s="253">
        <v>418</v>
      </c>
      <c r="W3" s="253">
        <v>419</v>
      </c>
      <c r="X3" s="253">
        <v>420</v>
      </c>
      <c r="Y3" s="253">
        <v>421</v>
      </c>
      <c r="Z3" s="253">
        <v>520</v>
      </c>
      <c r="AA3" s="253">
        <v>521</v>
      </c>
      <c r="AB3" s="253">
        <v>522</v>
      </c>
      <c r="AC3" s="253">
        <v>523</v>
      </c>
      <c r="AD3" s="253">
        <v>524</v>
      </c>
      <c r="AE3" s="253">
        <v>525</v>
      </c>
      <c r="AF3" s="253">
        <v>526</v>
      </c>
      <c r="AG3" s="233">
        <v>527</v>
      </c>
      <c r="AH3" s="233">
        <v>528</v>
      </c>
      <c r="AI3" s="233">
        <v>629</v>
      </c>
      <c r="AJ3" s="233">
        <v>630</v>
      </c>
      <c r="AK3" s="233">
        <v>636</v>
      </c>
      <c r="AL3" s="233">
        <v>637</v>
      </c>
      <c r="AM3" s="233">
        <v>640</v>
      </c>
      <c r="AN3" s="233">
        <v>642</v>
      </c>
      <c r="AO3" s="233">
        <v>743</v>
      </c>
      <c r="AP3" s="233">
        <v>745</v>
      </c>
      <c r="AQ3" s="233">
        <v>746</v>
      </c>
      <c r="AR3" s="233">
        <v>747</v>
      </c>
      <c r="AS3" s="234">
        <v>930</v>
      </c>
    </row>
    <row r="4" spans="1:45" ht="36.6" outlineLevel="1" thickBot="1" x14ac:dyDescent="0.35">
      <c r="A4" s="252">
        <v>2016</v>
      </c>
      <c r="B4" s="392"/>
      <c r="C4" s="235" t="s">
        <v>157</v>
      </c>
      <c r="D4" s="236" t="s">
        <v>161</v>
      </c>
      <c r="E4" s="236" t="s">
        <v>158</v>
      </c>
      <c r="F4" s="254" t="s">
        <v>219</v>
      </c>
      <c r="G4" s="254" t="s">
        <v>220</v>
      </c>
      <c r="H4" s="254" t="s">
        <v>159</v>
      </c>
      <c r="I4" s="254" t="s">
        <v>221</v>
      </c>
      <c r="J4" s="254" t="s">
        <v>160</v>
      </c>
      <c r="K4" s="254" t="s">
        <v>222</v>
      </c>
      <c r="L4" s="254" t="s">
        <v>223</v>
      </c>
      <c r="M4" s="254" t="s">
        <v>224</v>
      </c>
      <c r="N4" s="254" t="s">
        <v>225</v>
      </c>
      <c r="O4" s="254" t="s">
        <v>186</v>
      </c>
      <c r="P4" s="254" t="s">
        <v>217</v>
      </c>
      <c r="Q4" s="254" t="s">
        <v>187</v>
      </c>
      <c r="R4" s="254" t="s">
        <v>188</v>
      </c>
      <c r="S4" s="254" t="s">
        <v>189</v>
      </c>
      <c r="T4" s="254" t="s">
        <v>190</v>
      </c>
      <c r="U4" s="254" t="s">
        <v>191</v>
      </c>
      <c r="V4" s="254" t="s">
        <v>192</v>
      </c>
      <c r="W4" s="254" t="s">
        <v>193</v>
      </c>
      <c r="X4" s="254" t="s">
        <v>194</v>
      </c>
      <c r="Y4" s="254" t="s">
        <v>195</v>
      </c>
      <c r="Z4" s="254" t="s">
        <v>226</v>
      </c>
      <c r="AA4" s="254" t="s">
        <v>227</v>
      </c>
      <c r="AB4" s="254" t="s">
        <v>228</v>
      </c>
      <c r="AC4" s="254" t="s">
        <v>196</v>
      </c>
      <c r="AD4" s="254" t="s">
        <v>197</v>
      </c>
      <c r="AE4" s="254" t="s">
        <v>198</v>
      </c>
      <c r="AF4" s="254" t="s">
        <v>199</v>
      </c>
      <c r="AG4" s="236" t="s">
        <v>200</v>
      </c>
      <c r="AH4" s="236" t="s">
        <v>210</v>
      </c>
      <c r="AI4" s="236" t="s">
        <v>201</v>
      </c>
      <c r="AJ4" s="236" t="s">
        <v>211</v>
      </c>
      <c r="AK4" s="236" t="s">
        <v>202</v>
      </c>
      <c r="AL4" s="322" t="s">
        <v>203</v>
      </c>
      <c r="AM4" s="236" t="s">
        <v>204</v>
      </c>
      <c r="AN4" s="236" t="s">
        <v>205</v>
      </c>
      <c r="AO4" s="236" t="s">
        <v>206</v>
      </c>
      <c r="AP4" s="236" t="s">
        <v>207</v>
      </c>
      <c r="AQ4" s="236" t="s">
        <v>208</v>
      </c>
      <c r="AR4" s="236" t="s">
        <v>209</v>
      </c>
      <c r="AS4" s="237" t="s">
        <v>179</v>
      </c>
    </row>
    <row r="5" spans="1:45" x14ac:dyDescent="0.3">
      <c r="A5" s="238" t="s">
        <v>162</v>
      </c>
      <c r="B5" s="279"/>
      <c r="C5" s="280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1"/>
      <c r="AC5" s="281"/>
      <c r="AD5" s="281"/>
      <c r="AE5" s="281"/>
      <c r="AF5" s="281"/>
      <c r="AG5" s="281"/>
      <c r="AH5" s="281"/>
      <c r="AI5" s="281"/>
      <c r="AJ5" s="281"/>
      <c r="AK5" s="281"/>
      <c r="AL5" s="323"/>
      <c r="AM5" s="281"/>
      <c r="AN5" s="281"/>
      <c r="AO5" s="281"/>
      <c r="AP5" s="281"/>
      <c r="AQ5" s="281"/>
      <c r="AR5" s="281"/>
      <c r="AS5" s="282"/>
    </row>
    <row r="6" spans="1:45" ht="15" collapsed="1" thickBot="1" x14ac:dyDescent="0.35">
      <c r="A6" s="239" t="s">
        <v>71</v>
      </c>
      <c r="B6" s="283" t="e">
        <f xml:space="preserve">
TRUNC(IF($A$4&lt;=12,SUMIFS(#REF!,#REF!,$A$4,#REF!,1),SUMIFS(#REF!,#REF!,1)/#REF!),1)</f>
        <v>#REF!</v>
      </c>
      <c r="C6" s="284" t="e">
        <f xml:space="preserve">
TRUNC(IF($A$4&lt;=12,SUMIFS(#REF!,#REF!,$A$4,#REF!,1),SUMIFS(#REF!,#REF!,1)/#REF!),1)</f>
        <v>#REF!</v>
      </c>
      <c r="D6" s="285" t="e">
        <f xml:space="preserve">
TRUNC(IF($A$4&lt;=12,SUMIFS(#REF!,#REF!,$A$4,#REF!,1),SUMIFS(#REF!,#REF!,1)/#REF!),1)</f>
        <v>#REF!</v>
      </c>
      <c r="E6" s="285" t="e">
        <f xml:space="preserve">
TRUNC(IF($A$4&lt;=12,SUMIFS(#REF!,#REF!,$A$4,#REF!,1),SUMIFS(#REF!,#REF!,1)/#REF!),1)</f>
        <v>#REF!</v>
      </c>
      <c r="F6" s="285" t="e">
        <f xml:space="preserve">
TRUNC(IF($A$4&lt;=12,SUMIFS(#REF!,#REF!,$A$4,#REF!,1),SUMIFS(#REF!,#REF!,1)/#REF!),1)</f>
        <v>#REF!</v>
      </c>
      <c r="G6" s="285" t="e">
        <f xml:space="preserve">
TRUNC(IF($A$4&lt;=12,SUMIFS(#REF!,#REF!,$A$4,#REF!,1),SUMIFS(#REF!,#REF!,1)/#REF!),1)</f>
        <v>#REF!</v>
      </c>
      <c r="H6" s="285" t="e">
        <f xml:space="preserve">
TRUNC(IF($A$4&lt;=12,SUMIFS(#REF!,#REF!,$A$4,#REF!,1),SUMIFS(#REF!,#REF!,1)/#REF!),1)</f>
        <v>#REF!</v>
      </c>
      <c r="I6" s="285" t="e">
        <f xml:space="preserve">
TRUNC(IF($A$4&lt;=12,SUMIFS(#REF!,#REF!,$A$4,#REF!,1),SUMIFS(#REF!,#REF!,1)/#REF!),1)</f>
        <v>#REF!</v>
      </c>
      <c r="J6" s="285" t="e">
        <f xml:space="preserve">
TRUNC(IF($A$4&lt;=12,SUMIFS(#REF!,#REF!,$A$4,#REF!,1),SUMIFS(#REF!,#REF!,1)/#REF!),1)</f>
        <v>#REF!</v>
      </c>
      <c r="K6" s="285" t="e">
        <f xml:space="preserve">
TRUNC(IF($A$4&lt;=12,SUMIFS(#REF!,#REF!,$A$4,#REF!,1),SUMIFS(#REF!,#REF!,1)/#REF!),1)</f>
        <v>#REF!</v>
      </c>
      <c r="L6" s="285" t="e">
        <f xml:space="preserve">
TRUNC(IF($A$4&lt;=12,SUMIFS(#REF!,#REF!,$A$4,#REF!,1),SUMIFS(#REF!,#REF!,1)/#REF!),1)</f>
        <v>#REF!</v>
      </c>
      <c r="M6" s="285" t="e">
        <f xml:space="preserve">
TRUNC(IF($A$4&lt;=12,SUMIFS(#REF!,#REF!,$A$4,#REF!,1),SUMIFS(#REF!,#REF!,1)/#REF!),1)</f>
        <v>#REF!</v>
      </c>
      <c r="N6" s="285" t="e">
        <f xml:space="preserve">
TRUNC(IF($A$4&lt;=12,SUMIFS(#REF!,#REF!,$A$4,#REF!,1),SUMIFS(#REF!,#REF!,1)/#REF!),1)</f>
        <v>#REF!</v>
      </c>
      <c r="O6" s="285" t="e">
        <f xml:space="preserve">
TRUNC(IF($A$4&lt;=12,SUMIFS(#REF!,#REF!,$A$4,#REF!,1),SUMIFS(#REF!,#REF!,1)/#REF!),1)</f>
        <v>#REF!</v>
      </c>
      <c r="P6" s="285" t="e">
        <f xml:space="preserve">
TRUNC(IF($A$4&lt;=12,SUMIFS(#REF!,#REF!,$A$4,#REF!,1),SUMIFS(#REF!,#REF!,1)/#REF!),1)</f>
        <v>#REF!</v>
      </c>
      <c r="Q6" s="285" t="e">
        <f xml:space="preserve">
TRUNC(IF($A$4&lt;=12,SUMIFS(#REF!,#REF!,$A$4,#REF!,1),SUMIFS(#REF!,#REF!,1)/#REF!),1)</f>
        <v>#REF!</v>
      </c>
      <c r="R6" s="285" t="e">
        <f xml:space="preserve">
TRUNC(IF($A$4&lt;=12,SUMIFS(#REF!,#REF!,$A$4,#REF!,1),SUMIFS(#REF!,#REF!,1)/#REF!),1)</f>
        <v>#REF!</v>
      </c>
      <c r="S6" s="285" t="e">
        <f xml:space="preserve">
TRUNC(IF($A$4&lt;=12,SUMIFS(#REF!,#REF!,$A$4,#REF!,1),SUMIFS(#REF!,#REF!,1)/#REF!),1)</f>
        <v>#REF!</v>
      </c>
      <c r="T6" s="285" t="e">
        <f xml:space="preserve">
TRUNC(IF($A$4&lt;=12,SUMIFS(#REF!,#REF!,$A$4,#REF!,1),SUMIFS(#REF!,#REF!,1)/#REF!),1)</f>
        <v>#REF!</v>
      </c>
      <c r="U6" s="285" t="e">
        <f xml:space="preserve">
TRUNC(IF($A$4&lt;=12,SUMIFS(#REF!,#REF!,$A$4,#REF!,1),SUMIFS(#REF!,#REF!,1)/#REF!),1)</f>
        <v>#REF!</v>
      </c>
      <c r="V6" s="285" t="e">
        <f xml:space="preserve">
TRUNC(IF($A$4&lt;=12,SUMIFS(#REF!,#REF!,$A$4,#REF!,1),SUMIFS(#REF!,#REF!,1)/#REF!),1)</f>
        <v>#REF!</v>
      </c>
      <c r="W6" s="285" t="e">
        <f xml:space="preserve">
TRUNC(IF($A$4&lt;=12,SUMIFS(#REF!,#REF!,$A$4,#REF!,1),SUMIFS(#REF!,#REF!,1)/#REF!),1)</f>
        <v>#REF!</v>
      </c>
      <c r="X6" s="285" t="e">
        <f xml:space="preserve">
TRUNC(IF($A$4&lt;=12,SUMIFS(#REF!,#REF!,$A$4,#REF!,1),SUMIFS(#REF!,#REF!,1)/#REF!),1)</f>
        <v>#REF!</v>
      </c>
      <c r="Y6" s="285" t="e">
        <f xml:space="preserve">
TRUNC(IF($A$4&lt;=12,SUMIFS(#REF!,#REF!,$A$4,#REF!,1),SUMIFS(#REF!,#REF!,1)/#REF!),1)</f>
        <v>#REF!</v>
      </c>
      <c r="Z6" s="285" t="e">
        <f xml:space="preserve">
TRUNC(IF($A$4&lt;=12,SUMIFS(#REF!,#REF!,$A$4,#REF!,1),SUMIFS(#REF!,#REF!,1)/#REF!),1)</f>
        <v>#REF!</v>
      </c>
      <c r="AA6" s="285" t="e">
        <f xml:space="preserve">
TRUNC(IF($A$4&lt;=12,SUMIFS(#REF!,#REF!,$A$4,#REF!,1),SUMIFS(#REF!,#REF!,1)/#REF!),1)</f>
        <v>#REF!</v>
      </c>
      <c r="AB6" s="285" t="e">
        <f xml:space="preserve">
TRUNC(IF($A$4&lt;=12,SUMIFS(#REF!,#REF!,$A$4,#REF!,1),SUMIFS(#REF!,#REF!,1)/#REF!),1)</f>
        <v>#REF!</v>
      </c>
      <c r="AC6" s="285" t="e">
        <f xml:space="preserve">
TRUNC(IF($A$4&lt;=12,SUMIFS(#REF!,#REF!,$A$4,#REF!,1),SUMIFS(#REF!,#REF!,1)/#REF!),1)</f>
        <v>#REF!</v>
      </c>
      <c r="AD6" s="285" t="e">
        <f xml:space="preserve">
TRUNC(IF($A$4&lt;=12,SUMIFS(#REF!,#REF!,$A$4,#REF!,1),SUMIFS(#REF!,#REF!,1)/#REF!),1)</f>
        <v>#REF!</v>
      </c>
      <c r="AE6" s="285" t="e">
        <f xml:space="preserve">
TRUNC(IF($A$4&lt;=12,SUMIFS(#REF!,#REF!,$A$4,#REF!,1),SUMIFS(#REF!,#REF!,1)/#REF!),1)</f>
        <v>#REF!</v>
      </c>
      <c r="AF6" s="285" t="e">
        <f xml:space="preserve">
TRUNC(IF($A$4&lt;=12,SUMIFS(#REF!,#REF!,$A$4,#REF!,1),SUMIFS(#REF!,#REF!,1)/#REF!),1)</f>
        <v>#REF!</v>
      </c>
      <c r="AG6" s="285" t="e">
        <f xml:space="preserve">
TRUNC(IF($A$4&lt;=12,SUMIFS(#REF!,#REF!,$A$4,#REF!,1),SUMIFS(#REF!,#REF!,1)/#REF!),1)</f>
        <v>#REF!</v>
      </c>
      <c r="AH6" s="285" t="e">
        <f xml:space="preserve">
TRUNC(IF($A$4&lt;=12,SUMIFS(#REF!,#REF!,$A$4,#REF!,1),SUMIFS(#REF!,#REF!,1)/#REF!),1)</f>
        <v>#REF!</v>
      </c>
      <c r="AI6" s="285" t="e">
        <f xml:space="preserve">
TRUNC(IF($A$4&lt;=12,SUMIFS(#REF!,#REF!,$A$4,#REF!,1),SUMIFS(#REF!,#REF!,1)/#REF!),1)</f>
        <v>#REF!</v>
      </c>
      <c r="AJ6" s="285" t="e">
        <f xml:space="preserve">
TRUNC(IF($A$4&lt;=12,SUMIFS(#REF!,#REF!,$A$4,#REF!,1),SUMIFS(#REF!,#REF!,1)/#REF!),1)</f>
        <v>#REF!</v>
      </c>
      <c r="AK6" s="285" t="e">
        <f xml:space="preserve">
TRUNC(IF($A$4&lt;=12,SUMIFS(#REF!,#REF!,$A$4,#REF!,1),SUMIFS(#REF!,#REF!,1)/#REF!),1)</f>
        <v>#REF!</v>
      </c>
      <c r="AL6" s="287" t="e">
        <f xml:space="preserve">
TRUNC(IF($A$4&lt;=12,SUMIFS(#REF!,#REF!,$A$4,#REF!,1),SUMIFS(#REF!,#REF!,1)/#REF!),1)</f>
        <v>#REF!</v>
      </c>
      <c r="AM6" s="285" t="e">
        <f xml:space="preserve">
TRUNC(IF($A$4&lt;=12,SUMIFS(#REF!,#REF!,$A$4,#REF!,1),SUMIFS(#REF!,#REF!,1)/#REF!),1)</f>
        <v>#REF!</v>
      </c>
      <c r="AN6" s="285" t="e">
        <f xml:space="preserve">
TRUNC(IF($A$4&lt;=12,SUMIFS(#REF!,#REF!,$A$4,#REF!,1),SUMIFS(#REF!,#REF!,1)/#REF!),1)</f>
        <v>#REF!</v>
      </c>
      <c r="AO6" s="285" t="e">
        <f xml:space="preserve">
TRUNC(IF($A$4&lt;=12,SUMIFS(#REF!,#REF!,$A$4,#REF!,1),SUMIFS(#REF!,#REF!,1)/#REF!),1)</f>
        <v>#REF!</v>
      </c>
      <c r="AP6" s="285" t="e">
        <f xml:space="preserve">
TRUNC(IF($A$4&lt;=12,SUMIFS(#REF!,#REF!,$A$4,#REF!,1),SUMIFS(#REF!,#REF!,1)/#REF!),1)</f>
        <v>#REF!</v>
      </c>
      <c r="AQ6" s="285" t="e">
        <f xml:space="preserve">
TRUNC(IF($A$4&lt;=12,SUMIFS(#REF!,#REF!,$A$4,#REF!,1),SUMIFS(#REF!,#REF!,1)/#REF!),1)</f>
        <v>#REF!</v>
      </c>
      <c r="AR6" s="285" t="e">
        <f xml:space="preserve">
TRUNC(IF($A$4&lt;=12,SUMIFS(#REF!,#REF!,$A$4,#REF!,1),SUMIFS(#REF!,#REF!,1)/#REF!),1)</f>
        <v>#REF!</v>
      </c>
      <c r="AS6" s="286" t="e">
        <f xml:space="preserve">
TRUNC(IF($A$4&lt;=12,SUMIFS(#REF!,#REF!,$A$4,#REF!,1),SUMIFS(#REF!,#REF!,1)/#REF!),1)</f>
        <v>#REF!</v>
      </c>
    </row>
    <row r="7" spans="1:45" ht="15" hidden="1" outlineLevel="1" thickBot="1" x14ac:dyDescent="0.35">
      <c r="A7" s="239" t="s">
        <v>105</v>
      </c>
      <c r="B7" s="283"/>
      <c r="C7" s="287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5"/>
      <c r="W7" s="285"/>
      <c r="X7" s="285"/>
      <c r="Y7" s="285"/>
      <c r="Z7" s="285"/>
      <c r="AA7" s="285"/>
      <c r="AB7" s="285"/>
      <c r="AC7" s="285"/>
      <c r="AD7" s="285"/>
      <c r="AE7" s="285"/>
      <c r="AF7" s="285"/>
      <c r="AG7" s="285"/>
      <c r="AH7" s="285"/>
      <c r="AI7" s="285"/>
      <c r="AJ7" s="285"/>
      <c r="AK7" s="285"/>
      <c r="AL7" s="287"/>
      <c r="AM7" s="285"/>
      <c r="AN7" s="285"/>
      <c r="AO7" s="285"/>
      <c r="AP7" s="285"/>
      <c r="AQ7" s="285"/>
      <c r="AR7" s="285"/>
      <c r="AS7" s="286"/>
    </row>
    <row r="8" spans="1:45" ht="15" hidden="1" outlineLevel="1" thickBot="1" x14ac:dyDescent="0.35">
      <c r="A8" s="239" t="s">
        <v>73</v>
      </c>
      <c r="B8" s="283"/>
      <c r="C8" s="287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5"/>
      <c r="Z8" s="285"/>
      <c r="AA8" s="285"/>
      <c r="AB8" s="285"/>
      <c r="AC8" s="285"/>
      <c r="AD8" s="285"/>
      <c r="AE8" s="285"/>
      <c r="AF8" s="285"/>
      <c r="AG8" s="285"/>
      <c r="AH8" s="285"/>
      <c r="AI8" s="285"/>
      <c r="AJ8" s="285"/>
      <c r="AK8" s="285"/>
      <c r="AL8" s="287"/>
      <c r="AM8" s="285"/>
      <c r="AN8" s="285"/>
      <c r="AO8" s="285"/>
      <c r="AP8" s="285"/>
      <c r="AQ8" s="285"/>
      <c r="AR8" s="285"/>
      <c r="AS8" s="286"/>
    </row>
    <row r="9" spans="1:45" ht="15" hidden="1" outlineLevel="1" thickBot="1" x14ac:dyDescent="0.35">
      <c r="A9" s="240" t="s">
        <v>66</v>
      </c>
      <c r="B9" s="288"/>
      <c r="C9" s="289"/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0"/>
      <c r="Y9" s="290"/>
      <c r="Z9" s="290"/>
      <c r="AA9" s="290"/>
      <c r="AB9" s="290"/>
      <c r="AC9" s="290"/>
      <c r="AD9" s="290"/>
      <c r="AE9" s="290"/>
      <c r="AF9" s="290"/>
      <c r="AG9" s="290"/>
      <c r="AH9" s="290"/>
      <c r="AI9" s="290"/>
      <c r="AJ9" s="290"/>
      <c r="AK9" s="290"/>
      <c r="AL9" s="289"/>
      <c r="AM9" s="290"/>
      <c r="AN9" s="290"/>
      <c r="AO9" s="290"/>
      <c r="AP9" s="290"/>
      <c r="AQ9" s="290"/>
      <c r="AR9" s="290"/>
      <c r="AS9" s="291"/>
    </row>
    <row r="10" spans="1:45" x14ac:dyDescent="0.3">
      <c r="A10" s="241" t="s">
        <v>163</v>
      </c>
      <c r="B10" s="255"/>
      <c r="C10" s="256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7"/>
      <c r="AJ10" s="257"/>
      <c r="AK10" s="257"/>
      <c r="AL10" s="324"/>
      <c r="AM10" s="257"/>
      <c r="AN10" s="257"/>
      <c r="AO10" s="257"/>
      <c r="AP10" s="257"/>
      <c r="AQ10" s="257"/>
      <c r="AR10" s="257"/>
      <c r="AS10" s="258"/>
    </row>
    <row r="11" spans="1:45" x14ac:dyDescent="0.3">
      <c r="A11" s="242" t="s">
        <v>164</v>
      </c>
      <c r="B11" s="259" t="e">
        <f xml:space="preserve">
IF($A$4&lt;=12,SUMIFS(#REF!,#REF!,$A$4,#REF!,2),SUMIFS(#REF!,#REF!,2))</f>
        <v>#REF!</v>
      </c>
      <c r="C11" s="260" t="e">
        <f xml:space="preserve">
IF($A$4&lt;=12,SUMIFS(#REF!,#REF!,$A$4,#REF!,2),SUMIFS(#REF!,#REF!,2))</f>
        <v>#REF!</v>
      </c>
      <c r="D11" s="261" t="e">
        <f xml:space="preserve">
IF($A$4&lt;=12,SUMIFS(#REF!,#REF!,$A$4,#REF!,2),SUMIFS(#REF!,#REF!,2))</f>
        <v>#REF!</v>
      </c>
      <c r="E11" s="261" t="e">
        <f xml:space="preserve">
IF($A$4&lt;=12,SUMIFS(#REF!,#REF!,$A$4,#REF!,2),SUMIFS(#REF!,#REF!,2))</f>
        <v>#REF!</v>
      </c>
      <c r="F11" s="261" t="e">
        <f xml:space="preserve">
IF($A$4&lt;=12,SUMIFS(#REF!,#REF!,$A$4,#REF!,2),SUMIFS(#REF!,#REF!,2))</f>
        <v>#REF!</v>
      </c>
      <c r="G11" s="261" t="e">
        <f xml:space="preserve">
IF($A$4&lt;=12,SUMIFS(#REF!,#REF!,$A$4,#REF!,2),SUMIFS(#REF!,#REF!,2))</f>
        <v>#REF!</v>
      </c>
      <c r="H11" s="261" t="e">
        <f xml:space="preserve">
IF($A$4&lt;=12,SUMIFS(#REF!,#REF!,$A$4,#REF!,2),SUMIFS(#REF!,#REF!,2))</f>
        <v>#REF!</v>
      </c>
      <c r="I11" s="261" t="e">
        <f xml:space="preserve">
IF($A$4&lt;=12,SUMIFS(#REF!,#REF!,$A$4,#REF!,2),SUMIFS(#REF!,#REF!,2))</f>
        <v>#REF!</v>
      </c>
      <c r="J11" s="261" t="e">
        <f xml:space="preserve">
IF($A$4&lt;=12,SUMIFS(#REF!,#REF!,$A$4,#REF!,2),SUMIFS(#REF!,#REF!,2))</f>
        <v>#REF!</v>
      </c>
      <c r="K11" s="261" t="e">
        <f xml:space="preserve">
IF($A$4&lt;=12,SUMIFS(#REF!,#REF!,$A$4,#REF!,2),SUMIFS(#REF!,#REF!,2))</f>
        <v>#REF!</v>
      </c>
      <c r="L11" s="261" t="e">
        <f xml:space="preserve">
IF($A$4&lt;=12,SUMIFS(#REF!,#REF!,$A$4,#REF!,2),SUMIFS(#REF!,#REF!,2))</f>
        <v>#REF!</v>
      </c>
      <c r="M11" s="261" t="e">
        <f xml:space="preserve">
IF($A$4&lt;=12,SUMIFS(#REF!,#REF!,$A$4,#REF!,2),SUMIFS(#REF!,#REF!,2))</f>
        <v>#REF!</v>
      </c>
      <c r="N11" s="261" t="e">
        <f xml:space="preserve">
IF($A$4&lt;=12,SUMIFS(#REF!,#REF!,$A$4,#REF!,2),SUMIFS(#REF!,#REF!,2))</f>
        <v>#REF!</v>
      </c>
      <c r="O11" s="261" t="e">
        <f xml:space="preserve">
IF($A$4&lt;=12,SUMIFS(#REF!,#REF!,$A$4,#REF!,2),SUMIFS(#REF!,#REF!,2))</f>
        <v>#REF!</v>
      </c>
      <c r="P11" s="261" t="e">
        <f xml:space="preserve">
IF($A$4&lt;=12,SUMIFS(#REF!,#REF!,$A$4,#REF!,2),SUMIFS(#REF!,#REF!,2))</f>
        <v>#REF!</v>
      </c>
      <c r="Q11" s="261" t="e">
        <f xml:space="preserve">
IF($A$4&lt;=12,SUMIFS(#REF!,#REF!,$A$4,#REF!,2),SUMIFS(#REF!,#REF!,2))</f>
        <v>#REF!</v>
      </c>
      <c r="R11" s="261" t="e">
        <f xml:space="preserve">
IF($A$4&lt;=12,SUMIFS(#REF!,#REF!,$A$4,#REF!,2),SUMIFS(#REF!,#REF!,2))</f>
        <v>#REF!</v>
      </c>
      <c r="S11" s="261" t="e">
        <f xml:space="preserve">
IF($A$4&lt;=12,SUMIFS(#REF!,#REF!,$A$4,#REF!,2),SUMIFS(#REF!,#REF!,2))</f>
        <v>#REF!</v>
      </c>
      <c r="T11" s="261" t="e">
        <f xml:space="preserve">
IF($A$4&lt;=12,SUMIFS(#REF!,#REF!,$A$4,#REF!,2),SUMIFS(#REF!,#REF!,2))</f>
        <v>#REF!</v>
      </c>
      <c r="U11" s="261" t="e">
        <f xml:space="preserve">
IF($A$4&lt;=12,SUMIFS(#REF!,#REF!,$A$4,#REF!,2),SUMIFS(#REF!,#REF!,2))</f>
        <v>#REF!</v>
      </c>
      <c r="V11" s="261" t="e">
        <f xml:space="preserve">
IF($A$4&lt;=12,SUMIFS(#REF!,#REF!,$A$4,#REF!,2),SUMIFS(#REF!,#REF!,2))</f>
        <v>#REF!</v>
      </c>
      <c r="W11" s="261" t="e">
        <f xml:space="preserve">
IF($A$4&lt;=12,SUMIFS(#REF!,#REF!,$A$4,#REF!,2),SUMIFS(#REF!,#REF!,2))</f>
        <v>#REF!</v>
      </c>
      <c r="X11" s="261" t="e">
        <f xml:space="preserve">
IF($A$4&lt;=12,SUMIFS(#REF!,#REF!,$A$4,#REF!,2),SUMIFS(#REF!,#REF!,2))</f>
        <v>#REF!</v>
      </c>
      <c r="Y11" s="261" t="e">
        <f xml:space="preserve">
IF($A$4&lt;=12,SUMIFS(#REF!,#REF!,$A$4,#REF!,2),SUMIFS(#REF!,#REF!,2))</f>
        <v>#REF!</v>
      </c>
      <c r="Z11" s="261" t="e">
        <f xml:space="preserve">
IF($A$4&lt;=12,SUMIFS(#REF!,#REF!,$A$4,#REF!,2),SUMIFS(#REF!,#REF!,2))</f>
        <v>#REF!</v>
      </c>
      <c r="AA11" s="261" t="e">
        <f xml:space="preserve">
IF($A$4&lt;=12,SUMIFS(#REF!,#REF!,$A$4,#REF!,2),SUMIFS(#REF!,#REF!,2))</f>
        <v>#REF!</v>
      </c>
      <c r="AB11" s="261" t="e">
        <f xml:space="preserve">
IF($A$4&lt;=12,SUMIFS(#REF!,#REF!,$A$4,#REF!,2),SUMIFS(#REF!,#REF!,2))</f>
        <v>#REF!</v>
      </c>
      <c r="AC11" s="261" t="e">
        <f xml:space="preserve">
IF($A$4&lt;=12,SUMIFS(#REF!,#REF!,$A$4,#REF!,2),SUMIFS(#REF!,#REF!,2))</f>
        <v>#REF!</v>
      </c>
      <c r="AD11" s="261" t="e">
        <f xml:space="preserve">
IF($A$4&lt;=12,SUMIFS(#REF!,#REF!,$A$4,#REF!,2),SUMIFS(#REF!,#REF!,2))</f>
        <v>#REF!</v>
      </c>
      <c r="AE11" s="261" t="e">
        <f xml:space="preserve">
IF($A$4&lt;=12,SUMIFS(#REF!,#REF!,$A$4,#REF!,2),SUMIFS(#REF!,#REF!,2))</f>
        <v>#REF!</v>
      </c>
      <c r="AF11" s="261" t="e">
        <f xml:space="preserve">
IF($A$4&lt;=12,SUMIFS(#REF!,#REF!,$A$4,#REF!,2),SUMIFS(#REF!,#REF!,2))</f>
        <v>#REF!</v>
      </c>
      <c r="AG11" s="261" t="e">
        <f xml:space="preserve">
IF($A$4&lt;=12,SUMIFS(#REF!,#REF!,$A$4,#REF!,2),SUMIFS(#REF!,#REF!,2))</f>
        <v>#REF!</v>
      </c>
      <c r="AH11" s="261" t="e">
        <f xml:space="preserve">
IF($A$4&lt;=12,SUMIFS(#REF!,#REF!,$A$4,#REF!,2),SUMIFS(#REF!,#REF!,2))</f>
        <v>#REF!</v>
      </c>
      <c r="AI11" s="261" t="e">
        <f xml:space="preserve">
IF($A$4&lt;=12,SUMIFS(#REF!,#REF!,$A$4,#REF!,2),SUMIFS(#REF!,#REF!,2))</f>
        <v>#REF!</v>
      </c>
      <c r="AJ11" s="261" t="e">
        <f xml:space="preserve">
IF($A$4&lt;=12,SUMIFS(#REF!,#REF!,$A$4,#REF!,2),SUMIFS(#REF!,#REF!,2))</f>
        <v>#REF!</v>
      </c>
      <c r="AK11" s="261" t="e">
        <f xml:space="preserve">
IF($A$4&lt;=12,SUMIFS(#REF!,#REF!,$A$4,#REF!,2),SUMIFS(#REF!,#REF!,2))</f>
        <v>#REF!</v>
      </c>
      <c r="AL11" s="260" t="e">
        <f xml:space="preserve">
IF($A$4&lt;=12,SUMIFS(#REF!,#REF!,$A$4,#REF!,2),SUMIFS(#REF!,#REF!,2))</f>
        <v>#REF!</v>
      </c>
      <c r="AM11" s="261" t="e">
        <f xml:space="preserve">
IF($A$4&lt;=12,SUMIFS(#REF!,#REF!,$A$4,#REF!,2),SUMIFS(#REF!,#REF!,2))</f>
        <v>#REF!</v>
      </c>
      <c r="AN11" s="261" t="e">
        <f xml:space="preserve">
IF($A$4&lt;=12,SUMIFS(#REF!,#REF!,$A$4,#REF!,2),SUMIFS(#REF!,#REF!,2))</f>
        <v>#REF!</v>
      </c>
      <c r="AO11" s="261" t="e">
        <f xml:space="preserve">
IF($A$4&lt;=12,SUMIFS(#REF!,#REF!,$A$4,#REF!,2),SUMIFS(#REF!,#REF!,2))</f>
        <v>#REF!</v>
      </c>
      <c r="AP11" s="261" t="e">
        <f xml:space="preserve">
IF($A$4&lt;=12,SUMIFS(#REF!,#REF!,$A$4,#REF!,2),SUMIFS(#REF!,#REF!,2))</f>
        <v>#REF!</v>
      </c>
      <c r="AQ11" s="261" t="e">
        <f xml:space="preserve">
IF($A$4&lt;=12,SUMIFS(#REF!,#REF!,$A$4,#REF!,2),SUMIFS(#REF!,#REF!,2))</f>
        <v>#REF!</v>
      </c>
      <c r="AR11" s="261" t="e">
        <f xml:space="preserve">
IF($A$4&lt;=12,SUMIFS(#REF!,#REF!,$A$4,#REF!,2),SUMIFS(#REF!,#REF!,2))</f>
        <v>#REF!</v>
      </c>
      <c r="AS11" s="262" t="e">
        <f xml:space="preserve">
IF($A$4&lt;=12,SUMIFS(#REF!,#REF!,$A$4,#REF!,2),SUMIFS(#REF!,#REF!,2))</f>
        <v>#REF!</v>
      </c>
    </row>
    <row r="12" spans="1:45" x14ac:dyDescent="0.3">
      <c r="A12" s="242" t="s">
        <v>165</v>
      </c>
      <c r="B12" s="259" t="e">
        <f xml:space="preserve">
IF($A$4&lt;=12,SUMIFS(#REF!,#REF!,$A$4,#REF!,3),SUMIFS(#REF!,#REF!,3))</f>
        <v>#REF!</v>
      </c>
      <c r="C12" s="260" t="e">
        <f xml:space="preserve">
IF($A$4&lt;=12,SUMIFS(#REF!,#REF!,$A$4,#REF!,3),SUMIFS(#REF!,#REF!,3))</f>
        <v>#REF!</v>
      </c>
      <c r="D12" s="261" t="e">
        <f xml:space="preserve">
IF($A$4&lt;=12,SUMIFS(#REF!,#REF!,$A$4,#REF!,3),SUMIFS(#REF!,#REF!,3))</f>
        <v>#REF!</v>
      </c>
      <c r="E12" s="261" t="e">
        <f xml:space="preserve">
IF($A$4&lt;=12,SUMIFS(#REF!,#REF!,$A$4,#REF!,3),SUMIFS(#REF!,#REF!,3))</f>
        <v>#REF!</v>
      </c>
      <c r="F12" s="261" t="e">
        <f xml:space="preserve">
IF($A$4&lt;=12,SUMIFS(#REF!,#REF!,$A$4,#REF!,3),SUMIFS(#REF!,#REF!,3))</f>
        <v>#REF!</v>
      </c>
      <c r="G12" s="261" t="e">
        <f xml:space="preserve">
IF($A$4&lt;=12,SUMIFS(#REF!,#REF!,$A$4,#REF!,3),SUMIFS(#REF!,#REF!,3))</f>
        <v>#REF!</v>
      </c>
      <c r="H12" s="261" t="e">
        <f xml:space="preserve">
IF($A$4&lt;=12,SUMIFS(#REF!,#REF!,$A$4,#REF!,3),SUMIFS(#REF!,#REF!,3))</f>
        <v>#REF!</v>
      </c>
      <c r="I12" s="261" t="e">
        <f xml:space="preserve">
IF($A$4&lt;=12,SUMIFS(#REF!,#REF!,$A$4,#REF!,3),SUMIFS(#REF!,#REF!,3))</f>
        <v>#REF!</v>
      </c>
      <c r="J12" s="261" t="e">
        <f xml:space="preserve">
IF($A$4&lt;=12,SUMIFS(#REF!,#REF!,$A$4,#REF!,3),SUMIFS(#REF!,#REF!,3))</f>
        <v>#REF!</v>
      </c>
      <c r="K12" s="261" t="e">
        <f xml:space="preserve">
IF($A$4&lt;=12,SUMIFS(#REF!,#REF!,$A$4,#REF!,3),SUMIFS(#REF!,#REF!,3))</f>
        <v>#REF!</v>
      </c>
      <c r="L12" s="261" t="e">
        <f xml:space="preserve">
IF($A$4&lt;=12,SUMIFS(#REF!,#REF!,$A$4,#REF!,3),SUMIFS(#REF!,#REF!,3))</f>
        <v>#REF!</v>
      </c>
      <c r="M12" s="261" t="e">
        <f xml:space="preserve">
IF($A$4&lt;=12,SUMIFS(#REF!,#REF!,$A$4,#REF!,3),SUMIFS(#REF!,#REF!,3))</f>
        <v>#REF!</v>
      </c>
      <c r="N12" s="261" t="e">
        <f xml:space="preserve">
IF($A$4&lt;=12,SUMIFS(#REF!,#REF!,$A$4,#REF!,3),SUMIFS(#REF!,#REF!,3))</f>
        <v>#REF!</v>
      </c>
      <c r="O12" s="261" t="e">
        <f xml:space="preserve">
IF($A$4&lt;=12,SUMIFS(#REF!,#REF!,$A$4,#REF!,3),SUMIFS(#REF!,#REF!,3))</f>
        <v>#REF!</v>
      </c>
      <c r="P12" s="261" t="e">
        <f xml:space="preserve">
IF($A$4&lt;=12,SUMIFS(#REF!,#REF!,$A$4,#REF!,3),SUMIFS(#REF!,#REF!,3))</f>
        <v>#REF!</v>
      </c>
      <c r="Q12" s="261" t="e">
        <f xml:space="preserve">
IF($A$4&lt;=12,SUMIFS(#REF!,#REF!,$A$4,#REF!,3),SUMIFS(#REF!,#REF!,3))</f>
        <v>#REF!</v>
      </c>
      <c r="R12" s="261" t="e">
        <f xml:space="preserve">
IF($A$4&lt;=12,SUMIFS(#REF!,#REF!,$A$4,#REF!,3),SUMIFS(#REF!,#REF!,3))</f>
        <v>#REF!</v>
      </c>
      <c r="S12" s="261" t="e">
        <f xml:space="preserve">
IF($A$4&lt;=12,SUMIFS(#REF!,#REF!,$A$4,#REF!,3),SUMIFS(#REF!,#REF!,3))</f>
        <v>#REF!</v>
      </c>
      <c r="T12" s="261" t="e">
        <f xml:space="preserve">
IF($A$4&lt;=12,SUMIFS(#REF!,#REF!,$A$4,#REF!,3),SUMIFS(#REF!,#REF!,3))</f>
        <v>#REF!</v>
      </c>
      <c r="U12" s="261" t="e">
        <f xml:space="preserve">
IF($A$4&lt;=12,SUMIFS(#REF!,#REF!,$A$4,#REF!,3),SUMIFS(#REF!,#REF!,3))</f>
        <v>#REF!</v>
      </c>
      <c r="V12" s="261" t="e">
        <f xml:space="preserve">
IF($A$4&lt;=12,SUMIFS(#REF!,#REF!,$A$4,#REF!,3),SUMIFS(#REF!,#REF!,3))</f>
        <v>#REF!</v>
      </c>
      <c r="W12" s="261" t="e">
        <f xml:space="preserve">
IF($A$4&lt;=12,SUMIFS(#REF!,#REF!,$A$4,#REF!,3),SUMIFS(#REF!,#REF!,3))</f>
        <v>#REF!</v>
      </c>
      <c r="X12" s="261" t="e">
        <f xml:space="preserve">
IF($A$4&lt;=12,SUMIFS(#REF!,#REF!,$A$4,#REF!,3),SUMIFS(#REF!,#REF!,3))</f>
        <v>#REF!</v>
      </c>
      <c r="Y12" s="261" t="e">
        <f xml:space="preserve">
IF($A$4&lt;=12,SUMIFS(#REF!,#REF!,$A$4,#REF!,3),SUMIFS(#REF!,#REF!,3))</f>
        <v>#REF!</v>
      </c>
      <c r="Z12" s="261" t="e">
        <f xml:space="preserve">
IF($A$4&lt;=12,SUMIFS(#REF!,#REF!,$A$4,#REF!,3),SUMIFS(#REF!,#REF!,3))</f>
        <v>#REF!</v>
      </c>
      <c r="AA12" s="261" t="e">
        <f xml:space="preserve">
IF($A$4&lt;=12,SUMIFS(#REF!,#REF!,$A$4,#REF!,3),SUMIFS(#REF!,#REF!,3))</f>
        <v>#REF!</v>
      </c>
      <c r="AB12" s="261" t="e">
        <f xml:space="preserve">
IF($A$4&lt;=12,SUMIFS(#REF!,#REF!,$A$4,#REF!,3),SUMIFS(#REF!,#REF!,3))</f>
        <v>#REF!</v>
      </c>
      <c r="AC12" s="261" t="e">
        <f xml:space="preserve">
IF($A$4&lt;=12,SUMIFS(#REF!,#REF!,$A$4,#REF!,3),SUMIFS(#REF!,#REF!,3))</f>
        <v>#REF!</v>
      </c>
      <c r="AD12" s="261" t="e">
        <f xml:space="preserve">
IF($A$4&lt;=12,SUMIFS(#REF!,#REF!,$A$4,#REF!,3),SUMIFS(#REF!,#REF!,3))</f>
        <v>#REF!</v>
      </c>
      <c r="AE12" s="261" t="e">
        <f xml:space="preserve">
IF($A$4&lt;=12,SUMIFS(#REF!,#REF!,$A$4,#REF!,3),SUMIFS(#REF!,#REF!,3))</f>
        <v>#REF!</v>
      </c>
      <c r="AF12" s="261" t="e">
        <f xml:space="preserve">
IF($A$4&lt;=12,SUMIFS(#REF!,#REF!,$A$4,#REF!,3),SUMIFS(#REF!,#REF!,3))</f>
        <v>#REF!</v>
      </c>
      <c r="AG12" s="261" t="e">
        <f xml:space="preserve">
IF($A$4&lt;=12,SUMIFS(#REF!,#REF!,$A$4,#REF!,3),SUMIFS(#REF!,#REF!,3))</f>
        <v>#REF!</v>
      </c>
      <c r="AH12" s="261" t="e">
        <f xml:space="preserve">
IF($A$4&lt;=12,SUMIFS(#REF!,#REF!,$A$4,#REF!,3),SUMIFS(#REF!,#REF!,3))</f>
        <v>#REF!</v>
      </c>
      <c r="AI12" s="261" t="e">
        <f xml:space="preserve">
IF($A$4&lt;=12,SUMIFS(#REF!,#REF!,$A$4,#REF!,3),SUMIFS(#REF!,#REF!,3))</f>
        <v>#REF!</v>
      </c>
      <c r="AJ12" s="261" t="e">
        <f xml:space="preserve">
IF($A$4&lt;=12,SUMIFS(#REF!,#REF!,$A$4,#REF!,3),SUMIFS(#REF!,#REF!,3))</f>
        <v>#REF!</v>
      </c>
      <c r="AK12" s="261" t="e">
        <f xml:space="preserve">
IF($A$4&lt;=12,SUMIFS(#REF!,#REF!,$A$4,#REF!,3),SUMIFS(#REF!,#REF!,3))</f>
        <v>#REF!</v>
      </c>
      <c r="AL12" s="260" t="e">
        <f xml:space="preserve">
IF($A$4&lt;=12,SUMIFS(#REF!,#REF!,$A$4,#REF!,3),SUMIFS(#REF!,#REF!,3))</f>
        <v>#REF!</v>
      </c>
      <c r="AM12" s="261" t="e">
        <f xml:space="preserve">
IF($A$4&lt;=12,SUMIFS(#REF!,#REF!,$A$4,#REF!,3),SUMIFS(#REF!,#REF!,3))</f>
        <v>#REF!</v>
      </c>
      <c r="AN12" s="261" t="e">
        <f xml:space="preserve">
IF($A$4&lt;=12,SUMIFS(#REF!,#REF!,$A$4,#REF!,3),SUMIFS(#REF!,#REF!,3))</f>
        <v>#REF!</v>
      </c>
      <c r="AO12" s="261" t="e">
        <f xml:space="preserve">
IF($A$4&lt;=12,SUMIFS(#REF!,#REF!,$A$4,#REF!,3),SUMIFS(#REF!,#REF!,3))</f>
        <v>#REF!</v>
      </c>
      <c r="AP12" s="261" t="e">
        <f xml:space="preserve">
IF($A$4&lt;=12,SUMIFS(#REF!,#REF!,$A$4,#REF!,3),SUMIFS(#REF!,#REF!,3))</f>
        <v>#REF!</v>
      </c>
      <c r="AQ12" s="261" t="e">
        <f xml:space="preserve">
IF($A$4&lt;=12,SUMIFS(#REF!,#REF!,$A$4,#REF!,3),SUMIFS(#REF!,#REF!,3))</f>
        <v>#REF!</v>
      </c>
      <c r="AR12" s="261" t="e">
        <f xml:space="preserve">
IF($A$4&lt;=12,SUMIFS(#REF!,#REF!,$A$4,#REF!,3),SUMIFS(#REF!,#REF!,3))</f>
        <v>#REF!</v>
      </c>
      <c r="AS12" s="262" t="e">
        <f xml:space="preserve">
IF($A$4&lt;=12,SUMIFS(#REF!,#REF!,$A$4,#REF!,3),SUMIFS(#REF!,#REF!,3))</f>
        <v>#REF!</v>
      </c>
    </row>
    <row r="13" spans="1:45" x14ac:dyDescent="0.3">
      <c r="A13" s="242" t="s">
        <v>172</v>
      </c>
      <c r="B13" s="259" t="e">
        <f xml:space="preserve">
IF($A$4&lt;=12,SUMIFS(#REF!,#REF!,$A$4,#REF!,4),SUMIFS(#REF!,#REF!,4))</f>
        <v>#REF!</v>
      </c>
      <c r="C13" s="260" t="e">
        <f xml:space="preserve">
IF($A$4&lt;=12,SUMIFS(#REF!,#REF!,$A$4,#REF!,4),SUMIFS(#REF!,#REF!,4))</f>
        <v>#REF!</v>
      </c>
      <c r="D13" s="261" t="e">
        <f xml:space="preserve">
IF($A$4&lt;=12,SUMIFS(#REF!,#REF!,$A$4,#REF!,4),SUMIFS(#REF!,#REF!,4))</f>
        <v>#REF!</v>
      </c>
      <c r="E13" s="261" t="e">
        <f xml:space="preserve">
IF($A$4&lt;=12,SUMIFS(#REF!,#REF!,$A$4,#REF!,4),SUMIFS(#REF!,#REF!,4))</f>
        <v>#REF!</v>
      </c>
      <c r="F13" s="261" t="e">
        <f xml:space="preserve">
IF($A$4&lt;=12,SUMIFS(#REF!,#REF!,$A$4,#REF!,4),SUMIFS(#REF!,#REF!,4))</f>
        <v>#REF!</v>
      </c>
      <c r="G13" s="261" t="e">
        <f xml:space="preserve">
IF($A$4&lt;=12,SUMIFS(#REF!,#REF!,$A$4,#REF!,4),SUMIFS(#REF!,#REF!,4))</f>
        <v>#REF!</v>
      </c>
      <c r="H13" s="261" t="e">
        <f xml:space="preserve">
IF($A$4&lt;=12,SUMIFS(#REF!,#REF!,$A$4,#REF!,4),SUMIFS(#REF!,#REF!,4))</f>
        <v>#REF!</v>
      </c>
      <c r="I13" s="261" t="e">
        <f xml:space="preserve">
IF($A$4&lt;=12,SUMIFS(#REF!,#REF!,$A$4,#REF!,4),SUMIFS(#REF!,#REF!,4))</f>
        <v>#REF!</v>
      </c>
      <c r="J13" s="261" t="e">
        <f xml:space="preserve">
IF($A$4&lt;=12,SUMIFS(#REF!,#REF!,$A$4,#REF!,4),SUMIFS(#REF!,#REF!,4))</f>
        <v>#REF!</v>
      </c>
      <c r="K13" s="261" t="e">
        <f xml:space="preserve">
IF($A$4&lt;=12,SUMIFS(#REF!,#REF!,$A$4,#REF!,4),SUMIFS(#REF!,#REF!,4))</f>
        <v>#REF!</v>
      </c>
      <c r="L13" s="261" t="e">
        <f xml:space="preserve">
IF($A$4&lt;=12,SUMIFS(#REF!,#REF!,$A$4,#REF!,4),SUMIFS(#REF!,#REF!,4))</f>
        <v>#REF!</v>
      </c>
      <c r="M13" s="261" t="e">
        <f xml:space="preserve">
IF($A$4&lt;=12,SUMIFS(#REF!,#REF!,$A$4,#REF!,4),SUMIFS(#REF!,#REF!,4))</f>
        <v>#REF!</v>
      </c>
      <c r="N13" s="261" t="e">
        <f xml:space="preserve">
IF($A$4&lt;=12,SUMIFS(#REF!,#REF!,$A$4,#REF!,4),SUMIFS(#REF!,#REF!,4))</f>
        <v>#REF!</v>
      </c>
      <c r="O13" s="261" t="e">
        <f xml:space="preserve">
IF($A$4&lt;=12,SUMIFS(#REF!,#REF!,$A$4,#REF!,4),SUMIFS(#REF!,#REF!,4))</f>
        <v>#REF!</v>
      </c>
      <c r="P13" s="261" t="e">
        <f xml:space="preserve">
IF($A$4&lt;=12,SUMIFS(#REF!,#REF!,$A$4,#REF!,4),SUMIFS(#REF!,#REF!,4))</f>
        <v>#REF!</v>
      </c>
      <c r="Q13" s="261" t="e">
        <f xml:space="preserve">
IF($A$4&lt;=12,SUMIFS(#REF!,#REF!,$A$4,#REF!,4),SUMIFS(#REF!,#REF!,4))</f>
        <v>#REF!</v>
      </c>
      <c r="R13" s="261" t="e">
        <f xml:space="preserve">
IF($A$4&lt;=12,SUMIFS(#REF!,#REF!,$A$4,#REF!,4),SUMIFS(#REF!,#REF!,4))</f>
        <v>#REF!</v>
      </c>
      <c r="S13" s="261" t="e">
        <f xml:space="preserve">
IF($A$4&lt;=12,SUMIFS(#REF!,#REF!,$A$4,#REF!,4),SUMIFS(#REF!,#REF!,4))</f>
        <v>#REF!</v>
      </c>
      <c r="T13" s="261" t="e">
        <f xml:space="preserve">
IF($A$4&lt;=12,SUMIFS(#REF!,#REF!,$A$4,#REF!,4),SUMIFS(#REF!,#REF!,4))</f>
        <v>#REF!</v>
      </c>
      <c r="U13" s="261" t="e">
        <f xml:space="preserve">
IF($A$4&lt;=12,SUMIFS(#REF!,#REF!,$A$4,#REF!,4),SUMIFS(#REF!,#REF!,4))</f>
        <v>#REF!</v>
      </c>
      <c r="V13" s="261" t="e">
        <f xml:space="preserve">
IF($A$4&lt;=12,SUMIFS(#REF!,#REF!,$A$4,#REF!,4),SUMIFS(#REF!,#REF!,4))</f>
        <v>#REF!</v>
      </c>
      <c r="W13" s="261" t="e">
        <f xml:space="preserve">
IF($A$4&lt;=12,SUMIFS(#REF!,#REF!,$A$4,#REF!,4),SUMIFS(#REF!,#REF!,4))</f>
        <v>#REF!</v>
      </c>
      <c r="X13" s="261" t="e">
        <f xml:space="preserve">
IF($A$4&lt;=12,SUMIFS(#REF!,#REF!,$A$4,#REF!,4),SUMIFS(#REF!,#REF!,4))</f>
        <v>#REF!</v>
      </c>
      <c r="Y13" s="261" t="e">
        <f xml:space="preserve">
IF($A$4&lt;=12,SUMIFS(#REF!,#REF!,$A$4,#REF!,4),SUMIFS(#REF!,#REF!,4))</f>
        <v>#REF!</v>
      </c>
      <c r="Z13" s="261" t="e">
        <f xml:space="preserve">
IF($A$4&lt;=12,SUMIFS(#REF!,#REF!,$A$4,#REF!,4),SUMIFS(#REF!,#REF!,4))</f>
        <v>#REF!</v>
      </c>
      <c r="AA13" s="261" t="e">
        <f xml:space="preserve">
IF($A$4&lt;=12,SUMIFS(#REF!,#REF!,$A$4,#REF!,4),SUMIFS(#REF!,#REF!,4))</f>
        <v>#REF!</v>
      </c>
      <c r="AB13" s="261" t="e">
        <f xml:space="preserve">
IF($A$4&lt;=12,SUMIFS(#REF!,#REF!,$A$4,#REF!,4),SUMIFS(#REF!,#REF!,4))</f>
        <v>#REF!</v>
      </c>
      <c r="AC13" s="261" t="e">
        <f xml:space="preserve">
IF($A$4&lt;=12,SUMIFS(#REF!,#REF!,$A$4,#REF!,4),SUMIFS(#REF!,#REF!,4))</f>
        <v>#REF!</v>
      </c>
      <c r="AD13" s="261" t="e">
        <f xml:space="preserve">
IF($A$4&lt;=12,SUMIFS(#REF!,#REF!,$A$4,#REF!,4),SUMIFS(#REF!,#REF!,4))</f>
        <v>#REF!</v>
      </c>
      <c r="AE13" s="261" t="e">
        <f xml:space="preserve">
IF($A$4&lt;=12,SUMIFS(#REF!,#REF!,$A$4,#REF!,4),SUMIFS(#REF!,#REF!,4))</f>
        <v>#REF!</v>
      </c>
      <c r="AF13" s="261" t="e">
        <f xml:space="preserve">
IF($A$4&lt;=12,SUMIFS(#REF!,#REF!,$A$4,#REF!,4),SUMIFS(#REF!,#REF!,4))</f>
        <v>#REF!</v>
      </c>
      <c r="AG13" s="261" t="e">
        <f xml:space="preserve">
IF($A$4&lt;=12,SUMIFS(#REF!,#REF!,$A$4,#REF!,4),SUMIFS(#REF!,#REF!,4))</f>
        <v>#REF!</v>
      </c>
      <c r="AH13" s="261" t="e">
        <f xml:space="preserve">
IF($A$4&lt;=12,SUMIFS(#REF!,#REF!,$A$4,#REF!,4),SUMIFS(#REF!,#REF!,4))</f>
        <v>#REF!</v>
      </c>
      <c r="AI13" s="261" t="e">
        <f xml:space="preserve">
IF($A$4&lt;=12,SUMIFS(#REF!,#REF!,$A$4,#REF!,4),SUMIFS(#REF!,#REF!,4))</f>
        <v>#REF!</v>
      </c>
      <c r="AJ13" s="261" t="e">
        <f xml:space="preserve">
IF($A$4&lt;=12,SUMIFS(#REF!,#REF!,$A$4,#REF!,4),SUMIFS(#REF!,#REF!,4))</f>
        <v>#REF!</v>
      </c>
      <c r="AK13" s="261" t="e">
        <f xml:space="preserve">
IF($A$4&lt;=12,SUMIFS(#REF!,#REF!,$A$4,#REF!,4),SUMIFS(#REF!,#REF!,4))</f>
        <v>#REF!</v>
      </c>
      <c r="AL13" s="260" t="e">
        <f xml:space="preserve">
IF($A$4&lt;=12,SUMIFS(#REF!,#REF!,$A$4,#REF!,4),SUMIFS(#REF!,#REF!,4))</f>
        <v>#REF!</v>
      </c>
      <c r="AM13" s="261" t="e">
        <f xml:space="preserve">
IF($A$4&lt;=12,SUMIFS(#REF!,#REF!,$A$4,#REF!,4),SUMIFS(#REF!,#REF!,4))</f>
        <v>#REF!</v>
      </c>
      <c r="AN13" s="261" t="e">
        <f xml:space="preserve">
IF($A$4&lt;=12,SUMIFS(#REF!,#REF!,$A$4,#REF!,4),SUMIFS(#REF!,#REF!,4))</f>
        <v>#REF!</v>
      </c>
      <c r="AO13" s="261" t="e">
        <f xml:space="preserve">
IF($A$4&lt;=12,SUMIFS(#REF!,#REF!,$A$4,#REF!,4),SUMIFS(#REF!,#REF!,4))</f>
        <v>#REF!</v>
      </c>
      <c r="AP13" s="261" t="e">
        <f xml:space="preserve">
IF($A$4&lt;=12,SUMIFS(#REF!,#REF!,$A$4,#REF!,4),SUMIFS(#REF!,#REF!,4))</f>
        <v>#REF!</v>
      </c>
      <c r="AQ13" s="261" t="e">
        <f xml:space="preserve">
IF($A$4&lt;=12,SUMIFS(#REF!,#REF!,$A$4,#REF!,4),SUMIFS(#REF!,#REF!,4))</f>
        <v>#REF!</v>
      </c>
      <c r="AR13" s="261" t="e">
        <f xml:space="preserve">
IF($A$4&lt;=12,SUMIFS(#REF!,#REF!,$A$4,#REF!,4),SUMIFS(#REF!,#REF!,4))</f>
        <v>#REF!</v>
      </c>
      <c r="AS13" s="262" t="e">
        <f xml:space="preserve">
IF($A$4&lt;=12,SUMIFS(#REF!,#REF!,$A$4,#REF!,4),SUMIFS(#REF!,#REF!,4))</f>
        <v>#REF!</v>
      </c>
    </row>
    <row r="14" spans="1:45" ht="15" thickBot="1" x14ac:dyDescent="0.35">
      <c r="A14" s="243" t="s">
        <v>166</v>
      </c>
      <c r="B14" s="263" t="e">
        <f xml:space="preserve">
IF($A$4&lt;=12,SUMIFS(#REF!,#REF!,$A$4,#REF!,5),SUMIFS(#REF!,#REF!,5))</f>
        <v>#REF!</v>
      </c>
      <c r="C14" s="264" t="e">
        <f xml:space="preserve">
IF($A$4&lt;=12,SUMIFS(#REF!,#REF!,$A$4,#REF!,5),SUMIFS(#REF!,#REF!,5))</f>
        <v>#REF!</v>
      </c>
      <c r="D14" s="265" t="e">
        <f xml:space="preserve">
IF($A$4&lt;=12,SUMIFS(#REF!,#REF!,$A$4,#REF!,5),SUMIFS(#REF!,#REF!,5))</f>
        <v>#REF!</v>
      </c>
      <c r="E14" s="265" t="e">
        <f xml:space="preserve">
IF($A$4&lt;=12,SUMIFS(#REF!,#REF!,$A$4,#REF!,5),SUMIFS(#REF!,#REF!,5))</f>
        <v>#REF!</v>
      </c>
      <c r="F14" s="265" t="e">
        <f xml:space="preserve">
IF($A$4&lt;=12,SUMIFS(#REF!,#REF!,$A$4,#REF!,5),SUMIFS(#REF!,#REF!,5))</f>
        <v>#REF!</v>
      </c>
      <c r="G14" s="265" t="e">
        <f xml:space="preserve">
IF($A$4&lt;=12,SUMIFS(#REF!,#REF!,$A$4,#REF!,5),SUMIFS(#REF!,#REF!,5))</f>
        <v>#REF!</v>
      </c>
      <c r="H14" s="265" t="e">
        <f xml:space="preserve">
IF($A$4&lt;=12,SUMIFS(#REF!,#REF!,$A$4,#REF!,5),SUMIFS(#REF!,#REF!,5))</f>
        <v>#REF!</v>
      </c>
      <c r="I14" s="265" t="e">
        <f xml:space="preserve">
IF($A$4&lt;=12,SUMIFS(#REF!,#REF!,$A$4,#REF!,5),SUMIFS(#REF!,#REF!,5))</f>
        <v>#REF!</v>
      </c>
      <c r="J14" s="265" t="e">
        <f xml:space="preserve">
IF($A$4&lt;=12,SUMIFS(#REF!,#REF!,$A$4,#REF!,5),SUMIFS(#REF!,#REF!,5))</f>
        <v>#REF!</v>
      </c>
      <c r="K14" s="265" t="e">
        <f xml:space="preserve">
IF($A$4&lt;=12,SUMIFS(#REF!,#REF!,$A$4,#REF!,5),SUMIFS(#REF!,#REF!,5))</f>
        <v>#REF!</v>
      </c>
      <c r="L14" s="265" t="e">
        <f xml:space="preserve">
IF($A$4&lt;=12,SUMIFS(#REF!,#REF!,$A$4,#REF!,5),SUMIFS(#REF!,#REF!,5))</f>
        <v>#REF!</v>
      </c>
      <c r="M14" s="265" t="e">
        <f xml:space="preserve">
IF($A$4&lt;=12,SUMIFS(#REF!,#REF!,$A$4,#REF!,5),SUMIFS(#REF!,#REF!,5))</f>
        <v>#REF!</v>
      </c>
      <c r="N14" s="265" t="e">
        <f xml:space="preserve">
IF($A$4&lt;=12,SUMIFS(#REF!,#REF!,$A$4,#REF!,5),SUMIFS(#REF!,#REF!,5))</f>
        <v>#REF!</v>
      </c>
      <c r="O14" s="265" t="e">
        <f xml:space="preserve">
IF($A$4&lt;=12,SUMIFS(#REF!,#REF!,$A$4,#REF!,5),SUMIFS(#REF!,#REF!,5))</f>
        <v>#REF!</v>
      </c>
      <c r="P14" s="265" t="e">
        <f xml:space="preserve">
IF($A$4&lt;=12,SUMIFS(#REF!,#REF!,$A$4,#REF!,5),SUMIFS(#REF!,#REF!,5))</f>
        <v>#REF!</v>
      </c>
      <c r="Q14" s="265" t="e">
        <f xml:space="preserve">
IF($A$4&lt;=12,SUMIFS(#REF!,#REF!,$A$4,#REF!,5),SUMIFS(#REF!,#REF!,5))</f>
        <v>#REF!</v>
      </c>
      <c r="R14" s="265" t="e">
        <f xml:space="preserve">
IF($A$4&lt;=12,SUMIFS(#REF!,#REF!,$A$4,#REF!,5),SUMIFS(#REF!,#REF!,5))</f>
        <v>#REF!</v>
      </c>
      <c r="S14" s="265" t="e">
        <f xml:space="preserve">
IF($A$4&lt;=12,SUMIFS(#REF!,#REF!,$A$4,#REF!,5),SUMIFS(#REF!,#REF!,5))</f>
        <v>#REF!</v>
      </c>
      <c r="T14" s="265" t="e">
        <f xml:space="preserve">
IF($A$4&lt;=12,SUMIFS(#REF!,#REF!,$A$4,#REF!,5),SUMIFS(#REF!,#REF!,5))</f>
        <v>#REF!</v>
      </c>
      <c r="U14" s="265" t="e">
        <f xml:space="preserve">
IF($A$4&lt;=12,SUMIFS(#REF!,#REF!,$A$4,#REF!,5),SUMIFS(#REF!,#REF!,5))</f>
        <v>#REF!</v>
      </c>
      <c r="V14" s="265" t="e">
        <f xml:space="preserve">
IF($A$4&lt;=12,SUMIFS(#REF!,#REF!,$A$4,#REF!,5),SUMIFS(#REF!,#REF!,5))</f>
        <v>#REF!</v>
      </c>
      <c r="W14" s="265" t="e">
        <f xml:space="preserve">
IF($A$4&lt;=12,SUMIFS(#REF!,#REF!,$A$4,#REF!,5),SUMIFS(#REF!,#REF!,5))</f>
        <v>#REF!</v>
      </c>
      <c r="X14" s="265" t="e">
        <f xml:space="preserve">
IF($A$4&lt;=12,SUMIFS(#REF!,#REF!,$A$4,#REF!,5),SUMIFS(#REF!,#REF!,5))</f>
        <v>#REF!</v>
      </c>
      <c r="Y14" s="265" t="e">
        <f xml:space="preserve">
IF($A$4&lt;=12,SUMIFS(#REF!,#REF!,$A$4,#REF!,5),SUMIFS(#REF!,#REF!,5))</f>
        <v>#REF!</v>
      </c>
      <c r="Z14" s="265" t="e">
        <f xml:space="preserve">
IF($A$4&lt;=12,SUMIFS(#REF!,#REF!,$A$4,#REF!,5),SUMIFS(#REF!,#REF!,5))</f>
        <v>#REF!</v>
      </c>
      <c r="AA14" s="265" t="e">
        <f xml:space="preserve">
IF($A$4&lt;=12,SUMIFS(#REF!,#REF!,$A$4,#REF!,5),SUMIFS(#REF!,#REF!,5))</f>
        <v>#REF!</v>
      </c>
      <c r="AB14" s="265" t="e">
        <f xml:space="preserve">
IF($A$4&lt;=12,SUMIFS(#REF!,#REF!,$A$4,#REF!,5),SUMIFS(#REF!,#REF!,5))</f>
        <v>#REF!</v>
      </c>
      <c r="AC14" s="265" t="e">
        <f xml:space="preserve">
IF($A$4&lt;=12,SUMIFS(#REF!,#REF!,$A$4,#REF!,5),SUMIFS(#REF!,#REF!,5))</f>
        <v>#REF!</v>
      </c>
      <c r="AD14" s="265" t="e">
        <f xml:space="preserve">
IF($A$4&lt;=12,SUMIFS(#REF!,#REF!,$A$4,#REF!,5),SUMIFS(#REF!,#REF!,5))</f>
        <v>#REF!</v>
      </c>
      <c r="AE14" s="265" t="e">
        <f xml:space="preserve">
IF($A$4&lt;=12,SUMIFS(#REF!,#REF!,$A$4,#REF!,5),SUMIFS(#REF!,#REF!,5))</f>
        <v>#REF!</v>
      </c>
      <c r="AF14" s="265" t="e">
        <f xml:space="preserve">
IF($A$4&lt;=12,SUMIFS(#REF!,#REF!,$A$4,#REF!,5),SUMIFS(#REF!,#REF!,5))</f>
        <v>#REF!</v>
      </c>
      <c r="AG14" s="265" t="e">
        <f xml:space="preserve">
IF($A$4&lt;=12,SUMIFS(#REF!,#REF!,$A$4,#REF!,5),SUMIFS(#REF!,#REF!,5))</f>
        <v>#REF!</v>
      </c>
      <c r="AH14" s="265" t="e">
        <f xml:space="preserve">
IF($A$4&lt;=12,SUMIFS(#REF!,#REF!,$A$4,#REF!,5),SUMIFS(#REF!,#REF!,5))</f>
        <v>#REF!</v>
      </c>
      <c r="AI14" s="265" t="e">
        <f xml:space="preserve">
IF($A$4&lt;=12,SUMIFS(#REF!,#REF!,$A$4,#REF!,5),SUMIFS(#REF!,#REF!,5))</f>
        <v>#REF!</v>
      </c>
      <c r="AJ14" s="265" t="e">
        <f xml:space="preserve">
IF($A$4&lt;=12,SUMIFS(#REF!,#REF!,$A$4,#REF!,5),SUMIFS(#REF!,#REF!,5))</f>
        <v>#REF!</v>
      </c>
      <c r="AK14" s="265" t="e">
        <f xml:space="preserve">
IF($A$4&lt;=12,SUMIFS(#REF!,#REF!,$A$4,#REF!,5),SUMIFS(#REF!,#REF!,5))</f>
        <v>#REF!</v>
      </c>
      <c r="AL14" s="264" t="e">
        <f xml:space="preserve">
IF($A$4&lt;=12,SUMIFS(#REF!,#REF!,$A$4,#REF!,5),SUMIFS(#REF!,#REF!,5))</f>
        <v>#REF!</v>
      </c>
      <c r="AM14" s="265" t="e">
        <f xml:space="preserve">
IF($A$4&lt;=12,SUMIFS(#REF!,#REF!,$A$4,#REF!,5),SUMIFS(#REF!,#REF!,5))</f>
        <v>#REF!</v>
      </c>
      <c r="AN14" s="265" t="e">
        <f xml:space="preserve">
IF($A$4&lt;=12,SUMIFS(#REF!,#REF!,$A$4,#REF!,5),SUMIFS(#REF!,#REF!,5))</f>
        <v>#REF!</v>
      </c>
      <c r="AO14" s="265" t="e">
        <f xml:space="preserve">
IF($A$4&lt;=12,SUMIFS(#REF!,#REF!,$A$4,#REF!,5),SUMIFS(#REF!,#REF!,5))</f>
        <v>#REF!</v>
      </c>
      <c r="AP14" s="265" t="e">
        <f xml:space="preserve">
IF($A$4&lt;=12,SUMIFS(#REF!,#REF!,$A$4,#REF!,5),SUMIFS(#REF!,#REF!,5))</f>
        <v>#REF!</v>
      </c>
      <c r="AQ14" s="265" t="e">
        <f xml:space="preserve">
IF($A$4&lt;=12,SUMIFS(#REF!,#REF!,$A$4,#REF!,5),SUMIFS(#REF!,#REF!,5))</f>
        <v>#REF!</v>
      </c>
      <c r="AR14" s="265" t="e">
        <f xml:space="preserve">
IF($A$4&lt;=12,SUMIFS(#REF!,#REF!,$A$4,#REF!,5),SUMIFS(#REF!,#REF!,5))</f>
        <v>#REF!</v>
      </c>
      <c r="AS14" s="266" t="e">
        <f xml:space="preserve">
IF($A$4&lt;=12,SUMIFS(#REF!,#REF!,$A$4,#REF!,5),SUMIFS(#REF!,#REF!,5))</f>
        <v>#REF!</v>
      </c>
    </row>
    <row r="15" spans="1:45" x14ac:dyDescent="0.3">
      <c r="A15" s="163" t="s">
        <v>176</v>
      </c>
      <c r="B15" s="267"/>
      <c r="C15" s="268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69"/>
      <c r="Z15" s="269"/>
      <c r="AA15" s="269"/>
      <c r="AB15" s="269"/>
      <c r="AC15" s="269"/>
      <c r="AD15" s="269"/>
      <c r="AE15" s="269"/>
      <c r="AF15" s="269"/>
      <c r="AG15" s="269"/>
      <c r="AH15" s="269"/>
      <c r="AI15" s="269"/>
      <c r="AJ15" s="269"/>
      <c r="AK15" s="269"/>
      <c r="AL15" s="325"/>
      <c r="AM15" s="269"/>
      <c r="AN15" s="269"/>
      <c r="AO15" s="269"/>
      <c r="AP15" s="269"/>
      <c r="AQ15" s="269"/>
      <c r="AR15" s="269"/>
      <c r="AS15" s="270"/>
    </row>
    <row r="16" spans="1:45" x14ac:dyDescent="0.3">
      <c r="A16" s="244" t="s">
        <v>167</v>
      </c>
      <c r="B16" s="259" t="e">
        <f xml:space="preserve">
IF($A$4&lt;=12,SUMIFS(#REF!,#REF!,$A$4,#REF!,7),SUMIFS(#REF!,#REF!,7))</f>
        <v>#REF!</v>
      </c>
      <c r="C16" s="260" t="e">
        <f xml:space="preserve">
IF($A$4&lt;=12,SUMIFS(#REF!,#REF!,$A$4,#REF!,7),SUMIFS(#REF!,#REF!,7))</f>
        <v>#REF!</v>
      </c>
      <c r="D16" s="261" t="e">
        <f xml:space="preserve">
IF($A$4&lt;=12,SUMIFS(#REF!,#REF!,$A$4,#REF!,7),SUMIFS(#REF!,#REF!,7))</f>
        <v>#REF!</v>
      </c>
      <c r="E16" s="261" t="e">
        <f xml:space="preserve">
IF($A$4&lt;=12,SUMIFS(#REF!,#REF!,$A$4,#REF!,7),SUMIFS(#REF!,#REF!,7))</f>
        <v>#REF!</v>
      </c>
      <c r="F16" s="261" t="e">
        <f xml:space="preserve">
IF($A$4&lt;=12,SUMIFS(#REF!,#REF!,$A$4,#REF!,7),SUMIFS(#REF!,#REF!,7))</f>
        <v>#REF!</v>
      </c>
      <c r="G16" s="261" t="e">
        <f xml:space="preserve">
IF($A$4&lt;=12,SUMIFS(#REF!,#REF!,$A$4,#REF!,7),SUMIFS(#REF!,#REF!,7))</f>
        <v>#REF!</v>
      </c>
      <c r="H16" s="261" t="e">
        <f xml:space="preserve">
IF($A$4&lt;=12,SUMIFS(#REF!,#REF!,$A$4,#REF!,7),SUMIFS(#REF!,#REF!,7))</f>
        <v>#REF!</v>
      </c>
      <c r="I16" s="261" t="e">
        <f xml:space="preserve">
IF($A$4&lt;=12,SUMIFS(#REF!,#REF!,$A$4,#REF!,7),SUMIFS(#REF!,#REF!,7))</f>
        <v>#REF!</v>
      </c>
      <c r="J16" s="261" t="e">
        <f xml:space="preserve">
IF($A$4&lt;=12,SUMIFS(#REF!,#REF!,$A$4,#REF!,7),SUMIFS(#REF!,#REF!,7))</f>
        <v>#REF!</v>
      </c>
      <c r="K16" s="261" t="e">
        <f xml:space="preserve">
IF($A$4&lt;=12,SUMIFS(#REF!,#REF!,$A$4,#REF!,7),SUMIFS(#REF!,#REF!,7))</f>
        <v>#REF!</v>
      </c>
      <c r="L16" s="261" t="e">
        <f xml:space="preserve">
IF($A$4&lt;=12,SUMIFS(#REF!,#REF!,$A$4,#REF!,7),SUMIFS(#REF!,#REF!,7))</f>
        <v>#REF!</v>
      </c>
      <c r="M16" s="261" t="e">
        <f xml:space="preserve">
IF($A$4&lt;=12,SUMIFS(#REF!,#REF!,$A$4,#REF!,7),SUMIFS(#REF!,#REF!,7))</f>
        <v>#REF!</v>
      </c>
      <c r="N16" s="261" t="e">
        <f xml:space="preserve">
IF($A$4&lt;=12,SUMIFS(#REF!,#REF!,$A$4,#REF!,7),SUMIFS(#REF!,#REF!,7))</f>
        <v>#REF!</v>
      </c>
      <c r="O16" s="261" t="e">
        <f xml:space="preserve">
IF($A$4&lt;=12,SUMIFS(#REF!,#REF!,$A$4,#REF!,7),SUMIFS(#REF!,#REF!,7))</f>
        <v>#REF!</v>
      </c>
      <c r="P16" s="261" t="e">
        <f xml:space="preserve">
IF($A$4&lt;=12,SUMIFS(#REF!,#REF!,$A$4,#REF!,7),SUMIFS(#REF!,#REF!,7))</f>
        <v>#REF!</v>
      </c>
      <c r="Q16" s="261" t="e">
        <f xml:space="preserve">
IF($A$4&lt;=12,SUMIFS(#REF!,#REF!,$A$4,#REF!,7),SUMIFS(#REF!,#REF!,7))</f>
        <v>#REF!</v>
      </c>
      <c r="R16" s="261" t="e">
        <f xml:space="preserve">
IF($A$4&lt;=12,SUMIFS(#REF!,#REF!,$A$4,#REF!,7),SUMIFS(#REF!,#REF!,7))</f>
        <v>#REF!</v>
      </c>
      <c r="S16" s="261" t="e">
        <f xml:space="preserve">
IF($A$4&lt;=12,SUMIFS(#REF!,#REF!,$A$4,#REF!,7),SUMIFS(#REF!,#REF!,7))</f>
        <v>#REF!</v>
      </c>
      <c r="T16" s="261" t="e">
        <f xml:space="preserve">
IF($A$4&lt;=12,SUMIFS(#REF!,#REF!,$A$4,#REF!,7),SUMIFS(#REF!,#REF!,7))</f>
        <v>#REF!</v>
      </c>
      <c r="U16" s="261" t="e">
        <f xml:space="preserve">
IF($A$4&lt;=12,SUMIFS(#REF!,#REF!,$A$4,#REF!,7),SUMIFS(#REF!,#REF!,7))</f>
        <v>#REF!</v>
      </c>
      <c r="V16" s="261" t="e">
        <f xml:space="preserve">
IF($A$4&lt;=12,SUMIFS(#REF!,#REF!,$A$4,#REF!,7),SUMIFS(#REF!,#REF!,7))</f>
        <v>#REF!</v>
      </c>
      <c r="W16" s="261" t="e">
        <f xml:space="preserve">
IF($A$4&lt;=12,SUMIFS(#REF!,#REF!,$A$4,#REF!,7),SUMIFS(#REF!,#REF!,7))</f>
        <v>#REF!</v>
      </c>
      <c r="X16" s="261" t="e">
        <f xml:space="preserve">
IF($A$4&lt;=12,SUMIFS(#REF!,#REF!,$A$4,#REF!,7),SUMIFS(#REF!,#REF!,7))</f>
        <v>#REF!</v>
      </c>
      <c r="Y16" s="261" t="e">
        <f xml:space="preserve">
IF($A$4&lt;=12,SUMIFS(#REF!,#REF!,$A$4,#REF!,7),SUMIFS(#REF!,#REF!,7))</f>
        <v>#REF!</v>
      </c>
      <c r="Z16" s="261" t="e">
        <f xml:space="preserve">
IF($A$4&lt;=12,SUMIFS(#REF!,#REF!,$A$4,#REF!,7),SUMIFS(#REF!,#REF!,7))</f>
        <v>#REF!</v>
      </c>
      <c r="AA16" s="261" t="e">
        <f xml:space="preserve">
IF($A$4&lt;=12,SUMIFS(#REF!,#REF!,$A$4,#REF!,7),SUMIFS(#REF!,#REF!,7))</f>
        <v>#REF!</v>
      </c>
      <c r="AB16" s="261" t="e">
        <f xml:space="preserve">
IF($A$4&lt;=12,SUMIFS(#REF!,#REF!,$A$4,#REF!,7),SUMIFS(#REF!,#REF!,7))</f>
        <v>#REF!</v>
      </c>
      <c r="AC16" s="261" t="e">
        <f xml:space="preserve">
IF($A$4&lt;=12,SUMIFS(#REF!,#REF!,$A$4,#REF!,7),SUMIFS(#REF!,#REF!,7))</f>
        <v>#REF!</v>
      </c>
      <c r="AD16" s="261" t="e">
        <f xml:space="preserve">
IF($A$4&lt;=12,SUMIFS(#REF!,#REF!,$A$4,#REF!,7),SUMIFS(#REF!,#REF!,7))</f>
        <v>#REF!</v>
      </c>
      <c r="AE16" s="261" t="e">
        <f xml:space="preserve">
IF($A$4&lt;=12,SUMIFS(#REF!,#REF!,$A$4,#REF!,7),SUMIFS(#REF!,#REF!,7))</f>
        <v>#REF!</v>
      </c>
      <c r="AF16" s="261" t="e">
        <f xml:space="preserve">
IF($A$4&lt;=12,SUMIFS(#REF!,#REF!,$A$4,#REF!,7),SUMIFS(#REF!,#REF!,7))</f>
        <v>#REF!</v>
      </c>
      <c r="AG16" s="261" t="e">
        <f xml:space="preserve">
IF($A$4&lt;=12,SUMIFS(#REF!,#REF!,$A$4,#REF!,7),SUMIFS(#REF!,#REF!,7))</f>
        <v>#REF!</v>
      </c>
      <c r="AH16" s="261" t="e">
        <f xml:space="preserve">
IF($A$4&lt;=12,SUMIFS(#REF!,#REF!,$A$4,#REF!,7),SUMIFS(#REF!,#REF!,7))</f>
        <v>#REF!</v>
      </c>
      <c r="AI16" s="261" t="e">
        <f xml:space="preserve">
IF($A$4&lt;=12,SUMIFS(#REF!,#REF!,$A$4,#REF!,7),SUMIFS(#REF!,#REF!,7))</f>
        <v>#REF!</v>
      </c>
      <c r="AJ16" s="261" t="e">
        <f xml:space="preserve">
IF($A$4&lt;=12,SUMIFS(#REF!,#REF!,$A$4,#REF!,7),SUMIFS(#REF!,#REF!,7))</f>
        <v>#REF!</v>
      </c>
      <c r="AK16" s="261" t="e">
        <f xml:space="preserve">
IF($A$4&lt;=12,SUMIFS(#REF!,#REF!,$A$4,#REF!,7),SUMIFS(#REF!,#REF!,7))</f>
        <v>#REF!</v>
      </c>
      <c r="AL16" s="260" t="e">
        <f xml:space="preserve">
IF($A$4&lt;=12,SUMIFS(#REF!,#REF!,$A$4,#REF!,7),SUMIFS(#REF!,#REF!,7))</f>
        <v>#REF!</v>
      </c>
      <c r="AM16" s="261" t="e">
        <f xml:space="preserve">
IF($A$4&lt;=12,SUMIFS(#REF!,#REF!,$A$4,#REF!,7),SUMIFS(#REF!,#REF!,7))</f>
        <v>#REF!</v>
      </c>
      <c r="AN16" s="261" t="e">
        <f xml:space="preserve">
IF($A$4&lt;=12,SUMIFS(#REF!,#REF!,$A$4,#REF!,7),SUMIFS(#REF!,#REF!,7))</f>
        <v>#REF!</v>
      </c>
      <c r="AO16" s="261" t="e">
        <f xml:space="preserve">
IF($A$4&lt;=12,SUMIFS(#REF!,#REF!,$A$4,#REF!,7),SUMIFS(#REF!,#REF!,7))</f>
        <v>#REF!</v>
      </c>
      <c r="AP16" s="261" t="e">
        <f xml:space="preserve">
IF($A$4&lt;=12,SUMIFS(#REF!,#REF!,$A$4,#REF!,7),SUMIFS(#REF!,#REF!,7))</f>
        <v>#REF!</v>
      </c>
      <c r="AQ16" s="261" t="e">
        <f xml:space="preserve">
IF($A$4&lt;=12,SUMIFS(#REF!,#REF!,$A$4,#REF!,7),SUMIFS(#REF!,#REF!,7))</f>
        <v>#REF!</v>
      </c>
      <c r="AR16" s="261" t="e">
        <f xml:space="preserve">
IF($A$4&lt;=12,SUMIFS(#REF!,#REF!,$A$4,#REF!,7),SUMIFS(#REF!,#REF!,7))</f>
        <v>#REF!</v>
      </c>
      <c r="AS16" s="262" t="e">
        <f xml:space="preserve">
IF($A$4&lt;=12,SUMIFS(#REF!,#REF!,$A$4,#REF!,7),SUMIFS(#REF!,#REF!,7))</f>
        <v>#REF!</v>
      </c>
    </row>
    <row r="17" spans="1:45" x14ac:dyDescent="0.3">
      <c r="A17" s="244" t="s">
        <v>168</v>
      </c>
      <c r="B17" s="259" t="e">
        <f xml:space="preserve">
IF($A$4&lt;=12,SUMIFS(#REF!,#REF!,$A$4,#REF!,8),SUMIFS(#REF!,#REF!,8))</f>
        <v>#REF!</v>
      </c>
      <c r="C17" s="260" t="e">
        <f xml:space="preserve">
IF($A$4&lt;=12,SUMIFS(#REF!,#REF!,$A$4,#REF!,8),SUMIFS(#REF!,#REF!,8))</f>
        <v>#REF!</v>
      </c>
      <c r="D17" s="261" t="e">
        <f xml:space="preserve">
IF($A$4&lt;=12,SUMIFS(#REF!,#REF!,$A$4,#REF!,8),SUMIFS(#REF!,#REF!,8))</f>
        <v>#REF!</v>
      </c>
      <c r="E17" s="261" t="e">
        <f xml:space="preserve">
IF($A$4&lt;=12,SUMIFS(#REF!,#REF!,$A$4,#REF!,8),SUMIFS(#REF!,#REF!,8))</f>
        <v>#REF!</v>
      </c>
      <c r="F17" s="261" t="e">
        <f xml:space="preserve">
IF($A$4&lt;=12,SUMIFS(#REF!,#REF!,$A$4,#REF!,8),SUMIFS(#REF!,#REF!,8))</f>
        <v>#REF!</v>
      </c>
      <c r="G17" s="261" t="e">
        <f xml:space="preserve">
IF($A$4&lt;=12,SUMIFS(#REF!,#REF!,$A$4,#REF!,8),SUMIFS(#REF!,#REF!,8))</f>
        <v>#REF!</v>
      </c>
      <c r="H17" s="261" t="e">
        <f xml:space="preserve">
IF($A$4&lt;=12,SUMIFS(#REF!,#REF!,$A$4,#REF!,8),SUMIFS(#REF!,#REF!,8))</f>
        <v>#REF!</v>
      </c>
      <c r="I17" s="261" t="e">
        <f xml:space="preserve">
IF($A$4&lt;=12,SUMIFS(#REF!,#REF!,$A$4,#REF!,8),SUMIFS(#REF!,#REF!,8))</f>
        <v>#REF!</v>
      </c>
      <c r="J17" s="261" t="e">
        <f xml:space="preserve">
IF($A$4&lt;=12,SUMIFS(#REF!,#REF!,$A$4,#REF!,8),SUMIFS(#REF!,#REF!,8))</f>
        <v>#REF!</v>
      </c>
      <c r="K17" s="261" t="e">
        <f xml:space="preserve">
IF($A$4&lt;=12,SUMIFS(#REF!,#REF!,$A$4,#REF!,8),SUMIFS(#REF!,#REF!,8))</f>
        <v>#REF!</v>
      </c>
      <c r="L17" s="261" t="e">
        <f xml:space="preserve">
IF($A$4&lt;=12,SUMIFS(#REF!,#REF!,$A$4,#REF!,8),SUMIFS(#REF!,#REF!,8))</f>
        <v>#REF!</v>
      </c>
      <c r="M17" s="261" t="e">
        <f xml:space="preserve">
IF($A$4&lt;=12,SUMIFS(#REF!,#REF!,$A$4,#REF!,8),SUMIFS(#REF!,#REF!,8))</f>
        <v>#REF!</v>
      </c>
      <c r="N17" s="261" t="e">
        <f xml:space="preserve">
IF($A$4&lt;=12,SUMIFS(#REF!,#REF!,$A$4,#REF!,8),SUMIFS(#REF!,#REF!,8))</f>
        <v>#REF!</v>
      </c>
      <c r="O17" s="261" t="e">
        <f xml:space="preserve">
IF($A$4&lt;=12,SUMIFS(#REF!,#REF!,$A$4,#REF!,8),SUMIFS(#REF!,#REF!,8))</f>
        <v>#REF!</v>
      </c>
      <c r="P17" s="261" t="e">
        <f xml:space="preserve">
IF($A$4&lt;=12,SUMIFS(#REF!,#REF!,$A$4,#REF!,8),SUMIFS(#REF!,#REF!,8))</f>
        <v>#REF!</v>
      </c>
      <c r="Q17" s="261" t="e">
        <f xml:space="preserve">
IF($A$4&lt;=12,SUMIFS(#REF!,#REF!,$A$4,#REF!,8),SUMIFS(#REF!,#REF!,8))</f>
        <v>#REF!</v>
      </c>
      <c r="R17" s="261" t="e">
        <f xml:space="preserve">
IF($A$4&lt;=12,SUMIFS(#REF!,#REF!,$A$4,#REF!,8),SUMIFS(#REF!,#REF!,8))</f>
        <v>#REF!</v>
      </c>
      <c r="S17" s="261" t="e">
        <f xml:space="preserve">
IF($A$4&lt;=12,SUMIFS(#REF!,#REF!,$A$4,#REF!,8),SUMIFS(#REF!,#REF!,8))</f>
        <v>#REF!</v>
      </c>
      <c r="T17" s="261" t="e">
        <f xml:space="preserve">
IF($A$4&lt;=12,SUMIFS(#REF!,#REF!,$A$4,#REF!,8),SUMIFS(#REF!,#REF!,8))</f>
        <v>#REF!</v>
      </c>
      <c r="U17" s="261" t="e">
        <f xml:space="preserve">
IF($A$4&lt;=12,SUMIFS(#REF!,#REF!,$A$4,#REF!,8),SUMIFS(#REF!,#REF!,8))</f>
        <v>#REF!</v>
      </c>
      <c r="V17" s="261" t="e">
        <f xml:space="preserve">
IF($A$4&lt;=12,SUMIFS(#REF!,#REF!,$A$4,#REF!,8),SUMIFS(#REF!,#REF!,8))</f>
        <v>#REF!</v>
      </c>
      <c r="W17" s="261" t="e">
        <f xml:space="preserve">
IF($A$4&lt;=12,SUMIFS(#REF!,#REF!,$A$4,#REF!,8),SUMIFS(#REF!,#REF!,8))</f>
        <v>#REF!</v>
      </c>
      <c r="X17" s="261" t="e">
        <f xml:space="preserve">
IF($A$4&lt;=12,SUMIFS(#REF!,#REF!,$A$4,#REF!,8),SUMIFS(#REF!,#REF!,8))</f>
        <v>#REF!</v>
      </c>
      <c r="Y17" s="261" t="e">
        <f xml:space="preserve">
IF($A$4&lt;=12,SUMIFS(#REF!,#REF!,$A$4,#REF!,8),SUMIFS(#REF!,#REF!,8))</f>
        <v>#REF!</v>
      </c>
      <c r="Z17" s="261" t="e">
        <f xml:space="preserve">
IF($A$4&lt;=12,SUMIFS(#REF!,#REF!,$A$4,#REF!,8),SUMIFS(#REF!,#REF!,8))</f>
        <v>#REF!</v>
      </c>
      <c r="AA17" s="261" t="e">
        <f xml:space="preserve">
IF($A$4&lt;=12,SUMIFS(#REF!,#REF!,$A$4,#REF!,8),SUMIFS(#REF!,#REF!,8))</f>
        <v>#REF!</v>
      </c>
      <c r="AB17" s="261" t="e">
        <f xml:space="preserve">
IF($A$4&lt;=12,SUMIFS(#REF!,#REF!,$A$4,#REF!,8),SUMIFS(#REF!,#REF!,8))</f>
        <v>#REF!</v>
      </c>
      <c r="AC17" s="261" t="e">
        <f xml:space="preserve">
IF($A$4&lt;=12,SUMIFS(#REF!,#REF!,$A$4,#REF!,8),SUMIFS(#REF!,#REF!,8))</f>
        <v>#REF!</v>
      </c>
      <c r="AD17" s="261" t="e">
        <f xml:space="preserve">
IF($A$4&lt;=12,SUMIFS(#REF!,#REF!,$A$4,#REF!,8),SUMIFS(#REF!,#REF!,8))</f>
        <v>#REF!</v>
      </c>
      <c r="AE17" s="261" t="e">
        <f xml:space="preserve">
IF($A$4&lt;=12,SUMIFS(#REF!,#REF!,$A$4,#REF!,8),SUMIFS(#REF!,#REF!,8))</f>
        <v>#REF!</v>
      </c>
      <c r="AF17" s="261" t="e">
        <f xml:space="preserve">
IF($A$4&lt;=12,SUMIFS(#REF!,#REF!,$A$4,#REF!,8),SUMIFS(#REF!,#REF!,8))</f>
        <v>#REF!</v>
      </c>
      <c r="AG17" s="261" t="e">
        <f xml:space="preserve">
IF($A$4&lt;=12,SUMIFS(#REF!,#REF!,$A$4,#REF!,8),SUMIFS(#REF!,#REF!,8))</f>
        <v>#REF!</v>
      </c>
      <c r="AH17" s="261" t="e">
        <f xml:space="preserve">
IF($A$4&lt;=12,SUMIFS(#REF!,#REF!,$A$4,#REF!,8),SUMIFS(#REF!,#REF!,8))</f>
        <v>#REF!</v>
      </c>
      <c r="AI17" s="261" t="e">
        <f xml:space="preserve">
IF($A$4&lt;=12,SUMIFS(#REF!,#REF!,$A$4,#REF!,8),SUMIFS(#REF!,#REF!,8))</f>
        <v>#REF!</v>
      </c>
      <c r="AJ17" s="261" t="e">
        <f xml:space="preserve">
IF($A$4&lt;=12,SUMIFS(#REF!,#REF!,$A$4,#REF!,8),SUMIFS(#REF!,#REF!,8))</f>
        <v>#REF!</v>
      </c>
      <c r="AK17" s="261" t="e">
        <f xml:space="preserve">
IF($A$4&lt;=12,SUMIFS(#REF!,#REF!,$A$4,#REF!,8),SUMIFS(#REF!,#REF!,8))</f>
        <v>#REF!</v>
      </c>
      <c r="AL17" s="260" t="e">
        <f xml:space="preserve">
IF($A$4&lt;=12,SUMIFS(#REF!,#REF!,$A$4,#REF!,8),SUMIFS(#REF!,#REF!,8))</f>
        <v>#REF!</v>
      </c>
      <c r="AM17" s="261" t="e">
        <f xml:space="preserve">
IF($A$4&lt;=12,SUMIFS(#REF!,#REF!,$A$4,#REF!,8),SUMIFS(#REF!,#REF!,8))</f>
        <v>#REF!</v>
      </c>
      <c r="AN17" s="261" t="e">
        <f xml:space="preserve">
IF($A$4&lt;=12,SUMIFS(#REF!,#REF!,$A$4,#REF!,8),SUMIFS(#REF!,#REF!,8))</f>
        <v>#REF!</v>
      </c>
      <c r="AO17" s="261" t="e">
        <f xml:space="preserve">
IF($A$4&lt;=12,SUMIFS(#REF!,#REF!,$A$4,#REF!,8),SUMIFS(#REF!,#REF!,8))</f>
        <v>#REF!</v>
      </c>
      <c r="AP17" s="261" t="e">
        <f xml:space="preserve">
IF($A$4&lt;=12,SUMIFS(#REF!,#REF!,$A$4,#REF!,8),SUMIFS(#REF!,#REF!,8))</f>
        <v>#REF!</v>
      </c>
      <c r="AQ17" s="261" t="e">
        <f xml:space="preserve">
IF($A$4&lt;=12,SUMIFS(#REF!,#REF!,$A$4,#REF!,8),SUMIFS(#REF!,#REF!,8))</f>
        <v>#REF!</v>
      </c>
      <c r="AR17" s="261" t="e">
        <f xml:space="preserve">
IF($A$4&lt;=12,SUMIFS(#REF!,#REF!,$A$4,#REF!,8),SUMIFS(#REF!,#REF!,8))</f>
        <v>#REF!</v>
      </c>
      <c r="AS17" s="262" t="e">
        <f xml:space="preserve">
IF($A$4&lt;=12,SUMIFS(#REF!,#REF!,$A$4,#REF!,8),SUMIFS(#REF!,#REF!,8))</f>
        <v>#REF!</v>
      </c>
    </row>
    <row r="18" spans="1:45" x14ac:dyDescent="0.3">
      <c r="A18" s="244" t="s">
        <v>169</v>
      </c>
      <c r="B18" s="259" t="e">
        <f xml:space="preserve">
B19-B16-B17</f>
        <v>#REF!</v>
      </c>
      <c r="C18" s="260" t="e">
        <f t="shared" ref="C18:H18" si="0" xml:space="preserve">
C19-C16-C17</f>
        <v>#REF!</v>
      </c>
      <c r="D18" s="261" t="e">
        <f t="shared" si="0"/>
        <v>#REF!</v>
      </c>
      <c r="E18" s="261" t="e">
        <f t="shared" si="0"/>
        <v>#REF!</v>
      </c>
      <c r="F18" s="261" t="e">
        <f t="shared" si="0"/>
        <v>#REF!</v>
      </c>
      <c r="G18" s="261" t="e">
        <f t="shared" si="0"/>
        <v>#REF!</v>
      </c>
      <c r="H18" s="261" t="e">
        <f t="shared" si="0"/>
        <v>#REF!</v>
      </c>
      <c r="I18" s="261" t="e">
        <f t="shared" ref="I18:AI18" si="1" xml:space="preserve">
I19-I16-I17</f>
        <v>#REF!</v>
      </c>
      <c r="J18" s="261" t="e">
        <f t="shared" si="1"/>
        <v>#REF!</v>
      </c>
      <c r="K18" s="261" t="e">
        <f t="shared" si="1"/>
        <v>#REF!</v>
      </c>
      <c r="L18" s="261" t="e">
        <f t="shared" si="1"/>
        <v>#REF!</v>
      </c>
      <c r="M18" s="261" t="e">
        <f t="shared" si="1"/>
        <v>#REF!</v>
      </c>
      <c r="N18" s="261" t="e">
        <f t="shared" si="1"/>
        <v>#REF!</v>
      </c>
      <c r="O18" s="261" t="e">
        <f t="shared" si="1"/>
        <v>#REF!</v>
      </c>
      <c r="P18" s="261" t="e">
        <f t="shared" si="1"/>
        <v>#REF!</v>
      </c>
      <c r="Q18" s="261" t="e">
        <f t="shared" si="1"/>
        <v>#REF!</v>
      </c>
      <c r="R18" s="261" t="e">
        <f t="shared" si="1"/>
        <v>#REF!</v>
      </c>
      <c r="S18" s="261" t="e">
        <f t="shared" si="1"/>
        <v>#REF!</v>
      </c>
      <c r="T18" s="261" t="e">
        <f t="shared" si="1"/>
        <v>#REF!</v>
      </c>
      <c r="U18" s="261" t="e">
        <f t="shared" si="1"/>
        <v>#REF!</v>
      </c>
      <c r="V18" s="261" t="e">
        <f t="shared" si="1"/>
        <v>#REF!</v>
      </c>
      <c r="W18" s="261" t="e">
        <f t="shared" si="1"/>
        <v>#REF!</v>
      </c>
      <c r="X18" s="261" t="e">
        <f t="shared" si="1"/>
        <v>#REF!</v>
      </c>
      <c r="Y18" s="261" t="e">
        <f t="shared" si="1"/>
        <v>#REF!</v>
      </c>
      <c r="Z18" s="261" t="e">
        <f t="shared" si="1"/>
        <v>#REF!</v>
      </c>
      <c r="AA18" s="261" t="e">
        <f t="shared" si="1"/>
        <v>#REF!</v>
      </c>
      <c r="AB18" s="261" t="e">
        <f t="shared" si="1"/>
        <v>#REF!</v>
      </c>
      <c r="AC18" s="261" t="e">
        <f t="shared" si="1"/>
        <v>#REF!</v>
      </c>
      <c r="AD18" s="261" t="e">
        <f t="shared" si="1"/>
        <v>#REF!</v>
      </c>
      <c r="AE18" s="261" t="e">
        <f t="shared" si="1"/>
        <v>#REF!</v>
      </c>
      <c r="AF18" s="261" t="e">
        <f t="shared" si="1"/>
        <v>#REF!</v>
      </c>
      <c r="AG18" s="261" t="e">
        <f t="shared" si="1"/>
        <v>#REF!</v>
      </c>
      <c r="AH18" s="261" t="e">
        <f t="shared" si="1"/>
        <v>#REF!</v>
      </c>
      <c r="AI18" s="261" t="e">
        <f t="shared" si="1"/>
        <v>#REF!</v>
      </c>
      <c r="AJ18" s="261" t="e">
        <f t="shared" ref="AJ18:AS18" si="2" xml:space="preserve">
AJ19-AJ16-AJ17</f>
        <v>#REF!</v>
      </c>
      <c r="AK18" s="261" t="e">
        <f t="shared" si="2"/>
        <v>#REF!</v>
      </c>
      <c r="AL18" s="260" t="e">
        <f t="shared" si="2"/>
        <v>#REF!</v>
      </c>
      <c r="AM18" s="261" t="e">
        <f t="shared" si="2"/>
        <v>#REF!</v>
      </c>
      <c r="AN18" s="261" t="e">
        <f t="shared" si="2"/>
        <v>#REF!</v>
      </c>
      <c r="AO18" s="261" t="e">
        <f t="shared" si="2"/>
        <v>#REF!</v>
      </c>
      <c r="AP18" s="261" t="e">
        <f t="shared" si="2"/>
        <v>#REF!</v>
      </c>
      <c r="AQ18" s="261" t="e">
        <f t="shared" si="2"/>
        <v>#REF!</v>
      </c>
      <c r="AR18" s="261" t="e">
        <f t="shared" si="2"/>
        <v>#REF!</v>
      </c>
      <c r="AS18" s="262" t="e">
        <f t="shared" si="2"/>
        <v>#REF!</v>
      </c>
    </row>
    <row r="19" spans="1:45" ht="15" thickBot="1" x14ac:dyDescent="0.35">
      <c r="A19" s="245" t="s">
        <v>170</v>
      </c>
      <c r="B19" s="271" t="e">
        <f xml:space="preserve">
IF($A$4&lt;=12,SUMIFS(#REF!,#REF!,$A$4,#REF!,9),SUMIFS(#REF!,#REF!,9))</f>
        <v>#REF!</v>
      </c>
      <c r="C19" s="272" t="e">
        <f xml:space="preserve">
IF($A$4&lt;=12,SUMIFS(#REF!,#REF!,$A$4,#REF!,9),SUMIFS(#REF!,#REF!,9))</f>
        <v>#REF!</v>
      </c>
      <c r="D19" s="273" t="e">
        <f xml:space="preserve">
IF($A$4&lt;=12,SUMIFS(#REF!,#REF!,$A$4,#REF!,9),SUMIFS(#REF!,#REF!,9))</f>
        <v>#REF!</v>
      </c>
      <c r="E19" s="273" t="e">
        <f xml:space="preserve">
IF($A$4&lt;=12,SUMIFS(#REF!,#REF!,$A$4,#REF!,9),SUMIFS(#REF!,#REF!,9))</f>
        <v>#REF!</v>
      </c>
      <c r="F19" s="273" t="e">
        <f xml:space="preserve">
IF($A$4&lt;=12,SUMIFS(#REF!,#REF!,$A$4,#REF!,9),SUMIFS(#REF!,#REF!,9))</f>
        <v>#REF!</v>
      </c>
      <c r="G19" s="273" t="e">
        <f xml:space="preserve">
IF($A$4&lt;=12,SUMIFS(#REF!,#REF!,$A$4,#REF!,9),SUMIFS(#REF!,#REF!,9))</f>
        <v>#REF!</v>
      </c>
      <c r="H19" s="273" t="e">
        <f xml:space="preserve">
IF($A$4&lt;=12,SUMIFS(#REF!,#REF!,$A$4,#REF!,9),SUMIFS(#REF!,#REF!,9))</f>
        <v>#REF!</v>
      </c>
      <c r="I19" s="273" t="e">
        <f xml:space="preserve">
IF($A$4&lt;=12,SUMIFS(#REF!,#REF!,$A$4,#REF!,9),SUMIFS(#REF!,#REF!,9))</f>
        <v>#REF!</v>
      </c>
      <c r="J19" s="273" t="e">
        <f xml:space="preserve">
IF($A$4&lt;=12,SUMIFS(#REF!,#REF!,$A$4,#REF!,9),SUMIFS(#REF!,#REF!,9))</f>
        <v>#REF!</v>
      </c>
      <c r="K19" s="273" t="e">
        <f xml:space="preserve">
IF($A$4&lt;=12,SUMIFS(#REF!,#REF!,$A$4,#REF!,9),SUMIFS(#REF!,#REF!,9))</f>
        <v>#REF!</v>
      </c>
      <c r="L19" s="273" t="e">
        <f xml:space="preserve">
IF($A$4&lt;=12,SUMIFS(#REF!,#REF!,$A$4,#REF!,9),SUMIFS(#REF!,#REF!,9))</f>
        <v>#REF!</v>
      </c>
      <c r="M19" s="273" t="e">
        <f xml:space="preserve">
IF($A$4&lt;=12,SUMIFS(#REF!,#REF!,$A$4,#REF!,9),SUMIFS(#REF!,#REF!,9))</f>
        <v>#REF!</v>
      </c>
      <c r="N19" s="273" t="e">
        <f xml:space="preserve">
IF($A$4&lt;=12,SUMIFS(#REF!,#REF!,$A$4,#REF!,9),SUMIFS(#REF!,#REF!,9))</f>
        <v>#REF!</v>
      </c>
      <c r="O19" s="273" t="e">
        <f xml:space="preserve">
IF($A$4&lt;=12,SUMIFS(#REF!,#REF!,$A$4,#REF!,9),SUMIFS(#REF!,#REF!,9))</f>
        <v>#REF!</v>
      </c>
      <c r="P19" s="273" t="e">
        <f xml:space="preserve">
IF($A$4&lt;=12,SUMIFS(#REF!,#REF!,$A$4,#REF!,9),SUMIFS(#REF!,#REF!,9))</f>
        <v>#REF!</v>
      </c>
      <c r="Q19" s="273" t="e">
        <f xml:space="preserve">
IF($A$4&lt;=12,SUMIFS(#REF!,#REF!,$A$4,#REF!,9),SUMIFS(#REF!,#REF!,9))</f>
        <v>#REF!</v>
      </c>
      <c r="R19" s="273" t="e">
        <f xml:space="preserve">
IF($A$4&lt;=12,SUMIFS(#REF!,#REF!,$A$4,#REF!,9),SUMIFS(#REF!,#REF!,9))</f>
        <v>#REF!</v>
      </c>
      <c r="S19" s="273" t="e">
        <f xml:space="preserve">
IF($A$4&lt;=12,SUMIFS(#REF!,#REF!,$A$4,#REF!,9),SUMIFS(#REF!,#REF!,9))</f>
        <v>#REF!</v>
      </c>
      <c r="T19" s="273" t="e">
        <f xml:space="preserve">
IF($A$4&lt;=12,SUMIFS(#REF!,#REF!,$A$4,#REF!,9),SUMIFS(#REF!,#REF!,9))</f>
        <v>#REF!</v>
      </c>
      <c r="U19" s="273" t="e">
        <f xml:space="preserve">
IF($A$4&lt;=12,SUMIFS(#REF!,#REF!,$A$4,#REF!,9),SUMIFS(#REF!,#REF!,9))</f>
        <v>#REF!</v>
      </c>
      <c r="V19" s="273" t="e">
        <f xml:space="preserve">
IF($A$4&lt;=12,SUMIFS(#REF!,#REF!,$A$4,#REF!,9),SUMIFS(#REF!,#REF!,9))</f>
        <v>#REF!</v>
      </c>
      <c r="W19" s="273" t="e">
        <f xml:space="preserve">
IF($A$4&lt;=12,SUMIFS(#REF!,#REF!,$A$4,#REF!,9),SUMIFS(#REF!,#REF!,9))</f>
        <v>#REF!</v>
      </c>
      <c r="X19" s="273" t="e">
        <f xml:space="preserve">
IF($A$4&lt;=12,SUMIFS(#REF!,#REF!,$A$4,#REF!,9),SUMIFS(#REF!,#REF!,9))</f>
        <v>#REF!</v>
      </c>
      <c r="Y19" s="273" t="e">
        <f xml:space="preserve">
IF($A$4&lt;=12,SUMIFS(#REF!,#REF!,$A$4,#REF!,9),SUMIFS(#REF!,#REF!,9))</f>
        <v>#REF!</v>
      </c>
      <c r="Z19" s="273" t="e">
        <f xml:space="preserve">
IF($A$4&lt;=12,SUMIFS(#REF!,#REF!,$A$4,#REF!,9),SUMIFS(#REF!,#REF!,9))</f>
        <v>#REF!</v>
      </c>
      <c r="AA19" s="273" t="e">
        <f xml:space="preserve">
IF($A$4&lt;=12,SUMIFS(#REF!,#REF!,$A$4,#REF!,9),SUMIFS(#REF!,#REF!,9))</f>
        <v>#REF!</v>
      </c>
      <c r="AB19" s="273" t="e">
        <f xml:space="preserve">
IF($A$4&lt;=12,SUMIFS(#REF!,#REF!,$A$4,#REF!,9),SUMIFS(#REF!,#REF!,9))</f>
        <v>#REF!</v>
      </c>
      <c r="AC19" s="273" t="e">
        <f xml:space="preserve">
IF($A$4&lt;=12,SUMIFS(#REF!,#REF!,$A$4,#REF!,9),SUMIFS(#REF!,#REF!,9))</f>
        <v>#REF!</v>
      </c>
      <c r="AD19" s="273" t="e">
        <f xml:space="preserve">
IF($A$4&lt;=12,SUMIFS(#REF!,#REF!,$A$4,#REF!,9),SUMIFS(#REF!,#REF!,9))</f>
        <v>#REF!</v>
      </c>
      <c r="AE19" s="273" t="e">
        <f xml:space="preserve">
IF($A$4&lt;=12,SUMIFS(#REF!,#REF!,$A$4,#REF!,9),SUMIFS(#REF!,#REF!,9))</f>
        <v>#REF!</v>
      </c>
      <c r="AF19" s="273" t="e">
        <f xml:space="preserve">
IF($A$4&lt;=12,SUMIFS(#REF!,#REF!,$A$4,#REF!,9),SUMIFS(#REF!,#REF!,9))</f>
        <v>#REF!</v>
      </c>
      <c r="AG19" s="273" t="e">
        <f xml:space="preserve">
IF($A$4&lt;=12,SUMIFS(#REF!,#REF!,$A$4,#REF!,9),SUMIFS(#REF!,#REF!,9))</f>
        <v>#REF!</v>
      </c>
      <c r="AH19" s="273" t="e">
        <f xml:space="preserve">
IF($A$4&lt;=12,SUMIFS(#REF!,#REF!,$A$4,#REF!,9),SUMIFS(#REF!,#REF!,9))</f>
        <v>#REF!</v>
      </c>
      <c r="AI19" s="273" t="e">
        <f xml:space="preserve">
IF($A$4&lt;=12,SUMIFS(#REF!,#REF!,$A$4,#REF!,9),SUMIFS(#REF!,#REF!,9))</f>
        <v>#REF!</v>
      </c>
      <c r="AJ19" s="273" t="e">
        <f xml:space="preserve">
IF($A$4&lt;=12,SUMIFS(#REF!,#REF!,$A$4,#REF!,9),SUMIFS(#REF!,#REF!,9))</f>
        <v>#REF!</v>
      </c>
      <c r="AK19" s="273" t="e">
        <f xml:space="preserve">
IF($A$4&lt;=12,SUMIFS(#REF!,#REF!,$A$4,#REF!,9),SUMIFS(#REF!,#REF!,9))</f>
        <v>#REF!</v>
      </c>
      <c r="AL19" s="272" t="e">
        <f xml:space="preserve">
IF($A$4&lt;=12,SUMIFS(#REF!,#REF!,$A$4,#REF!,9),SUMIFS(#REF!,#REF!,9))</f>
        <v>#REF!</v>
      </c>
      <c r="AM19" s="273" t="e">
        <f xml:space="preserve">
IF($A$4&lt;=12,SUMIFS(#REF!,#REF!,$A$4,#REF!,9),SUMIFS(#REF!,#REF!,9))</f>
        <v>#REF!</v>
      </c>
      <c r="AN19" s="273" t="e">
        <f xml:space="preserve">
IF($A$4&lt;=12,SUMIFS(#REF!,#REF!,$A$4,#REF!,9),SUMIFS(#REF!,#REF!,9))</f>
        <v>#REF!</v>
      </c>
      <c r="AO19" s="273" t="e">
        <f xml:space="preserve">
IF($A$4&lt;=12,SUMIFS(#REF!,#REF!,$A$4,#REF!,9),SUMIFS(#REF!,#REF!,9))</f>
        <v>#REF!</v>
      </c>
      <c r="AP19" s="273" t="e">
        <f xml:space="preserve">
IF($A$4&lt;=12,SUMIFS(#REF!,#REF!,$A$4,#REF!,9),SUMIFS(#REF!,#REF!,9))</f>
        <v>#REF!</v>
      </c>
      <c r="AQ19" s="273" t="e">
        <f xml:space="preserve">
IF($A$4&lt;=12,SUMIFS(#REF!,#REF!,$A$4,#REF!,9),SUMIFS(#REF!,#REF!,9))</f>
        <v>#REF!</v>
      </c>
      <c r="AR19" s="273" t="e">
        <f xml:space="preserve">
IF($A$4&lt;=12,SUMIFS(#REF!,#REF!,$A$4,#REF!,9),SUMIFS(#REF!,#REF!,9))</f>
        <v>#REF!</v>
      </c>
      <c r="AS19" s="274" t="e">
        <f xml:space="preserve">
IF($A$4&lt;=12,SUMIFS(#REF!,#REF!,$A$4,#REF!,9),SUMIFS(#REF!,#REF!,9))</f>
        <v>#REF!</v>
      </c>
    </row>
    <row r="20" spans="1:45" ht="15" collapsed="1" thickBot="1" x14ac:dyDescent="0.35">
      <c r="A20" s="246" t="s">
        <v>71</v>
      </c>
      <c r="B20" s="275" t="e">
        <f xml:space="preserve">
IF($A$4&lt;=12,SUMIFS(#REF!,#REF!,$A$4,#REF!,6),SUMIFS(#REF!,#REF!,6))</f>
        <v>#REF!</v>
      </c>
      <c r="C20" s="276" t="e">
        <f xml:space="preserve">
IF($A$4&lt;=12,SUMIFS(#REF!,#REF!,$A$4,#REF!,6),SUMIFS(#REF!,#REF!,6))</f>
        <v>#REF!</v>
      </c>
      <c r="D20" s="277" t="e">
        <f xml:space="preserve">
IF($A$4&lt;=12,SUMIFS(#REF!,#REF!,$A$4,#REF!,6),SUMIFS(#REF!,#REF!,6))</f>
        <v>#REF!</v>
      </c>
      <c r="E20" s="277" t="e">
        <f xml:space="preserve">
IF($A$4&lt;=12,SUMIFS(#REF!,#REF!,$A$4,#REF!,6),SUMIFS(#REF!,#REF!,6))</f>
        <v>#REF!</v>
      </c>
      <c r="F20" s="277" t="e">
        <f xml:space="preserve">
IF($A$4&lt;=12,SUMIFS(#REF!,#REF!,$A$4,#REF!,6),SUMIFS(#REF!,#REF!,6))</f>
        <v>#REF!</v>
      </c>
      <c r="G20" s="277" t="e">
        <f xml:space="preserve">
IF($A$4&lt;=12,SUMIFS(#REF!,#REF!,$A$4,#REF!,6),SUMIFS(#REF!,#REF!,6))</f>
        <v>#REF!</v>
      </c>
      <c r="H20" s="277" t="e">
        <f xml:space="preserve">
IF($A$4&lt;=12,SUMIFS(#REF!,#REF!,$A$4,#REF!,6),SUMIFS(#REF!,#REF!,6))</f>
        <v>#REF!</v>
      </c>
      <c r="I20" s="277" t="e">
        <f xml:space="preserve">
IF($A$4&lt;=12,SUMIFS(#REF!,#REF!,$A$4,#REF!,6),SUMIFS(#REF!,#REF!,6))</f>
        <v>#REF!</v>
      </c>
      <c r="J20" s="277" t="e">
        <f xml:space="preserve">
IF($A$4&lt;=12,SUMIFS(#REF!,#REF!,$A$4,#REF!,6),SUMIFS(#REF!,#REF!,6))</f>
        <v>#REF!</v>
      </c>
      <c r="K20" s="277" t="e">
        <f xml:space="preserve">
IF($A$4&lt;=12,SUMIFS(#REF!,#REF!,$A$4,#REF!,6),SUMIFS(#REF!,#REF!,6))</f>
        <v>#REF!</v>
      </c>
      <c r="L20" s="277" t="e">
        <f xml:space="preserve">
IF($A$4&lt;=12,SUMIFS(#REF!,#REF!,$A$4,#REF!,6),SUMIFS(#REF!,#REF!,6))</f>
        <v>#REF!</v>
      </c>
      <c r="M20" s="277" t="e">
        <f xml:space="preserve">
IF($A$4&lt;=12,SUMIFS(#REF!,#REF!,$A$4,#REF!,6),SUMIFS(#REF!,#REF!,6))</f>
        <v>#REF!</v>
      </c>
      <c r="N20" s="277" t="e">
        <f xml:space="preserve">
IF($A$4&lt;=12,SUMIFS(#REF!,#REF!,$A$4,#REF!,6),SUMIFS(#REF!,#REF!,6))</f>
        <v>#REF!</v>
      </c>
      <c r="O20" s="277" t="e">
        <f xml:space="preserve">
IF($A$4&lt;=12,SUMIFS(#REF!,#REF!,$A$4,#REF!,6),SUMIFS(#REF!,#REF!,6))</f>
        <v>#REF!</v>
      </c>
      <c r="P20" s="277" t="e">
        <f xml:space="preserve">
IF($A$4&lt;=12,SUMIFS(#REF!,#REF!,$A$4,#REF!,6),SUMIFS(#REF!,#REF!,6))</f>
        <v>#REF!</v>
      </c>
      <c r="Q20" s="277" t="e">
        <f xml:space="preserve">
IF($A$4&lt;=12,SUMIFS(#REF!,#REF!,$A$4,#REF!,6),SUMIFS(#REF!,#REF!,6))</f>
        <v>#REF!</v>
      </c>
      <c r="R20" s="277" t="e">
        <f xml:space="preserve">
IF($A$4&lt;=12,SUMIFS(#REF!,#REF!,$A$4,#REF!,6),SUMIFS(#REF!,#REF!,6))</f>
        <v>#REF!</v>
      </c>
      <c r="S20" s="277" t="e">
        <f xml:space="preserve">
IF($A$4&lt;=12,SUMIFS(#REF!,#REF!,$A$4,#REF!,6),SUMIFS(#REF!,#REF!,6))</f>
        <v>#REF!</v>
      </c>
      <c r="T20" s="277" t="e">
        <f xml:space="preserve">
IF($A$4&lt;=12,SUMIFS(#REF!,#REF!,$A$4,#REF!,6),SUMIFS(#REF!,#REF!,6))</f>
        <v>#REF!</v>
      </c>
      <c r="U20" s="277" t="e">
        <f xml:space="preserve">
IF($A$4&lt;=12,SUMIFS(#REF!,#REF!,$A$4,#REF!,6),SUMIFS(#REF!,#REF!,6))</f>
        <v>#REF!</v>
      </c>
      <c r="V20" s="277" t="e">
        <f xml:space="preserve">
IF($A$4&lt;=12,SUMIFS(#REF!,#REF!,$A$4,#REF!,6),SUMIFS(#REF!,#REF!,6))</f>
        <v>#REF!</v>
      </c>
      <c r="W20" s="277" t="e">
        <f xml:space="preserve">
IF($A$4&lt;=12,SUMIFS(#REF!,#REF!,$A$4,#REF!,6),SUMIFS(#REF!,#REF!,6))</f>
        <v>#REF!</v>
      </c>
      <c r="X20" s="277" t="e">
        <f xml:space="preserve">
IF($A$4&lt;=12,SUMIFS(#REF!,#REF!,$A$4,#REF!,6),SUMIFS(#REF!,#REF!,6))</f>
        <v>#REF!</v>
      </c>
      <c r="Y20" s="277" t="e">
        <f xml:space="preserve">
IF($A$4&lt;=12,SUMIFS(#REF!,#REF!,$A$4,#REF!,6),SUMIFS(#REF!,#REF!,6))</f>
        <v>#REF!</v>
      </c>
      <c r="Z20" s="277" t="e">
        <f xml:space="preserve">
IF($A$4&lt;=12,SUMIFS(#REF!,#REF!,$A$4,#REF!,6),SUMIFS(#REF!,#REF!,6))</f>
        <v>#REF!</v>
      </c>
      <c r="AA20" s="277" t="e">
        <f xml:space="preserve">
IF($A$4&lt;=12,SUMIFS(#REF!,#REF!,$A$4,#REF!,6),SUMIFS(#REF!,#REF!,6))</f>
        <v>#REF!</v>
      </c>
      <c r="AB20" s="277" t="e">
        <f xml:space="preserve">
IF($A$4&lt;=12,SUMIFS(#REF!,#REF!,$A$4,#REF!,6),SUMIFS(#REF!,#REF!,6))</f>
        <v>#REF!</v>
      </c>
      <c r="AC20" s="277" t="e">
        <f xml:space="preserve">
IF($A$4&lt;=12,SUMIFS(#REF!,#REF!,$A$4,#REF!,6),SUMIFS(#REF!,#REF!,6))</f>
        <v>#REF!</v>
      </c>
      <c r="AD20" s="277" t="e">
        <f xml:space="preserve">
IF($A$4&lt;=12,SUMIFS(#REF!,#REF!,$A$4,#REF!,6),SUMIFS(#REF!,#REF!,6))</f>
        <v>#REF!</v>
      </c>
      <c r="AE20" s="277" t="e">
        <f xml:space="preserve">
IF($A$4&lt;=12,SUMIFS(#REF!,#REF!,$A$4,#REF!,6),SUMIFS(#REF!,#REF!,6))</f>
        <v>#REF!</v>
      </c>
      <c r="AF20" s="277" t="e">
        <f xml:space="preserve">
IF($A$4&lt;=12,SUMIFS(#REF!,#REF!,$A$4,#REF!,6),SUMIFS(#REF!,#REF!,6))</f>
        <v>#REF!</v>
      </c>
      <c r="AG20" s="277" t="e">
        <f xml:space="preserve">
IF($A$4&lt;=12,SUMIFS(#REF!,#REF!,$A$4,#REF!,6),SUMIFS(#REF!,#REF!,6))</f>
        <v>#REF!</v>
      </c>
      <c r="AH20" s="277" t="e">
        <f xml:space="preserve">
IF($A$4&lt;=12,SUMIFS(#REF!,#REF!,$A$4,#REF!,6),SUMIFS(#REF!,#REF!,6))</f>
        <v>#REF!</v>
      </c>
      <c r="AI20" s="277" t="e">
        <f xml:space="preserve">
IF($A$4&lt;=12,SUMIFS(#REF!,#REF!,$A$4,#REF!,6),SUMIFS(#REF!,#REF!,6))</f>
        <v>#REF!</v>
      </c>
      <c r="AJ20" s="277" t="e">
        <f xml:space="preserve">
IF($A$4&lt;=12,SUMIFS(#REF!,#REF!,$A$4,#REF!,6),SUMIFS(#REF!,#REF!,6))</f>
        <v>#REF!</v>
      </c>
      <c r="AK20" s="277" t="e">
        <f xml:space="preserve">
IF($A$4&lt;=12,SUMIFS(#REF!,#REF!,$A$4,#REF!,6),SUMIFS(#REF!,#REF!,6))</f>
        <v>#REF!</v>
      </c>
      <c r="AL20" s="276" t="e">
        <f xml:space="preserve">
IF($A$4&lt;=12,SUMIFS(#REF!,#REF!,$A$4,#REF!,6),SUMIFS(#REF!,#REF!,6))</f>
        <v>#REF!</v>
      </c>
      <c r="AM20" s="277" t="e">
        <f xml:space="preserve">
IF($A$4&lt;=12,SUMIFS(#REF!,#REF!,$A$4,#REF!,6),SUMIFS(#REF!,#REF!,6))</f>
        <v>#REF!</v>
      </c>
      <c r="AN20" s="277" t="e">
        <f xml:space="preserve">
IF($A$4&lt;=12,SUMIFS(#REF!,#REF!,$A$4,#REF!,6),SUMIFS(#REF!,#REF!,6))</f>
        <v>#REF!</v>
      </c>
      <c r="AO20" s="277" t="e">
        <f xml:space="preserve">
IF($A$4&lt;=12,SUMIFS(#REF!,#REF!,$A$4,#REF!,6),SUMIFS(#REF!,#REF!,6))</f>
        <v>#REF!</v>
      </c>
      <c r="AP20" s="277" t="e">
        <f xml:space="preserve">
IF($A$4&lt;=12,SUMIFS(#REF!,#REF!,$A$4,#REF!,6),SUMIFS(#REF!,#REF!,6))</f>
        <v>#REF!</v>
      </c>
      <c r="AQ20" s="277" t="e">
        <f xml:space="preserve">
IF($A$4&lt;=12,SUMIFS(#REF!,#REF!,$A$4,#REF!,6),SUMIFS(#REF!,#REF!,6))</f>
        <v>#REF!</v>
      </c>
      <c r="AR20" s="277" t="e">
        <f xml:space="preserve">
IF($A$4&lt;=12,SUMIFS(#REF!,#REF!,$A$4,#REF!,6),SUMIFS(#REF!,#REF!,6))</f>
        <v>#REF!</v>
      </c>
      <c r="AS20" s="278" t="e">
        <f xml:space="preserve">
IF($A$4&lt;=12,SUMIFS(#REF!,#REF!,$A$4,#REF!,6),SUMIFS(#REF!,#REF!,6))</f>
        <v>#REF!</v>
      </c>
    </row>
    <row r="21" spans="1:45" hidden="1" outlineLevel="1" x14ac:dyDescent="0.3">
      <c r="A21" s="239" t="s">
        <v>105</v>
      </c>
      <c r="B21" s="259" t="e">
        <f xml:space="preserve">
IF($A$4&lt;=12,SUMIFS(#REF!,#REF!,$A$4,#REF!,12),SUMIFS(#REF!,#REF!,12))</f>
        <v>#REF!</v>
      </c>
      <c r="C21" s="260" t="e">
        <f xml:space="preserve">
IF($A$4&lt;=12,SUMIFS(#REF!,#REF!,$A$4,#REF!,12),SUMIFS(#REF!,#REF!,12))</f>
        <v>#REF!</v>
      </c>
      <c r="D21" s="261" t="e">
        <f xml:space="preserve">
IF($A$4&lt;=12,SUMIFS(#REF!,#REF!,$A$4,#REF!,12),SUMIFS(#REF!,#REF!,12))</f>
        <v>#REF!</v>
      </c>
      <c r="E21" s="261" t="e">
        <f xml:space="preserve">
IF($A$4&lt;=12,SUMIFS(#REF!,#REF!,$A$4,#REF!,12),SUMIFS(#REF!,#REF!,12))</f>
        <v>#REF!</v>
      </c>
      <c r="F21" s="261" t="e">
        <f xml:space="preserve">
IF($A$4&lt;=12,SUMIFS(#REF!,#REF!,$A$4,#REF!,12),SUMIFS(#REF!,#REF!,12))</f>
        <v>#REF!</v>
      </c>
      <c r="G21" s="261" t="e">
        <f xml:space="preserve">
IF($A$4&lt;=12,SUMIFS(#REF!,#REF!,$A$4,#REF!,12),SUMIFS(#REF!,#REF!,12))</f>
        <v>#REF!</v>
      </c>
      <c r="H21" s="261" t="e">
        <f xml:space="preserve">
IF($A$4&lt;=12,SUMIFS(#REF!,#REF!,$A$4,#REF!,12),SUMIFS(#REF!,#REF!,12))</f>
        <v>#REF!</v>
      </c>
      <c r="I21" s="261" t="e">
        <f xml:space="preserve">
IF($A$4&lt;=12,SUMIFS(#REF!,#REF!,$A$4,#REF!,12),SUMIFS(#REF!,#REF!,12))</f>
        <v>#REF!</v>
      </c>
      <c r="J21" s="261" t="e">
        <f xml:space="preserve">
IF($A$4&lt;=12,SUMIFS(#REF!,#REF!,$A$4,#REF!,12),SUMIFS(#REF!,#REF!,12))</f>
        <v>#REF!</v>
      </c>
      <c r="K21" s="261" t="e">
        <f xml:space="preserve">
IF($A$4&lt;=12,SUMIFS(#REF!,#REF!,$A$4,#REF!,12),SUMIFS(#REF!,#REF!,12))</f>
        <v>#REF!</v>
      </c>
      <c r="L21" s="261" t="e">
        <f xml:space="preserve">
IF($A$4&lt;=12,SUMIFS(#REF!,#REF!,$A$4,#REF!,12),SUMIFS(#REF!,#REF!,12))</f>
        <v>#REF!</v>
      </c>
      <c r="M21" s="261" t="e">
        <f xml:space="preserve">
IF($A$4&lt;=12,SUMIFS(#REF!,#REF!,$A$4,#REF!,12),SUMIFS(#REF!,#REF!,12))</f>
        <v>#REF!</v>
      </c>
      <c r="N21" s="261" t="e">
        <f xml:space="preserve">
IF($A$4&lt;=12,SUMIFS(#REF!,#REF!,$A$4,#REF!,12),SUMIFS(#REF!,#REF!,12))</f>
        <v>#REF!</v>
      </c>
      <c r="O21" s="261" t="e">
        <f xml:space="preserve">
IF($A$4&lt;=12,SUMIFS(#REF!,#REF!,$A$4,#REF!,12),SUMIFS(#REF!,#REF!,12))</f>
        <v>#REF!</v>
      </c>
      <c r="P21" s="261" t="e">
        <f xml:space="preserve">
IF($A$4&lt;=12,SUMIFS(#REF!,#REF!,$A$4,#REF!,12),SUMIFS(#REF!,#REF!,12))</f>
        <v>#REF!</v>
      </c>
      <c r="Q21" s="261" t="e">
        <f xml:space="preserve">
IF($A$4&lt;=12,SUMIFS(#REF!,#REF!,$A$4,#REF!,12),SUMIFS(#REF!,#REF!,12))</f>
        <v>#REF!</v>
      </c>
      <c r="R21" s="261" t="e">
        <f xml:space="preserve">
IF($A$4&lt;=12,SUMIFS(#REF!,#REF!,$A$4,#REF!,12),SUMIFS(#REF!,#REF!,12))</f>
        <v>#REF!</v>
      </c>
      <c r="S21" s="261" t="e">
        <f xml:space="preserve">
IF($A$4&lt;=12,SUMIFS(#REF!,#REF!,$A$4,#REF!,12),SUMIFS(#REF!,#REF!,12))</f>
        <v>#REF!</v>
      </c>
      <c r="T21" s="261" t="e">
        <f xml:space="preserve">
IF($A$4&lt;=12,SUMIFS(#REF!,#REF!,$A$4,#REF!,12),SUMIFS(#REF!,#REF!,12))</f>
        <v>#REF!</v>
      </c>
      <c r="U21" s="261" t="e">
        <f xml:space="preserve">
IF($A$4&lt;=12,SUMIFS(#REF!,#REF!,$A$4,#REF!,12),SUMIFS(#REF!,#REF!,12))</f>
        <v>#REF!</v>
      </c>
      <c r="V21" s="261" t="e">
        <f xml:space="preserve">
IF($A$4&lt;=12,SUMIFS(#REF!,#REF!,$A$4,#REF!,12),SUMIFS(#REF!,#REF!,12))</f>
        <v>#REF!</v>
      </c>
      <c r="W21" s="261" t="e">
        <f xml:space="preserve">
IF($A$4&lt;=12,SUMIFS(#REF!,#REF!,$A$4,#REF!,12),SUMIFS(#REF!,#REF!,12))</f>
        <v>#REF!</v>
      </c>
      <c r="X21" s="261" t="e">
        <f xml:space="preserve">
IF($A$4&lt;=12,SUMIFS(#REF!,#REF!,$A$4,#REF!,12),SUMIFS(#REF!,#REF!,12))</f>
        <v>#REF!</v>
      </c>
      <c r="Y21" s="261" t="e">
        <f xml:space="preserve">
IF($A$4&lt;=12,SUMIFS(#REF!,#REF!,$A$4,#REF!,12),SUMIFS(#REF!,#REF!,12))</f>
        <v>#REF!</v>
      </c>
      <c r="Z21" s="261" t="e">
        <f xml:space="preserve">
IF($A$4&lt;=12,SUMIFS(#REF!,#REF!,$A$4,#REF!,12),SUMIFS(#REF!,#REF!,12))</f>
        <v>#REF!</v>
      </c>
      <c r="AA21" s="261" t="e">
        <f xml:space="preserve">
IF($A$4&lt;=12,SUMIFS(#REF!,#REF!,$A$4,#REF!,12),SUMIFS(#REF!,#REF!,12))</f>
        <v>#REF!</v>
      </c>
      <c r="AB21" s="261" t="e">
        <f xml:space="preserve">
IF($A$4&lt;=12,SUMIFS(#REF!,#REF!,$A$4,#REF!,12),SUMIFS(#REF!,#REF!,12))</f>
        <v>#REF!</v>
      </c>
      <c r="AC21" s="261" t="e">
        <f xml:space="preserve">
IF($A$4&lt;=12,SUMIFS(#REF!,#REF!,$A$4,#REF!,12),SUMIFS(#REF!,#REF!,12))</f>
        <v>#REF!</v>
      </c>
      <c r="AD21" s="261" t="e">
        <f xml:space="preserve">
IF($A$4&lt;=12,SUMIFS(#REF!,#REF!,$A$4,#REF!,12),SUMIFS(#REF!,#REF!,12))</f>
        <v>#REF!</v>
      </c>
      <c r="AE21" s="261" t="e">
        <f xml:space="preserve">
IF($A$4&lt;=12,SUMIFS(#REF!,#REF!,$A$4,#REF!,12),SUMIFS(#REF!,#REF!,12))</f>
        <v>#REF!</v>
      </c>
      <c r="AF21" s="261" t="e">
        <f xml:space="preserve">
IF($A$4&lt;=12,SUMIFS(#REF!,#REF!,$A$4,#REF!,12),SUMIFS(#REF!,#REF!,12))</f>
        <v>#REF!</v>
      </c>
      <c r="AG21" s="261" t="e">
        <f xml:space="preserve">
IF($A$4&lt;=12,SUMIFS(#REF!,#REF!,$A$4,#REF!,12),SUMIFS(#REF!,#REF!,12))</f>
        <v>#REF!</v>
      </c>
      <c r="AH21" s="261" t="e">
        <f xml:space="preserve">
IF($A$4&lt;=12,SUMIFS(#REF!,#REF!,$A$4,#REF!,12),SUMIFS(#REF!,#REF!,12))</f>
        <v>#REF!</v>
      </c>
      <c r="AI21" s="261" t="e">
        <f xml:space="preserve">
IF($A$4&lt;=12,SUMIFS(#REF!,#REF!,$A$4,#REF!,12),SUMIFS(#REF!,#REF!,12))</f>
        <v>#REF!</v>
      </c>
      <c r="AJ21" s="261" t="e">
        <f xml:space="preserve">
IF($A$4&lt;=12,SUMIFS(#REF!,#REF!,$A$4,#REF!,12),SUMIFS(#REF!,#REF!,12))</f>
        <v>#REF!</v>
      </c>
      <c r="AK21" s="262" t="e">
        <f xml:space="preserve">
IF($A$4&lt;=12,SUMIFS(#REF!,#REF!,$A$4,#REF!,12),SUMIFS(#REF!,#REF!,12))</f>
        <v>#REF!</v>
      </c>
    </row>
    <row r="22" spans="1:45" hidden="1" outlineLevel="1" x14ac:dyDescent="0.3">
      <c r="A22" s="239" t="s">
        <v>73</v>
      </c>
      <c r="B22" s="313" t="e">
        <f xml:space="preserve">
IF(OR(B21="",B21=0),"",B20/B21)</f>
        <v>#REF!</v>
      </c>
      <c r="C22" s="314" t="e">
        <f t="shared" ref="C22:H22" si="3" xml:space="preserve">
IF(OR(C21="",C21=0),"",C20/C21)</f>
        <v>#REF!</v>
      </c>
      <c r="D22" s="315" t="e">
        <f t="shared" si="3"/>
        <v>#REF!</v>
      </c>
      <c r="E22" s="315" t="e">
        <f t="shared" si="3"/>
        <v>#REF!</v>
      </c>
      <c r="F22" s="315" t="e">
        <f t="shared" si="3"/>
        <v>#REF!</v>
      </c>
      <c r="G22" s="315" t="e">
        <f t="shared" si="3"/>
        <v>#REF!</v>
      </c>
      <c r="H22" s="315" t="e">
        <f t="shared" si="3"/>
        <v>#REF!</v>
      </c>
      <c r="I22" s="315" t="e">
        <f t="shared" ref="I22:AK22" si="4" xml:space="preserve">
IF(OR(I21="",I21=0),"",I20/I21)</f>
        <v>#REF!</v>
      </c>
      <c r="J22" s="315" t="e">
        <f t="shared" si="4"/>
        <v>#REF!</v>
      </c>
      <c r="K22" s="315" t="e">
        <f t="shared" si="4"/>
        <v>#REF!</v>
      </c>
      <c r="L22" s="315" t="e">
        <f t="shared" si="4"/>
        <v>#REF!</v>
      </c>
      <c r="M22" s="315" t="e">
        <f t="shared" si="4"/>
        <v>#REF!</v>
      </c>
      <c r="N22" s="315" t="e">
        <f t="shared" si="4"/>
        <v>#REF!</v>
      </c>
      <c r="O22" s="315" t="e">
        <f t="shared" si="4"/>
        <v>#REF!</v>
      </c>
      <c r="P22" s="315" t="e">
        <f t="shared" si="4"/>
        <v>#REF!</v>
      </c>
      <c r="Q22" s="315" t="e">
        <f t="shared" si="4"/>
        <v>#REF!</v>
      </c>
      <c r="R22" s="315" t="e">
        <f t="shared" si="4"/>
        <v>#REF!</v>
      </c>
      <c r="S22" s="315" t="e">
        <f t="shared" si="4"/>
        <v>#REF!</v>
      </c>
      <c r="T22" s="315" t="e">
        <f t="shared" si="4"/>
        <v>#REF!</v>
      </c>
      <c r="U22" s="315" t="e">
        <f t="shared" si="4"/>
        <v>#REF!</v>
      </c>
      <c r="V22" s="315" t="e">
        <f t="shared" si="4"/>
        <v>#REF!</v>
      </c>
      <c r="W22" s="315" t="e">
        <f t="shared" si="4"/>
        <v>#REF!</v>
      </c>
      <c r="X22" s="315" t="e">
        <f t="shared" si="4"/>
        <v>#REF!</v>
      </c>
      <c r="Y22" s="315" t="e">
        <f t="shared" si="4"/>
        <v>#REF!</v>
      </c>
      <c r="Z22" s="315" t="e">
        <f t="shared" si="4"/>
        <v>#REF!</v>
      </c>
      <c r="AA22" s="315" t="e">
        <f t="shared" si="4"/>
        <v>#REF!</v>
      </c>
      <c r="AB22" s="315" t="e">
        <f t="shared" si="4"/>
        <v>#REF!</v>
      </c>
      <c r="AC22" s="315" t="e">
        <f t="shared" si="4"/>
        <v>#REF!</v>
      </c>
      <c r="AD22" s="315" t="e">
        <f t="shared" si="4"/>
        <v>#REF!</v>
      </c>
      <c r="AE22" s="315" t="e">
        <f t="shared" si="4"/>
        <v>#REF!</v>
      </c>
      <c r="AF22" s="315" t="e">
        <f t="shared" si="4"/>
        <v>#REF!</v>
      </c>
      <c r="AG22" s="315" t="e">
        <f t="shared" si="4"/>
        <v>#REF!</v>
      </c>
      <c r="AH22" s="315" t="e">
        <f t="shared" si="4"/>
        <v>#REF!</v>
      </c>
      <c r="AI22" s="315" t="e">
        <f t="shared" si="4"/>
        <v>#REF!</v>
      </c>
      <c r="AJ22" s="315" t="e">
        <f t="shared" si="4"/>
        <v>#REF!</v>
      </c>
      <c r="AK22" s="316" t="e">
        <f t="shared" si="4"/>
        <v>#REF!</v>
      </c>
    </row>
    <row r="23" spans="1:45" ht="15" hidden="1" outlineLevel="1" thickBot="1" x14ac:dyDescent="0.35">
      <c r="A23" s="247" t="s">
        <v>66</v>
      </c>
      <c r="B23" s="263" t="e">
        <f xml:space="preserve">
IF(B21="","",B20-B21)</f>
        <v>#REF!</v>
      </c>
      <c r="C23" s="264" t="e">
        <f t="shared" ref="C23:H23" si="5" xml:space="preserve">
IF(C21="","",C20-C21)</f>
        <v>#REF!</v>
      </c>
      <c r="D23" s="265" t="e">
        <f t="shared" si="5"/>
        <v>#REF!</v>
      </c>
      <c r="E23" s="265" t="e">
        <f t="shared" si="5"/>
        <v>#REF!</v>
      </c>
      <c r="F23" s="265" t="e">
        <f t="shared" si="5"/>
        <v>#REF!</v>
      </c>
      <c r="G23" s="265" t="e">
        <f t="shared" si="5"/>
        <v>#REF!</v>
      </c>
      <c r="H23" s="265" t="e">
        <f t="shared" si="5"/>
        <v>#REF!</v>
      </c>
      <c r="I23" s="265" t="e">
        <f t="shared" ref="I23:AK23" si="6" xml:space="preserve">
IF(I21="","",I20-I21)</f>
        <v>#REF!</v>
      </c>
      <c r="J23" s="265" t="e">
        <f t="shared" si="6"/>
        <v>#REF!</v>
      </c>
      <c r="K23" s="265" t="e">
        <f t="shared" si="6"/>
        <v>#REF!</v>
      </c>
      <c r="L23" s="265" t="e">
        <f t="shared" si="6"/>
        <v>#REF!</v>
      </c>
      <c r="M23" s="265" t="e">
        <f t="shared" si="6"/>
        <v>#REF!</v>
      </c>
      <c r="N23" s="265" t="e">
        <f t="shared" si="6"/>
        <v>#REF!</v>
      </c>
      <c r="O23" s="265" t="e">
        <f t="shared" si="6"/>
        <v>#REF!</v>
      </c>
      <c r="P23" s="265" t="e">
        <f t="shared" si="6"/>
        <v>#REF!</v>
      </c>
      <c r="Q23" s="265" t="e">
        <f t="shared" si="6"/>
        <v>#REF!</v>
      </c>
      <c r="R23" s="265" t="e">
        <f t="shared" si="6"/>
        <v>#REF!</v>
      </c>
      <c r="S23" s="265" t="e">
        <f t="shared" si="6"/>
        <v>#REF!</v>
      </c>
      <c r="T23" s="265" t="e">
        <f t="shared" si="6"/>
        <v>#REF!</v>
      </c>
      <c r="U23" s="265" t="e">
        <f t="shared" si="6"/>
        <v>#REF!</v>
      </c>
      <c r="V23" s="265" t="e">
        <f t="shared" si="6"/>
        <v>#REF!</v>
      </c>
      <c r="W23" s="265" t="e">
        <f t="shared" si="6"/>
        <v>#REF!</v>
      </c>
      <c r="X23" s="265" t="e">
        <f t="shared" si="6"/>
        <v>#REF!</v>
      </c>
      <c r="Y23" s="265" t="e">
        <f t="shared" si="6"/>
        <v>#REF!</v>
      </c>
      <c r="Z23" s="265" t="e">
        <f t="shared" si="6"/>
        <v>#REF!</v>
      </c>
      <c r="AA23" s="265" t="e">
        <f t="shared" si="6"/>
        <v>#REF!</v>
      </c>
      <c r="AB23" s="265" t="e">
        <f t="shared" si="6"/>
        <v>#REF!</v>
      </c>
      <c r="AC23" s="265" t="e">
        <f t="shared" si="6"/>
        <v>#REF!</v>
      </c>
      <c r="AD23" s="265" t="e">
        <f t="shared" si="6"/>
        <v>#REF!</v>
      </c>
      <c r="AE23" s="265" t="e">
        <f t="shared" si="6"/>
        <v>#REF!</v>
      </c>
      <c r="AF23" s="265" t="e">
        <f t="shared" si="6"/>
        <v>#REF!</v>
      </c>
      <c r="AG23" s="265" t="e">
        <f t="shared" si="6"/>
        <v>#REF!</v>
      </c>
      <c r="AH23" s="265" t="e">
        <f t="shared" si="6"/>
        <v>#REF!</v>
      </c>
      <c r="AI23" s="265" t="e">
        <f t="shared" si="6"/>
        <v>#REF!</v>
      </c>
      <c r="AJ23" s="265" t="e">
        <f t="shared" si="6"/>
        <v>#REF!</v>
      </c>
      <c r="AK23" s="266" t="e">
        <f t="shared" si="6"/>
        <v>#REF!</v>
      </c>
    </row>
    <row r="24" spans="1:45" x14ac:dyDescent="0.3">
      <c r="A24" s="241" t="s">
        <v>171</v>
      </c>
      <c r="B24" s="296" t="s">
        <v>3</v>
      </c>
      <c r="C24" s="404" t="s">
        <v>182</v>
      </c>
      <c r="D24" s="405"/>
      <c r="E24" s="405"/>
      <c r="F24" s="405"/>
      <c r="G24" s="406"/>
      <c r="H24" s="406"/>
      <c r="I24" s="406"/>
      <c r="J24" s="407"/>
      <c r="K24" s="410" t="s">
        <v>183</v>
      </c>
      <c r="L24" s="411"/>
      <c r="M24" s="411"/>
      <c r="N24" s="411"/>
      <c r="O24" s="411"/>
      <c r="P24" s="411"/>
      <c r="Q24" s="411"/>
      <c r="R24" s="411"/>
      <c r="S24" s="411"/>
      <c r="T24" s="411"/>
      <c r="U24" s="411"/>
      <c r="V24" s="411"/>
      <c r="W24" s="411"/>
      <c r="X24" s="411"/>
      <c r="Y24" s="411"/>
      <c r="Z24" s="411"/>
      <c r="AA24" s="411"/>
      <c r="AB24" s="411"/>
      <c r="AC24" s="411"/>
      <c r="AD24" s="411"/>
      <c r="AE24" s="411"/>
      <c r="AF24" s="411"/>
      <c r="AG24" s="411"/>
      <c r="AH24" s="411"/>
      <c r="AI24" s="411"/>
      <c r="AJ24" s="411"/>
      <c r="AK24" s="411"/>
      <c r="AL24" s="411"/>
      <c r="AM24" s="411"/>
      <c r="AN24" s="411"/>
      <c r="AO24" s="411"/>
      <c r="AP24" s="411"/>
      <c r="AQ24" s="411"/>
      <c r="AR24" s="412"/>
      <c r="AS24" s="318" t="s">
        <v>184</v>
      </c>
    </row>
    <row r="25" spans="1:45" x14ac:dyDescent="0.3">
      <c r="A25" s="242" t="s">
        <v>71</v>
      </c>
      <c r="B25" s="259" t="e">
        <f xml:space="preserve">
SUM(C25:AS25)</f>
        <v>#REF!</v>
      </c>
      <c r="C25" s="408" t="e">
        <f xml:space="preserve">
IF($A$4&lt;=12,SUMIFS(#REF!,#REF!,$A$4,#REF!,10),SUMIFS(#REF!,#REF!,10))</f>
        <v>#REF!</v>
      </c>
      <c r="D25" s="409"/>
      <c r="E25" s="409"/>
      <c r="F25" s="409"/>
      <c r="G25" s="396"/>
      <c r="H25" s="396"/>
      <c r="I25" s="396"/>
      <c r="J25" s="397"/>
      <c r="K25" s="413" t="e">
        <f xml:space="preserve">
IF($A$4&lt;=12,SUMIFS(#REF!,#REF!,$A$4,#REF!,10),SUMIFS(#REF!,#REF!,10))</f>
        <v>#REF!</v>
      </c>
      <c r="L25" s="396"/>
      <c r="M25" s="396"/>
      <c r="N25" s="396"/>
      <c r="O25" s="396"/>
      <c r="P25" s="396"/>
      <c r="Q25" s="396"/>
      <c r="R25" s="396"/>
      <c r="S25" s="396"/>
      <c r="T25" s="396"/>
      <c r="U25" s="396"/>
      <c r="V25" s="396"/>
      <c r="W25" s="396"/>
      <c r="X25" s="396"/>
      <c r="Y25" s="396"/>
      <c r="Z25" s="396"/>
      <c r="AA25" s="396"/>
      <c r="AB25" s="396"/>
      <c r="AC25" s="396"/>
      <c r="AD25" s="396"/>
      <c r="AE25" s="396"/>
      <c r="AF25" s="396"/>
      <c r="AG25" s="396"/>
      <c r="AH25" s="396"/>
      <c r="AI25" s="396"/>
      <c r="AJ25" s="396"/>
      <c r="AK25" s="396"/>
      <c r="AL25" s="396"/>
      <c r="AM25" s="396"/>
      <c r="AN25" s="396"/>
      <c r="AO25" s="396"/>
      <c r="AP25" s="396"/>
      <c r="AQ25" s="396"/>
      <c r="AR25" s="397"/>
      <c r="AS25" s="319" t="e">
        <f xml:space="preserve">
IF($A$4&lt;=12,SUMIFS(#REF!,#REF!,$A$4,#REF!,10),SUMIFS(#REF!,#REF!,10))</f>
        <v>#REF!</v>
      </c>
    </row>
    <row r="26" spans="1:45" x14ac:dyDescent="0.3">
      <c r="A26" s="248" t="s">
        <v>181</v>
      </c>
      <c r="B26" s="271" t="e">
        <f xml:space="preserve">
SUM(C26:AS26)</f>
        <v>#REF!</v>
      </c>
      <c r="C26" s="408" t="e">
        <f xml:space="preserve">
IF($A$4&lt;=12,SUMIFS(#REF!,#REF!,$A$4,#REF!,11),SUMIFS(#REF!,#REF!,11))</f>
        <v>#REF!</v>
      </c>
      <c r="D26" s="409"/>
      <c r="E26" s="409"/>
      <c r="F26" s="409"/>
      <c r="G26" s="396"/>
      <c r="H26" s="396"/>
      <c r="I26" s="396"/>
      <c r="J26" s="397"/>
      <c r="K26" s="414" t="e">
        <f xml:space="preserve">
IF($A$4&lt;=12,SUMIFS(#REF!,#REF!,$A$4,#REF!,11),SUMIFS(#REF!,#REF!,11))</f>
        <v>#REF!</v>
      </c>
      <c r="L26" s="415"/>
      <c r="M26" s="415"/>
      <c r="N26" s="415"/>
      <c r="O26" s="415"/>
      <c r="P26" s="415"/>
      <c r="Q26" s="415"/>
      <c r="R26" s="415"/>
      <c r="S26" s="415"/>
      <c r="T26" s="415"/>
      <c r="U26" s="415"/>
      <c r="V26" s="415"/>
      <c r="W26" s="415"/>
      <c r="X26" s="415"/>
      <c r="Y26" s="415"/>
      <c r="Z26" s="415"/>
      <c r="AA26" s="415"/>
      <c r="AB26" s="415"/>
      <c r="AC26" s="415"/>
      <c r="AD26" s="415"/>
      <c r="AE26" s="415"/>
      <c r="AF26" s="415"/>
      <c r="AG26" s="415"/>
      <c r="AH26" s="415"/>
      <c r="AI26" s="415"/>
      <c r="AJ26" s="415"/>
      <c r="AK26" s="415"/>
      <c r="AL26" s="415"/>
      <c r="AM26" s="415"/>
      <c r="AN26" s="415"/>
      <c r="AO26" s="415"/>
      <c r="AP26" s="415"/>
      <c r="AQ26" s="415"/>
      <c r="AR26" s="416"/>
      <c r="AS26" s="319" t="e">
        <f xml:space="preserve">
IF($A$4&lt;=12,SUMIFS(#REF!,#REF!,$A$4,#REF!,11),SUMIFS(#REF!,#REF!,11))</f>
        <v>#REF!</v>
      </c>
    </row>
    <row r="27" spans="1:45" x14ac:dyDescent="0.3">
      <c r="A27" s="248" t="s">
        <v>73</v>
      </c>
      <c r="B27" s="297" t="e">
        <f xml:space="preserve">
IF(B26=0,0,B25/B26)</f>
        <v>#REF!</v>
      </c>
      <c r="C27" s="394" t="e">
        <f xml:space="preserve">
IF(C26=0,0,C25/C26)</f>
        <v>#REF!</v>
      </c>
      <c r="D27" s="395"/>
      <c r="E27" s="395"/>
      <c r="F27" s="395"/>
      <c r="G27" s="396"/>
      <c r="H27" s="396"/>
      <c r="I27" s="396"/>
      <c r="J27" s="397"/>
      <c r="K27" s="402" t="e">
        <f xml:space="preserve">
IF(K26=0,0,K25/K26)</f>
        <v>#REF!</v>
      </c>
      <c r="L27" s="396"/>
      <c r="M27" s="396"/>
      <c r="N27" s="396"/>
      <c r="O27" s="396"/>
      <c r="P27" s="396"/>
      <c r="Q27" s="396"/>
      <c r="R27" s="396"/>
      <c r="S27" s="396"/>
      <c r="T27" s="396"/>
      <c r="U27" s="396"/>
      <c r="V27" s="396"/>
      <c r="W27" s="396"/>
      <c r="X27" s="396"/>
      <c r="Y27" s="396"/>
      <c r="Z27" s="396"/>
      <c r="AA27" s="396"/>
      <c r="AB27" s="396"/>
      <c r="AC27" s="396"/>
      <c r="AD27" s="396"/>
      <c r="AE27" s="396"/>
      <c r="AF27" s="396"/>
      <c r="AG27" s="396"/>
      <c r="AH27" s="396"/>
      <c r="AI27" s="396"/>
      <c r="AJ27" s="396"/>
      <c r="AK27" s="396"/>
      <c r="AL27" s="396"/>
      <c r="AM27" s="396"/>
      <c r="AN27" s="396"/>
      <c r="AO27" s="396"/>
      <c r="AP27" s="396"/>
      <c r="AQ27" s="396"/>
      <c r="AR27" s="397"/>
      <c r="AS27" s="320" t="e">
        <f xml:space="preserve">
IF(AS26=0,0,AS25/AS26)</f>
        <v>#REF!</v>
      </c>
    </row>
    <row r="28" spans="1:45" ht="15" thickBot="1" x14ac:dyDescent="0.35">
      <c r="A28" s="248" t="s">
        <v>180</v>
      </c>
      <c r="B28" s="271" t="e">
        <f xml:space="preserve">
SUM(C28:AS28)</f>
        <v>#REF!</v>
      </c>
      <c r="C28" s="398" t="e">
        <f xml:space="preserve">
C26-C25</f>
        <v>#REF!</v>
      </c>
      <c r="D28" s="399"/>
      <c r="E28" s="399"/>
      <c r="F28" s="399"/>
      <c r="G28" s="400"/>
      <c r="H28" s="400"/>
      <c r="I28" s="400"/>
      <c r="J28" s="401"/>
      <c r="K28" s="403" t="e">
        <f xml:space="preserve">
K26-K25</f>
        <v>#REF!</v>
      </c>
      <c r="L28" s="400"/>
      <c r="M28" s="400"/>
      <c r="N28" s="400"/>
      <c r="O28" s="400"/>
      <c r="P28" s="400"/>
      <c r="Q28" s="400"/>
      <c r="R28" s="400"/>
      <c r="S28" s="400"/>
      <c r="T28" s="400"/>
      <c r="U28" s="400"/>
      <c r="V28" s="400"/>
      <c r="W28" s="400"/>
      <c r="X28" s="400"/>
      <c r="Y28" s="400"/>
      <c r="Z28" s="400"/>
      <c r="AA28" s="400"/>
      <c r="AB28" s="400"/>
      <c r="AC28" s="400"/>
      <c r="AD28" s="400"/>
      <c r="AE28" s="400"/>
      <c r="AF28" s="400"/>
      <c r="AG28" s="400"/>
      <c r="AH28" s="400"/>
      <c r="AI28" s="400"/>
      <c r="AJ28" s="400"/>
      <c r="AK28" s="400"/>
      <c r="AL28" s="400"/>
      <c r="AM28" s="400"/>
      <c r="AN28" s="400"/>
      <c r="AO28" s="400"/>
      <c r="AP28" s="400"/>
      <c r="AQ28" s="400"/>
      <c r="AR28" s="401"/>
      <c r="AS28" s="321" t="e">
        <f xml:space="preserve">
AS26-AS25</f>
        <v>#REF!</v>
      </c>
    </row>
    <row r="29" spans="1:45" x14ac:dyDescent="0.3">
      <c r="A29" s="249"/>
      <c r="B29" s="249"/>
      <c r="C29" s="250"/>
      <c r="D29" s="249"/>
      <c r="E29" s="249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0"/>
      <c r="T29" s="250"/>
      <c r="U29" s="250"/>
      <c r="V29" s="250"/>
      <c r="W29" s="250"/>
      <c r="X29" s="250"/>
      <c r="Y29" s="250"/>
      <c r="Z29" s="250"/>
      <c r="AA29" s="250"/>
      <c r="AB29" s="250"/>
      <c r="AC29" s="250"/>
      <c r="AD29" s="250"/>
      <c r="AE29" s="250"/>
      <c r="AF29" s="250"/>
      <c r="AG29" s="249"/>
      <c r="AH29" s="249"/>
      <c r="AI29" s="249"/>
      <c r="AJ29" s="249"/>
      <c r="AK29" s="249"/>
    </row>
    <row r="30" spans="1:45" x14ac:dyDescent="0.3">
      <c r="A30" s="113" t="s">
        <v>152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51"/>
      <c r="AJ30" s="151"/>
      <c r="AK30" s="151"/>
    </row>
    <row r="31" spans="1:45" x14ac:dyDescent="0.3">
      <c r="A31" s="114" t="s">
        <v>178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51"/>
      <c r="AJ31" s="151"/>
      <c r="AK31" s="151"/>
    </row>
    <row r="32" spans="1:45" ht="14.4" customHeight="1" x14ac:dyDescent="0.3">
      <c r="A32" s="293" t="s">
        <v>175</v>
      </c>
      <c r="B32" s="294"/>
      <c r="C32" s="294"/>
      <c r="D32" s="294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</row>
    <row r="33" spans="1:1" x14ac:dyDescent="0.3">
      <c r="A33" s="295" t="s">
        <v>229</v>
      </c>
    </row>
    <row r="34" spans="1:1" x14ac:dyDescent="0.3">
      <c r="A34" s="295" t="s">
        <v>230</v>
      </c>
    </row>
    <row r="35" spans="1:1" x14ac:dyDescent="0.3">
      <c r="A35" s="295" t="s">
        <v>231</v>
      </c>
    </row>
    <row r="36" spans="1:1" x14ac:dyDescent="0.3">
      <c r="A36" s="295" t="s">
        <v>185</v>
      </c>
    </row>
  </sheetData>
  <mergeCells count="12">
    <mergeCell ref="B3:B4"/>
    <mergeCell ref="A1:AS1"/>
    <mergeCell ref="C27:J27"/>
    <mergeCell ref="C28:J28"/>
    <mergeCell ref="K27:AR27"/>
    <mergeCell ref="K28:AR28"/>
    <mergeCell ref="C24:J24"/>
    <mergeCell ref="C25:J25"/>
    <mergeCell ref="C26:J26"/>
    <mergeCell ref="K24:AR24"/>
    <mergeCell ref="K25:AR25"/>
    <mergeCell ref="K26:AR26"/>
  </mergeCells>
  <conditionalFormatting sqref="C27">
    <cfRule type="cellIs" dxfId="8" priority="8" operator="greaterThan">
      <formula>1</formula>
    </cfRule>
  </conditionalFormatting>
  <conditionalFormatting sqref="C28">
    <cfRule type="cellIs" dxfId="7" priority="7" operator="lessThan">
      <formula>0</formula>
    </cfRule>
  </conditionalFormatting>
  <conditionalFormatting sqref="B22:AK22">
    <cfRule type="cellIs" dxfId="6" priority="6" operator="greaterThan">
      <formula>1</formula>
    </cfRule>
  </conditionalFormatting>
  <conditionalFormatting sqref="B23:AK23">
    <cfRule type="cellIs" dxfId="5" priority="5" operator="greaterThan">
      <formula>0</formula>
    </cfRule>
  </conditionalFormatting>
  <conditionalFormatting sqref="AS27">
    <cfRule type="cellIs" dxfId="4" priority="4" operator="greaterThan">
      <formula>1</formula>
    </cfRule>
  </conditionalFormatting>
  <conditionalFormatting sqref="AS28">
    <cfRule type="cellIs" dxfId="3" priority="3" operator="lessThan">
      <formula>0</formula>
    </cfRule>
  </conditionalFormatting>
  <conditionalFormatting sqref="K28">
    <cfRule type="cellIs" dxfId="2" priority="1" operator="lessThan">
      <formula>0</formula>
    </cfRule>
  </conditionalFormatting>
  <conditionalFormatting sqref="K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3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417" t="s">
        <v>405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</row>
    <row r="2" spans="1:19" ht="14.4" customHeight="1" thickBot="1" x14ac:dyDescent="0.35">
      <c r="A2" s="230" t="s">
        <v>253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0" t="s">
        <v>124</v>
      </c>
      <c r="B3" s="221">
        <f>SUBTOTAL(9,B6:B1048576)/2</f>
        <v>151216</v>
      </c>
      <c r="C3" s="222">
        <f t="shared" ref="C3:R3" si="0">SUBTOTAL(9,C6:C1048576)</f>
        <v>2</v>
      </c>
      <c r="D3" s="222">
        <f>SUBTOTAL(9,D6:D1048576)/2</f>
        <v>80384</v>
      </c>
      <c r="E3" s="222">
        <f t="shared" si="0"/>
        <v>1.0631679187387577</v>
      </c>
      <c r="F3" s="222">
        <f>SUBTOTAL(9,F6:F1048576)/2</f>
        <v>159778.00000000003</v>
      </c>
      <c r="G3" s="223">
        <f>IF(B3&lt;&gt;0,F3/B3,"")</f>
        <v>1.0566209924875676</v>
      </c>
      <c r="H3" s="224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5" t="str">
        <f>IF(H3&lt;&gt;0,L3/H3,"")</f>
        <v/>
      </c>
      <c r="N3" s="221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418" t="s">
        <v>218</v>
      </c>
      <c r="B4" s="419" t="s">
        <v>97</v>
      </c>
      <c r="C4" s="420"/>
      <c r="D4" s="420"/>
      <c r="E4" s="420"/>
      <c r="F4" s="420"/>
      <c r="G4" s="421"/>
      <c r="H4" s="419" t="s">
        <v>98</v>
      </c>
      <c r="I4" s="420"/>
      <c r="J4" s="420"/>
      <c r="K4" s="420"/>
      <c r="L4" s="420"/>
      <c r="M4" s="421"/>
      <c r="N4" s="419" t="s">
        <v>99</v>
      </c>
      <c r="O4" s="420"/>
      <c r="P4" s="420"/>
      <c r="Q4" s="420"/>
      <c r="R4" s="420"/>
      <c r="S4" s="421"/>
    </row>
    <row r="5" spans="1:19" ht="14.4" customHeight="1" thickBot="1" x14ac:dyDescent="0.35">
      <c r="A5" s="537"/>
      <c r="B5" s="538">
        <v>2014</v>
      </c>
      <c r="C5" s="539"/>
      <c r="D5" s="539">
        <v>2015</v>
      </c>
      <c r="E5" s="539"/>
      <c r="F5" s="539">
        <v>2016</v>
      </c>
      <c r="G5" s="540" t="s">
        <v>2</v>
      </c>
      <c r="H5" s="538">
        <v>2014</v>
      </c>
      <c r="I5" s="539"/>
      <c r="J5" s="539">
        <v>2015</v>
      </c>
      <c r="K5" s="539"/>
      <c r="L5" s="539">
        <v>2016</v>
      </c>
      <c r="M5" s="540" t="s">
        <v>2</v>
      </c>
      <c r="N5" s="538">
        <v>2014</v>
      </c>
      <c r="O5" s="539"/>
      <c r="P5" s="539">
        <v>2015</v>
      </c>
      <c r="Q5" s="539"/>
      <c r="R5" s="539">
        <v>2016</v>
      </c>
      <c r="S5" s="540" t="s">
        <v>2</v>
      </c>
    </row>
    <row r="6" spans="1:19" ht="14.4" customHeight="1" x14ac:dyDescent="0.3">
      <c r="A6" s="544" t="s">
        <v>403</v>
      </c>
      <c r="B6" s="541"/>
      <c r="C6" s="525"/>
      <c r="D6" s="541"/>
      <c r="E6" s="525"/>
      <c r="F6" s="541">
        <v>159778.00000000003</v>
      </c>
      <c r="G6" s="502"/>
      <c r="H6" s="541"/>
      <c r="I6" s="525"/>
      <c r="J6" s="541"/>
      <c r="K6" s="525"/>
      <c r="L6" s="541"/>
      <c r="M6" s="502"/>
      <c r="N6" s="541"/>
      <c r="O6" s="525"/>
      <c r="P6" s="541"/>
      <c r="Q6" s="525"/>
      <c r="R6" s="541"/>
      <c r="S6" s="122"/>
    </row>
    <row r="7" spans="1:19" ht="14.4" customHeight="1" thickBot="1" x14ac:dyDescent="0.35">
      <c r="A7" s="545" t="s">
        <v>404</v>
      </c>
      <c r="B7" s="542">
        <v>151216</v>
      </c>
      <c r="C7" s="534">
        <v>1</v>
      </c>
      <c r="D7" s="542">
        <v>80384</v>
      </c>
      <c r="E7" s="534">
        <v>0.53158395936937886</v>
      </c>
      <c r="F7" s="542"/>
      <c r="G7" s="506"/>
      <c r="H7" s="542"/>
      <c r="I7" s="534"/>
      <c r="J7" s="542"/>
      <c r="K7" s="534"/>
      <c r="L7" s="542"/>
      <c r="M7" s="506"/>
      <c r="N7" s="542"/>
      <c r="O7" s="534"/>
      <c r="P7" s="542"/>
      <c r="Q7" s="534"/>
      <c r="R7" s="542"/>
      <c r="S7" s="543"/>
    </row>
    <row r="8" spans="1:19" ht="14.4" customHeight="1" thickBot="1" x14ac:dyDescent="0.35"/>
    <row r="9" spans="1:19" ht="14.4" customHeight="1" x14ac:dyDescent="0.3">
      <c r="A9" s="544" t="s">
        <v>311</v>
      </c>
      <c r="B9" s="541">
        <v>151216</v>
      </c>
      <c r="C9" s="525">
        <v>1</v>
      </c>
      <c r="D9" s="541">
        <v>80384</v>
      </c>
      <c r="E9" s="525">
        <v>0.53158395936937886</v>
      </c>
      <c r="F9" s="541"/>
      <c r="G9" s="502"/>
      <c r="H9" s="541"/>
      <c r="I9" s="525"/>
      <c r="J9" s="541"/>
      <c r="K9" s="525"/>
      <c r="L9" s="541"/>
      <c r="M9" s="502"/>
      <c r="N9" s="541"/>
      <c r="O9" s="525"/>
      <c r="P9" s="541"/>
      <c r="Q9" s="525"/>
      <c r="R9" s="541"/>
      <c r="S9" s="122"/>
    </row>
    <row r="10" spans="1:19" ht="14.4" customHeight="1" thickBot="1" x14ac:dyDescent="0.35">
      <c r="A10" s="545" t="s">
        <v>331</v>
      </c>
      <c r="B10" s="542"/>
      <c r="C10" s="534"/>
      <c r="D10" s="542"/>
      <c r="E10" s="534"/>
      <c r="F10" s="542">
        <v>159778.00000000003</v>
      </c>
      <c r="G10" s="506"/>
      <c r="H10" s="542"/>
      <c r="I10" s="534"/>
      <c r="J10" s="542"/>
      <c r="K10" s="534"/>
      <c r="L10" s="542"/>
      <c r="M10" s="506"/>
      <c r="N10" s="542"/>
      <c r="O10" s="534"/>
      <c r="P10" s="542"/>
      <c r="Q10" s="534"/>
      <c r="R10" s="542"/>
      <c r="S10" s="543"/>
    </row>
    <row r="11" spans="1:19" ht="14.4" customHeight="1" x14ac:dyDescent="0.3">
      <c r="A11" s="470" t="s">
        <v>317</v>
      </c>
    </row>
    <row r="12" spans="1:19" ht="14.4" customHeight="1" x14ac:dyDescent="0.3">
      <c r="A12" s="471" t="s">
        <v>318</v>
      </c>
    </row>
    <row r="13" spans="1:19" ht="14.4" customHeight="1" x14ac:dyDescent="0.3">
      <c r="A13" s="470" t="s">
        <v>406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0" bestFit="1" customWidth="1"/>
    <col min="2" max="4" width="7.77734375" style="207" customWidth="1"/>
    <col min="5" max="7" width="7.77734375" style="106" customWidth="1"/>
    <col min="8" max="16384" width="8.88671875" style="130"/>
  </cols>
  <sheetData>
    <row r="1" spans="1:7" ht="18.600000000000001" customHeight="1" thickBot="1" x14ac:dyDescent="0.4">
      <c r="A1" s="417" t="s">
        <v>415</v>
      </c>
      <c r="B1" s="330"/>
      <c r="C1" s="330"/>
      <c r="D1" s="330"/>
      <c r="E1" s="330"/>
      <c r="F1" s="330"/>
      <c r="G1" s="330"/>
    </row>
    <row r="2" spans="1:7" ht="14.4" customHeight="1" thickBot="1" x14ac:dyDescent="0.35">
      <c r="A2" s="230" t="s">
        <v>253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20" t="s">
        <v>124</v>
      </c>
      <c r="B3" s="310">
        <f t="shared" ref="B3:G3" si="0">SUBTOTAL(9,B6:B1048576)</f>
        <v>295</v>
      </c>
      <c r="C3" s="311">
        <f t="shared" si="0"/>
        <v>239</v>
      </c>
      <c r="D3" s="311">
        <f t="shared" si="0"/>
        <v>398</v>
      </c>
      <c r="E3" s="224">
        <f t="shared" si="0"/>
        <v>151216</v>
      </c>
      <c r="F3" s="222">
        <f t="shared" si="0"/>
        <v>80384</v>
      </c>
      <c r="G3" s="312">
        <f t="shared" si="0"/>
        <v>159778.00000000003</v>
      </c>
    </row>
    <row r="4" spans="1:7" ht="14.4" customHeight="1" x14ac:dyDescent="0.3">
      <c r="A4" s="418" t="s">
        <v>131</v>
      </c>
      <c r="B4" s="419" t="s">
        <v>214</v>
      </c>
      <c r="C4" s="420"/>
      <c r="D4" s="420"/>
      <c r="E4" s="422" t="s">
        <v>97</v>
      </c>
      <c r="F4" s="423"/>
      <c r="G4" s="424"/>
    </row>
    <row r="5" spans="1:7" ht="14.4" customHeight="1" thickBot="1" x14ac:dyDescent="0.35">
      <c r="A5" s="537"/>
      <c r="B5" s="538">
        <v>2014</v>
      </c>
      <c r="C5" s="539">
        <v>2015</v>
      </c>
      <c r="D5" s="539">
        <v>2016</v>
      </c>
      <c r="E5" s="538">
        <v>2014</v>
      </c>
      <c r="F5" s="539">
        <v>2015</v>
      </c>
      <c r="G5" s="539">
        <v>2016</v>
      </c>
    </row>
    <row r="6" spans="1:7" ht="14.4" customHeight="1" x14ac:dyDescent="0.3">
      <c r="A6" s="544" t="s">
        <v>407</v>
      </c>
      <c r="B6" s="116"/>
      <c r="C6" s="116"/>
      <c r="D6" s="116">
        <v>14</v>
      </c>
      <c r="E6" s="541"/>
      <c r="F6" s="541"/>
      <c r="G6" s="546">
        <v>584</v>
      </c>
    </row>
    <row r="7" spans="1:7" ht="14.4" customHeight="1" x14ac:dyDescent="0.3">
      <c r="A7" s="550" t="s">
        <v>408</v>
      </c>
      <c r="B7" s="532"/>
      <c r="C7" s="532"/>
      <c r="D7" s="532">
        <v>3</v>
      </c>
      <c r="E7" s="547"/>
      <c r="F7" s="547"/>
      <c r="G7" s="548">
        <v>111</v>
      </c>
    </row>
    <row r="8" spans="1:7" ht="14.4" customHeight="1" x14ac:dyDescent="0.3">
      <c r="A8" s="550" t="s">
        <v>409</v>
      </c>
      <c r="B8" s="532">
        <v>47</v>
      </c>
      <c r="C8" s="532">
        <v>34</v>
      </c>
      <c r="D8" s="532">
        <v>1</v>
      </c>
      <c r="E8" s="547">
        <v>10726</v>
      </c>
      <c r="F8" s="547">
        <v>7724</v>
      </c>
      <c r="G8" s="548">
        <v>59</v>
      </c>
    </row>
    <row r="9" spans="1:7" ht="14.4" customHeight="1" x14ac:dyDescent="0.3">
      <c r="A9" s="550" t="s">
        <v>320</v>
      </c>
      <c r="B9" s="532">
        <v>19</v>
      </c>
      <c r="C9" s="532">
        <v>7</v>
      </c>
      <c r="D9" s="532"/>
      <c r="E9" s="547">
        <v>4408</v>
      </c>
      <c r="F9" s="547">
        <v>1645</v>
      </c>
      <c r="G9" s="548"/>
    </row>
    <row r="10" spans="1:7" ht="14.4" customHeight="1" x14ac:dyDescent="0.3">
      <c r="A10" s="550" t="s">
        <v>410</v>
      </c>
      <c r="B10" s="532">
        <v>110</v>
      </c>
      <c r="C10" s="532">
        <v>7</v>
      </c>
      <c r="D10" s="532"/>
      <c r="E10" s="547">
        <v>28760</v>
      </c>
      <c r="F10" s="547">
        <v>1245</v>
      </c>
      <c r="G10" s="548"/>
    </row>
    <row r="11" spans="1:7" ht="14.4" customHeight="1" x14ac:dyDescent="0.3">
      <c r="A11" s="550" t="s">
        <v>411</v>
      </c>
      <c r="B11" s="532"/>
      <c r="C11" s="532"/>
      <c r="D11" s="532">
        <v>2</v>
      </c>
      <c r="E11" s="547"/>
      <c r="F11" s="547"/>
      <c r="G11" s="548">
        <v>96</v>
      </c>
    </row>
    <row r="12" spans="1:7" ht="14.4" customHeight="1" x14ac:dyDescent="0.3">
      <c r="A12" s="550" t="s">
        <v>412</v>
      </c>
      <c r="B12" s="532"/>
      <c r="C12" s="532"/>
      <c r="D12" s="532">
        <v>1</v>
      </c>
      <c r="E12" s="547"/>
      <c r="F12" s="547"/>
      <c r="G12" s="548">
        <v>59</v>
      </c>
    </row>
    <row r="13" spans="1:7" ht="14.4" customHeight="1" x14ac:dyDescent="0.3">
      <c r="A13" s="550" t="s">
        <v>413</v>
      </c>
      <c r="B13" s="532"/>
      <c r="C13" s="532"/>
      <c r="D13" s="532">
        <v>6</v>
      </c>
      <c r="E13" s="547"/>
      <c r="F13" s="547"/>
      <c r="G13" s="548">
        <v>222</v>
      </c>
    </row>
    <row r="14" spans="1:7" ht="14.4" customHeight="1" thickBot="1" x14ac:dyDescent="0.35">
      <c r="A14" s="545" t="s">
        <v>414</v>
      </c>
      <c r="B14" s="505">
        <v>119</v>
      </c>
      <c r="C14" s="505">
        <v>191</v>
      </c>
      <c r="D14" s="505">
        <v>371</v>
      </c>
      <c r="E14" s="542">
        <v>107322</v>
      </c>
      <c r="F14" s="542">
        <v>69770</v>
      </c>
      <c r="G14" s="549">
        <v>158647.00000000003</v>
      </c>
    </row>
    <row r="15" spans="1:7" ht="14.4" customHeight="1" x14ac:dyDescent="0.3">
      <c r="A15" s="470" t="s">
        <v>317</v>
      </c>
    </row>
    <row r="16" spans="1:7" ht="14.4" customHeight="1" x14ac:dyDescent="0.3">
      <c r="A16" s="471" t="s">
        <v>318</v>
      </c>
    </row>
    <row r="17" spans="1:1" ht="14.4" customHeight="1" x14ac:dyDescent="0.3">
      <c r="A17" s="470" t="s">
        <v>406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9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30" bestFit="1" customWidth="1"/>
    <col min="2" max="2" width="6.109375" style="130" customWidth="1"/>
    <col min="3" max="3" width="2.109375" style="130" bestFit="1" customWidth="1"/>
    <col min="4" max="4" width="8" style="130" customWidth="1"/>
    <col min="5" max="5" width="50.88671875" style="130" bestFit="1" customWidth="1"/>
    <col min="6" max="7" width="11.109375" style="207" customWidth="1"/>
    <col min="8" max="9" width="9.33203125" style="130" hidden="1" customWidth="1"/>
    <col min="10" max="11" width="11.109375" style="207" customWidth="1"/>
    <col min="12" max="13" width="9.33203125" style="130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30" t="s">
        <v>439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</row>
    <row r="2" spans="1:17" ht="14.4" customHeight="1" thickBot="1" x14ac:dyDescent="0.35">
      <c r="A2" s="230" t="s">
        <v>253</v>
      </c>
      <c r="B2" s="317"/>
      <c r="C2" s="131"/>
      <c r="D2" s="309"/>
      <c r="E2" s="131"/>
      <c r="F2" s="228"/>
      <c r="G2" s="228"/>
      <c r="H2" s="131"/>
      <c r="I2" s="131"/>
      <c r="J2" s="228"/>
      <c r="K2" s="228"/>
      <c r="L2" s="131"/>
      <c r="M2" s="131"/>
      <c r="N2" s="228"/>
      <c r="O2" s="228"/>
      <c r="P2" s="229"/>
      <c r="Q2" s="228"/>
    </row>
    <row r="3" spans="1:17" ht="14.4" customHeight="1" thickBot="1" x14ac:dyDescent="0.35">
      <c r="E3" s="87" t="s">
        <v>124</v>
      </c>
      <c r="F3" s="102">
        <f t="shared" ref="F3:O3" si="0">SUBTOTAL(9,F6:F1048576)</f>
        <v>295</v>
      </c>
      <c r="G3" s="103">
        <f t="shared" si="0"/>
        <v>151216</v>
      </c>
      <c r="H3" s="74"/>
      <c r="I3" s="74"/>
      <c r="J3" s="103">
        <f t="shared" si="0"/>
        <v>239</v>
      </c>
      <c r="K3" s="103">
        <f t="shared" si="0"/>
        <v>80384</v>
      </c>
      <c r="L3" s="74"/>
      <c r="M3" s="74"/>
      <c r="N3" s="103">
        <f t="shared" si="0"/>
        <v>398</v>
      </c>
      <c r="O3" s="103">
        <f t="shared" si="0"/>
        <v>159778</v>
      </c>
      <c r="P3" s="75">
        <f>IF(G3=0,0,O3/G3)</f>
        <v>1.0566209924875674</v>
      </c>
      <c r="Q3" s="104">
        <f>IF(N3=0,0,O3/N3)</f>
        <v>401.45226130653265</v>
      </c>
    </row>
    <row r="4" spans="1:17" ht="14.4" customHeight="1" x14ac:dyDescent="0.3">
      <c r="A4" s="426" t="s">
        <v>93</v>
      </c>
      <c r="B4" s="433" t="s">
        <v>0</v>
      </c>
      <c r="C4" s="427" t="s">
        <v>94</v>
      </c>
      <c r="D4" s="432" t="s">
        <v>69</v>
      </c>
      <c r="E4" s="428" t="s">
        <v>68</v>
      </c>
      <c r="F4" s="429">
        <v>2014</v>
      </c>
      <c r="G4" s="430"/>
      <c r="H4" s="101"/>
      <c r="I4" s="101"/>
      <c r="J4" s="429">
        <v>2015</v>
      </c>
      <c r="K4" s="430"/>
      <c r="L4" s="101"/>
      <c r="M4" s="101"/>
      <c r="N4" s="429">
        <v>2016</v>
      </c>
      <c r="O4" s="430"/>
      <c r="P4" s="431" t="s">
        <v>2</v>
      </c>
      <c r="Q4" s="425" t="s">
        <v>96</v>
      </c>
    </row>
    <row r="5" spans="1:17" ht="14.4" customHeight="1" thickBot="1" x14ac:dyDescent="0.35">
      <c r="A5" s="551"/>
      <c r="B5" s="552"/>
      <c r="C5" s="553"/>
      <c r="D5" s="554"/>
      <c r="E5" s="555"/>
      <c r="F5" s="556" t="s">
        <v>70</v>
      </c>
      <c r="G5" s="557" t="s">
        <v>13</v>
      </c>
      <c r="H5" s="558"/>
      <c r="I5" s="558"/>
      <c r="J5" s="556" t="s">
        <v>70</v>
      </c>
      <c r="K5" s="557" t="s">
        <v>13</v>
      </c>
      <c r="L5" s="558"/>
      <c r="M5" s="558"/>
      <c r="N5" s="556" t="s">
        <v>70</v>
      </c>
      <c r="O5" s="557" t="s">
        <v>13</v>
      </c>
      <c r="P5" s="559"/>
      <c r="Q5" s="560"/>
    </row>
    <row r="6" spans="1:17" ht="14.4" customHeight="1" x14ac:dyDescent="0.3">
      <c r="A6" s="501" t="s">
        <v>416</v>
      </c>
      <c r="B6" s="525" t="s">
        <v>331</v>
      </c>
      <c r="C6" s="525" t="s">
        <v>417</v>
      </c>
      <c r="D6" s="525" t="s">
        <v>418</v>
      </c>
      <c r="E6" s="525" t="s">
        <v>419</v>
      </c>
      <c r="F6" s="116"/>
      <c r="G6" s="116"/>
      <c r="H6" s="525"/>
      <c r="I6" s="525"/>
      <c r="J6" s="116"/>
      <c r="K6" s="116"/>
      <c r="L6" s="525"/>
      <c r="M6" s="525"/>
      <c r="N6" s="116">
        <v>49</v>
      </c>
      <c r="O6" s="116">
        <v>1813</v>
      </c>
      <c r="P6" s="502"/>
      <c r="Q6" s="503">
        <v>37</v>
      </c>
    </row>
    <row r="7" spans="1:17" ht="14.4" customHeight="1" x14ac:dyDescent="0.3">
      <c r="A7" s="528" t="s">
        <v>416</v>
      </c>
      <c r="B7" s="529" t="s">
        <v>331</v>
      </c>
      <c r="C7" s="529" t="s">
        <v>417</v>
      </c>
      <c r="D7" s="529" t="s">
        <v>420</v>
      </c>
      <c r="E7" s="529" t="s">
        <v>421</v>
      </c>
      <c r="F7" s="532"/>
      <c r="G7" s="532"/>
      <c r="H7" s="529"/>
      <c r="I7" s="529"/>
      <c r="J7" s="532"/>
      <c r="K7" s="532"/>
      <c r="L7" s="529"/>
      <c r="M7" s="529"/>
      <c r="N7" s="532">
        <v>21</v>
      </c>
      <c r="O7" s="532">
        <v>9849</v>
      </c>
      <c r="P7" s="561"/>
      <c r="Q7" s="533">
        <v>469</v>
      </c>
    </row>
    <row r="8" spans="1:17" ht="14.4" customHeight="1" x14ac:dyDescent="0.3">
      <c r="A8" s="528" t="s">
        <v>416</v>
      </c>
      <c r="B8" s="529" t="s">
        <v>331</v>
      </c>
      <c r="C8" s="529" t="s">
        <v>417</v>
      </c>
      <c r="D8" s="529" t="s">
        <v>422</v>
      </c>
      <c r="E8" s="529" t="s">
        <v>423</v>
      </c>
      <c r="F8" s="532"/>
      <c r="G8" s="532"/>
      <c r="H8" s="529"/>
      <c r="I8" s="529"/>
      <c r="J8" s="532"/>
      <c r="K8" s="532"/>
      <c r="L8" s="529"/>
      <c r="M8" s="529"/>
      <c r="N8" s="532">
        <v>21</v>
      </c>
      <c r="O8" s="532">
        <v>700</v>
      </c>
      <c r="P8" s="561"/>
      <c r="Q8" s="533">
        <v>33.333333333333336</v>
      </c>
    </row>
    <row r="9" spans="1:17" ht="14.4" customHeight="1" x14ac:dyDescent="0.3">
      <c r="A9" s="528" t="s">
        <v>416</v>
      </c>
      <c r="B9" s="529" t="s">
        <v>331</v>
      </c>
      <c r="C9" s="529" t="s">
        <v>417</v>
      </c>
      <c r="D9" s="529" t="s">
        <v>424</v>
      </c>
      <c r="E9" s="529" t="s">
        <v>425</v>
      </c>
      <c r="F9" s="532"/>
      <c r="G9" s="532"/>
      <c r="H9" s="529"/>
      <c r="I9" s="529"/>
      <c r="J9" s="532"/>
      <c r="K9" s="532"/>
      <c r="L9" s="529"/>
      <c r="M9" s="529"/>
      <c r="N9" s="532">
        <v>21</v>
      </c>
      <c r="O9" s="532">
        <v>777</v>
      </c>
      <c r="P9" s="561"/>
      <c r="Q9" s="533">
        <v>37</v>
      </c>
    </row>
    <row r="10" spans="1:17" ht="14.4" customHeight="1" x14ac:dyDescent="0.3">
      <c r="A10" s="528" t="s">
        <v>416</v>
      </c>
      <c r="B10" s="529" t="s">
        <v>331</v>
      </c>
      <c r="C10" s="529" t="s">
        <v>417</v>
      </c>
      <c r="D10" s="529" t="s">
        <v>426</v>
      </c>
      <c r="E10" s="529" t="s">
        <v>427</v>
      </c>
      <c r="F10" s="532"/>
      <c r="G10" s="532"/>
      <c r="H10" s="529"/>
      <c r="I10" s="529"/>
      <c r="J10" s="532"/>
      <c r="K10" s="532"/>
      <c r="L10" s="529"/>
      <c r="M10" s="529"/>
      <c r="N10" s="532">
        <v>7</v>
      </c>
      <c r="O10" s="532">
        <v>413</v>
      </c>
      <c r="P10" s="561"/>
      <c r="Q10" s="533">
        <v>59</v>
      </c>
    </row>
    <row r="11" spans="1:17" ht="14.4" customHeight="1" x14ac:dyDescent="0.3">
      <c r="A11" s="528" t="s">
        <v>416</v>
      </c>
      <c r="B11" s="529" t="s">
        <v>331</v>
      </c>
      <c r="C11" s="529" t="s">
        <v>417</v>
      </c>
      <c r="D11" s="529" t="s">
        <v>428</v>
      </c>
      <c r="E11" s="529" t="s">
        <v>429</v>
      </c>
      <c r="F11" s="532"/>
      <c r="G11" s="532"/>
      <c r="H11" s="529"/>
      <c r="I11" s="529"/>
      <c r="J11" s="532"/>
      <c r="K11" s="532"/>
      <c r="L11" s="529"/>
      <c r="M11" s="529"/>
      <c r="N11" s="532">
        <v>257</v>
      </c>
      <c r="O11" s="532">
        <v>67334</v>
      </c>
      <c r="P11" s="561"/>
      <c r="Q11" s="533">
        <v>262</v>
      </c>
    </row>
    <row r="12" spans="1:17" ht="14.4" customHeight="1" x14ac:dyDescent="0.3">
      <c r="A12" s="528" t="s">
        <v>416</v>
      </c>
      <c r="B12" s="529" t="s">
        <v>331</v>
      </c>
      <c r="C12" s="529" t="s">
        <v>417</v>
      </c>
      <c r="D12" s="529" t="s">
        <v>430</v>
      </c>
      <c r="E12" s="529" t="s">
        <v>431</v>
      </c>
      <c r="F12" s="532"/>
      <c r="G12" s="532"/>
      <c r="H12" s="529"/>
      <c r="I12" s="529"/>
      <c r="J12" s="532"/>
      <c r="K12" s="532"/>
      <c r="L12" s="529"/>
      <c r="M12" s="529"/>
      <c r="N12" s="532">
        <v>22</v>
      </c>
      <c r="O12" s="532">
        <v>78892</v>
      </c>
      <c r="P12" s="561"/>
      <c r="Q12" s="533">
        <v>3586</v>
      </c>
    </row>
    <row r="13" spans="1:17" ht="14.4" customHeight="1" x14ac:dyDescent="0.3">
      <c r="A13" s="528" t="s">
        <v>432</v>
      </c>
      <c r="B13" s="529" t="s">
        <v>311</v>
      </c>
      <c r="C13" s="529" t="s">
        <v>417</v>
      </c>
      <c r="D13" s="529" t="s">
        <v>433</v>
      </c>
      <c r="E13" s="529" t="s">
        <v>434</v>
      </c>
      <c r="F13" s="532">
        <v>26</v>
      </c>
      <c r="G13" s="532">
        <v>8710</v>
      </c>
      <c r="H13" s="529">
        <v>1</v>
      </c>
      <c r="I13" s="529">
        <v>335</v>
      </c>
      <c r="J13" s="532">
        <v>18</v>
      </c>
      <c r="K13" s="532">
        <v>6156</v>
      </c>
      <c r="L13" s="529">
        <v>0.70677382319173365</v>
      </c>
      <c r="M13" s="529">
        <v>342</v>
      </c>
      <c r="N13" s="532"/>
      <c r="O13" s="532"/>
      <c r="P13" s="561"/>
      <c r="Q13" s="533"/>
    </row>
    <row r="14" spans="1:17" ht="14.4" customHeight="1" x14ac:dyDescent="0.3">
      <c r="A14" s="528" t="s">
        <v>432</v>
      </c>
      <c r="B14" s="529" t="s">
        <v>311</v>
      </c>
      <c r="C14" s="529" t="s">
        <v>417</v>
      </c>
      <c r="D14" s="529" t="s">
        <v>418</v>
      </c>
      <c r="E14" s="529" t="s">
        <v>419</v>
      </c>
      <c r="F14" s="532"/>
      <c r="G14" s="532"/>
      <c r="H14" s="529"/>
      <c r="I14" s="529"/>
      <c r="J14" s="532">
        <v>2</v>
      </c>
      <c r="K14" s="532">
        <v>70</v>
      </c>
      <c r="L14" s="529"/>
      <c r="M14" s="529">
        <v>35</v>
      </c>
      <c r="N14" s="532"/>
      <c r="O14" s="532"/>
      <c r="P14" s="561"/>
      <c r="Q14" s="533"/>
    </row>
    <row r="15" spans="1:17" ht="14.4" customHeight="1" x14ac:dyDescent="0.3">
      <c r="A15" s="528" t="s">
        <v>432</v>
      </c>
      <c r="B15" s="529" t="s">
        <v>311</v>
      </c>
      <c r="C15" s="529" t="s">
        <v>417</v>
      </c>
      <c r="D15" s="529" t="s">
        <v>435</v>
      </c>
      <c r="E15" s="529" t="s">
        <v>436</v>
      </c>
      <c r="F15" s="532">
        <v>46</v>
      </c>
      <c r="G15" s="532">
        <v>10672</v>
      </c>
      <c r="H15" s="529">
        <v>1</v>
      </c>
      <c r="I15" s="529">
        <v>232</v>
      </c>
      <c r="J15" s="532">
        <v>20</v>
      </c>
      <c r="K15" s="532">
        <v>4700</v>
      </c>
      <c r="L15" s="529">
        <v>0.44040479760119938</v>
      </c>
      <c r="M15" s="529">
        <v>235</v>
      </c>
      <c r="N15" s="532"/>
      <c r="O15" s="532"/>
      <c r="P15" s="561"/>
      <c r="Q15" s="533"/>
    </row>
    <row r="16" spans="1:17" ht="14.4" customHeight="1" x14ac:dyDescent="0.3">
      <c r="A16" s="528" t="s">
        <v>432</v>
      </c>
      <c r="B16" s="529" t="s">
        <v>311</v>
      </c>
      <c r="C16" s="529" t="s">
        <v>417</v>
      </c>
      <c r="D16" s="529" t="s">
        <v>422</v>
      </c>
      <c r="E16" s="529" t="s">
        <v>423</v>
      </c>
      <c r="F16" s="532">
        <v>11</v>
      </c>
      <c r="G16" s="532">
        <v>0</v>
      </c>
      <c r="H16" s="529"/>
      <c r="I16" s="529">
        <v>0</v>
      </c>
      <c r="J16" s="532"/>
      <c r="K16" s="532"/>
      <c r="L16" s="529"/>
      <c r="M16" s="529"/>
      <c r="N16" s="532"/>
      <c r="O16" s="532"/>
      <c r="P16" s="561"/>
      <c r="Q16" s="533"/>
    </row>
    <row r="17" spans="1:17" ht="14.4" customHeight="1" x14ac:dyDescent="0.3">
      <c r="A17" s="528" t="s">
        <v>432</v>
      </c>
      <c r="B17" s="529" t="s">
        <v>311</v>
      </c>
      <c r="C17" s="529" t="s">
        <v>417</v>
      </c>
      <c r="D17" s="529" t="s">
        <v>437</v>
      </c>
      <c r="E17" s="529" t="s">
        <v>438</v>
      </c>
      <c r="F17" s="532">
        <v>21</v>
      </c>
      <c r="G17" s="532">
        <v>2016</v>
      </c>
      <c r="H17" s="529">
        <v>1</v>
      </c>
      <c r="I17" s="529">
        <v>96</v>
      </c>
      <c r="J17" s="532">
        <v>16</v>
      </c>
      <c r="K17" s="532">
        <v>1568</v>
      </c>
      <c r="L17" s="529">
        <v>0.77777777777777779</v>
      </c>
      <c r="M17" s="529">
        <v>98</v>
      </c>
      <c r="N17" s="532"/>
      <c r="O17" s="532"/>
      <c r="P17" s="561"/>
      <c r="Q17" s="533"/>
    </row>
    <row r="18" spans="1:17" ht="14.4" customHeight="1" x14ac:dyDescent="0.3">
      <c r="A18" s="528" t="s">
        <v>432</v>
      </c>
      <c r="B18" s="529" t="s">
        <v>311</v>
      </c>
      <c r="C18" s="529" t="s">
        <v>417</v>
      </c>
      <c r="D18" s="529" t="s">
        <v>428</v>
      </c>
      <c r="E18" s="529" t="s">
        <v>429</v>
      </c>
      <c r="F18" s="532">
        <v>167</v>
      </c>
      <c r="G18" s="532">
        <v>43754</v>
      </c>
      <c r="H18" s="529">
        <v>1</v>
      </c>
      <c r="I18" s="529">
        <v>262</v>
      </c>
      <c r="J18" s="532">
        <v>177</v>
      </c>
      <c r="K18" s="532">
        <v>46374</v>
      </c>
      <c r="L18" s="529">
        <v>1.0598802395209581</v>
      </c>
      <c r="M18" s="529">
        <v>262</v>
      </c>
      <c r="N18" s="532"/>
      <c r="O18" s="532"/>
      <c r="P18" s="561"/>
      <c r="Q18" s="533"/>
    </row>
    <row r="19" spans="1:17" ht="14.4" customHeight="1" thickBot="1" x14ac:dyDescent="0.35">
      <c r="A19" s="504" t="s">
        <v>432</v>
      </c>
      <c r="B19" s="534" t="s">
        <v>311</v>
      </c>
      <c r="C19" s="534" t="s">
        <v>417</v>
      </c>
      <c r="D19" s="534" t="s">
        <v>430</v>
      </c>
      <c r="E19" s="534" t="s">
        <v>431</v>
      </c>
      <c r="F19" s="505">
        <v>24</v>
      </c>
      <c r="G19" s="505">
        <v>86064</v>
      </c>
      <c r="H19" s="534">
        <v>1</v>
      </c>
      <c r="I19" s="534">
        <v>3586</v>
      </c>
      <c r="J19" s="505">
        <v>6</v>
      </c>
      <c r="K19" s="505">
        <v>21516</v>
      </c>
      <c r="L19" s="534">
        <v>0.25</v>
      </c>
      <c r="M19" s="534">
        <v>3586</v>
      </c>
      <c r="N19" s="505"/>
      <c r="O19" s="505"/>
      <c r="P19" s="506"/>
      <c r="Q19" s="507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1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339" t="s">
        <v>123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</row>
    <row r="2" spans="1:19" ht="14.4" customHeight="1" thickBot="1" x14ac:dyDescent="0.35">
      <c r="A2" s="230" t="s">
        <v>253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124</v>
      </c>
      <c r="B3" s="221">
        <f>SUBTOTAL(9,B6:B1048576)</f>
        <v>2552</v>
      </c>
      <c r="C3" s="222">
        <f t="shared" ref="C3:R3" si="0">SUBTOTAL(9,C6:C1048576)</f>
        <v>5</v>
      </c>
      <c r="D3" s="222">
        <f t="shared" si="0"/>
        <v>1175</v>
      </c>
      <c r="E3" s="222">
        <f t="shared" si="0"/>
        <v>1.2155172413793105</v>
      </c>
      <c r="F3" s="222">
        <f t="shared" si="0"/>
        <v>1481</v>
      </c>
      <c r="G3" s="225">
        <f>IF(B3&lt;&gt;0,F3/B3,"")</f>
        <v>0.58032915360501569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IF(H3&lt;&gt;0,L3/H3,"")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418" t="s">
        <v>103</v>
      </c>
      <c r="B4" s="419" t="s">
        <v>97</v>
      </c>
      <c r="C4" s="420"/>
      <c r="D4" s="420"/>
      <c r="E4" s="420"/>
      <c r="F4" s="420"/>
      <c r="G4" s="421"/>
      <c r="H4" s="419" t="s">
        <v>98</v>
      </c>
      <c r="I4" s="420"/>
      <c r="J4" s="420"/>
      <c r="K4" s="420"/>
      <c r="L4" s="420"/>
      <c r="M4" s="421"/>
      <c r="N4" s="419" t="s">
        <v>99</v>
      </c>
      <c r="O4" s="420"/>
      <c r="P4" s="420"/>
      <c r="Q4" s="420"/>
      <c r="R4" s="420"/>
      <c r="S4" s="421"/>
    </row>
    <row r="5" spans="1:19" ht="14.4" customHeight="1" thickBot="1" x14ac:dyDescent="0.35">
      <c r="A5" s="537"/>
      <c r="B5" s="538">
        <v>2014</v>
      </c>
      <c r="C5" s="539"/>
      <c r="D5" s="539">
        <v>2015</v>
      </c>
      <c r="E5" s="539"/>
      <c r="F5" s="539">
        <v>2016</v>
      </c>
      <c r="G5" s="540" t="s">
        <v>2</v>
      </c>
      <c r="H5" s="538">
        <v>2014</v>
      </c>
      <c r="I5" s="539"/>
      <c r="J5" s="539">
        <v>2015</v>
      </c>
      <c r="K5" s="539"/>
      <c r="L5" s="539">
        <v>2016</v>
      </c>
      <c r="M5" s="540" t="s">
        <v>2</v>
      </c>
      <c r="N5" s="538">
        <v>2014</v>
      </c>
      <c r="O5" s="539"/>
      <c r="P5" s="539">
        <v>2015</v>
      </c>
      <c r="Q5" s="539"/>
      <c r="R5" s="539">
        <v>2016</v>
      </c>
      <c r="S5" s="540" t="s">
        <v>2</v>
      </c>
    </row>
    <row r="6" spans="1:19" ht="14.4" customHeight="1" x14ac:dyDescent="0.3">
      <c r="A6" s="544" t="s">
        <v>440</v>
      </c>
      <c r="B6" s="541">
        <v>232</v>
      </c>
      <c r="C6" s="525">
        <v>1</v>
      </c>
      <c r="D6" s="541"/>
      <c r="E6" s="525"/>
      <c r="F6" s="541">
        <v>469</v>
      </c>
      <c r="G6" s="502">
        <v>2.021551724137931</v>
      </c>
      <c r="H6" s="541"/>
      <c r="I6" s="525"/>
      <c r="J6" s="541"/>
      <c r="K6" s="525"/>
      <c r="L6" s="541"/>
      <c r="M6" s="502"/>
      <c r="N6" s="541"/>
      <c r="O6" s="525"/>
      <c r="P6" s="541"/>
      <c r="Q6" s="525"/>
      <c r="R6" s="541"/>
      <c r="S6" s="122"/>
    </row>
    <row r="7" spans="1:19" ht="14.4" customHeight="1" x14ac:dyDescent="0.3">
      <c r="A7" s="550" t="s">
        <v>441</v>
      </c>
      <c r="B7" s="547">
        <v>464</v>
      </c>
      <c r="C7" s="529">
        <v>1</v>
      </c>
      <c r="D7" s="547">
        <v>235</v>
      </c>
      <c r="E7" s="529">
        <v>0.50646551724137934</v>
      </c>
      <c r="F7" s="547">
        <v>506</v>
      </c>
      <c r="G7" s="561">
        <v>1.0905172413793103</v>
      </c>
      <c r="H7" s="547"/>
      <c r="I7" s="529"/>
      <c r="J7" s="547"/>
      <c r="K7" s="529"/>
      <c r="L7" s="547"/>
      <c r="M7" s="561"/>
      <c r="N7" s="547"/>
      <c r="O7" s="529"/>
      <c r="P7" s="547"/>
      <c r="Q7" s="529"/>
      <c r="R7" s="547"/>
      <c r="S7" s="562"/>
    </row>
    <row r="8" spans="1:19" ht="14.4" customHeight="1" x14ac:dyDescent="0.3">
      <c r="A8" s="550" t="s">
        <v>442</v>
      </c>
      <c r="B8" s="547">
        <v>1160</v>
      </c>
      <c r="C8" s="529">
        <v>1</v>
      </c>
      <c r="D8" s="547">
        <v>235</v>
      </c>
      <c r="E8" s="529">
        <v>0.20258620689655171</v>
      </c>
      <c r="F8" s="547"/>
      <c r="G8" s="561"/>
      <c r="H8" s="547"/>
      <c r="I8" s="529"/>
      <c r="J8" s="547"/>
      <c r="K8" s="529"/>
      <c r="L8" s="547"/>
      <c r="M8" s="561"/>
      <c r="N8" s="547"/>
      <c r="O8" s="529"/>
      <c r="P8" s="547"/>
      <c r="Q8" s="529"/>
      <c r="R8" s="547"/>
      <c r="S8" s="562"/>
    </row>
    <row r="9" spans="1:19" ht="14.4" customHeight="1" x14ac:dyDescent="0.3">
      <c r="A9" s="550" t="s">
        <v>443</v>
      </c>
      <c r="B9" s="547">
        <v>232</v>
      </c>
      <c r="C9" s="529">
        <v>1</v>
      </c>
      <c r="D9" s="547"/>
      <c r="E9" s="529"/>
      <c r="F9" s="547"/>
      <c r="G9" s="561"/>
      <c r="H9" s="547"/>
      <c r="I9" s="529"/>
      <c r="J9" s="547"/>
      <c r="K9" s="529"/>
      <c r="L9" s="547"/>
      <c r="M9" s="561"/>
      <c r="N9" s="547"/>
      <c r="O9" s="529"/>
      <c r="P9" s="547"/>
      <c r="Q9" s="529"/>
      <c r="R9" s="547"/>
      <c r="S9" s="562"/>
    </row>
    <row r="10" spans="1:19" ht="14.4" customHeight="1" x14ac:dyDescent="0.3">
      <c r="A10" s="550" t="s">
        <v>444</v>
      </c>
      <c r="B10" s="547"/>
      <c r="C10" s="529"/>
      <c r="D10" s="547">
        <v>235</v>
      </c>
      <c r="E10" s="529"/>
      <c r="F10" s="547"/>
      <c r="G10" s="561"/>
      <c r="H10" s="547"/>
      <c r="I10" s="529"/>
      <c r="J10" s="547"/>
      <c r="K10" s="529"/>
      <c r="L10" s="547"/>
      <c r="M10" s="561"/>
      <c r="N10" s="547"/>
      <c r="O10" s="529"/>
      <c r="P10" s="547"/>
      <c r="Q10" s="529"/>
      <c r="R10" s="547"/>
      <c r="S10" s="562"/>
    </row>
    <row r="11" spans="1:19" ht="14.4" customHeight="1" x14ac:dyDescent="0.3">
      <c r="A11" s="550" t="s">
        <v>445</v>
      </c>
      <c r="B11" s="547"/>
      <c r="C11" s="529"/>
      <c r="D11" s="547"/>
      <c r="E11" s="529"/>
      <c r="F11" s="547">
        <v>469</v>
      </c>
      <c r="G11" s="561"/>
      <c r="H11" s="547"/>
      <c r="I11" s="529"/>
      <c r="J11" s="547"/>
      <c r="K11" s="529"/>
      <c r="L11" s="547"/>
      <c r="M11" s="561"/>
      <c r="N11" s="547"/>
      <c r="O11" s="529"/>
      <c r="P11" s="547"/>
      <c r="Q11" s="529"/>
      <c r="R11" s="547"/>
      <c r="S11" s="562"/>
    </row>
    <row r="12" spans="1:19" ht="14.4" customHeight="1" x14ac:dyDescent="0.3">
      <c r="A12" s="550" t="s">
        <v>446</v>
      </c>
      <c r="B12" s="547"/>
      <c r="C12" s="529"/>
      <c r="D12" s="547"/>
      <c r="E12" s="529"/>
      <c r="F12" s="547">
        <v>37</v>
      </c>
      <c r="G12" s="561"/>
      <c r="H12" s="547"/>
      <c r="I12" s="529"/>
      <c r="J12" s="547"/>
      <c r="K12" s="529"/>
      <c r="L12" s="547"/>
      <c r="M12" s="561"/>
      <c r="N12" s="547"/>
      <c r="O12" s="529"/>
      <c r="P12" s="547"/>
      <c r="Q12" s="529"/>
      <c r="R12" s="547"/>
      <c r="S12" s="562"/>
    </row>
    <row r="13" spans="1:19" ht="14.4" customHeight="1" x14ac:dyDescent="0.3">
      <c r="A13" s="550" t="s">
        <v>447</v>
      </c>
      <c r="B13" s="547">
        <v>464</v>
      </c>
      <c r="C13" s="529">
        <v>1</v>
      </c>
      <c r="D13" s="547">
        <v>235</v>
      </c>
      <c r="E13" s="529">
        <v>0.50646551724137934</v>
      </c>
      <c r="F13" s="547"/>
      <c r="G13" s="561"/>
      <c r="H13" s="547"/>
      <c r="I13" s="529"/>
      <c r="J13" s="547"/>
      <c r="K13" s="529"/>
      <c r="L13" s="547"/>
      <c r="M13" s="561"/>
      <c r="N13" s="547"/>
      <c r="O13" s="529"/>
      <c r="P13" s="547"/>
      <c r="Q13" s="529"/>
      <c r="R13" s="547"/>
      <c r="S13" s="562"/>
    </row>
    <row r="14" spans="1:19" ht="14.4" customHeight="1" thickBot="1" x14ac:dyDescent="0.35">
      <c r="A14" s="545" t="s">
        <v>448</v>
      </c>
      <c r="B14" s="542"/>
      <c r="C14" s="534"/>
      <c r="D14" s="542">
        <v>235</v>
      </c>
      <c r="E14" s="534"/>
      <c r="F14" s="542"/>
      <c r="G14" s="506"/>
      <c r="H14" s="542"/>
      <c r="I14" s="534"/>
      <c r="J14" s="542"/>
      <c r="K14" s="534"/>
      <c r="L14" s="542"/>
      <c r="M14" s="506"/>
      <c r="N14" s="542"/>
      <c r="O14" s="534"/>
      <c r="P14" s="542"/>
      <c r="Q14" s="534"/>
      <c r="R14" s="542"/>
      <c r="S14" s="54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7" customWidth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30" t="s">
        <v>458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</row>
    <row r="2" spans="1:17" ht="14.4" customHeight="1" thickBot="1" x14ac:dyDescent="0.35">
      <c r="A2" s="230" t="s">
        <v>253</v>
      </c>
      <c r="B2" s="131"/>
      <c r="C2" s="131"/>
      <c r="D2" s="131"/>
      <c r="E2" s="131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124</v>
      </c>
      <c r="F3" s="102">
        <f t="shared" ref="F3:O3" si="0">SUBTOTAL(9,F6:F1048576)</f>
        <v>11</v>
      </c>
      <c r="G3" s="103">
        <f t="shared" si="0"/>
        <v>2552</v>
      </c>
      <c r="H3" s="103"/>
      <c r="I3" s="103"/>
      <c r="J3" s="103">
        <f t="shared" si="0"/>
        <v>5</v>
      </c>
      <c r="K3" s="103">
        <f t="shared" si="0"/>
        <v>1175</v>
      </c>
      <c r="L3" s="103"/>
      <c r="M3" s="103"/>
      <c r="N3" s="103">
        <f t="shared" si="0"/>
        <v>5</v>
      </c>
      <c r="O3" s="103">
        <f t="shared" si="0"/>
        <v>1481</v>
      </c>
      <c r="P3" s="75">
        <f>IF(G3=0,0,O3/G3)</f>
        <v>0.58032915360501569</v>
      </c>
      <c r="Q3" s="104">
        <f>IF(N3=0,0,O3/N3)</f>
        <v>296.2</v>
      </c>
    </row>
    <row r="4" spans="1:17" ht="14.4" customHeight="1" x14ac:dyDescent="0.3">
      <c r="A4" s="427" t="s">
        <v>67</v>
      </c>
      <c r="B4" s="426" t="s">
        <v>93</v>
      </c>
      <c r="C4" s="427" t="s">
        <v>94</v>
      </c>
      <c r="D4" s="436" t="s">
        <v>95</v>
      </c>
      <c r="E4" s="428" t="s">
        <v>68</v>
      </c>
      <c r="F4" s="434">
        <v>2014</v>
      </c>
      <c r="G4" s="435"/>
      <c r="H4" s="105"/>
      <c r="I4" s="105"/>
      <c r="J4" s="434">
        <v>2015</v>
      </c>
      <c r="K4" s="435"/>
      <c r="L4" s="105"/>
      <c r="M4" s="105"/>
      <c r="N4" s="434">
        <v>2016</v>
      </c>
      <c r="O4" s="435"/>
      <c r="P4" s="437" t="s">
        <v>2</v>
      </c>
      <c r="Q4" s="425" t="s">
        <v>96</v>
      </c>
    </row>
    <row r="5" spans="1:17" ht="14.4" customHeight="1" thickBot="1" x14ac:dyDescent="0.35">
      <c r="A5" s="553"/>
      <c r="B5" s="551"/>
      <c r="C5" s="553"/>
      <c r="D5" s="563"/>
      <c r="E5" s="555"/>
      <c r="F5" s="564" t="s">
        <v>70</v>
      </c>
      <c r="G5" s="565" t="s">
        <v>13</v>
      </c>
      <c r="H5" s="566"/>
      <c r="I5" s="566"/>
      <c r="J5" s="564" t="s">
        <v>70</v>
      </c>
      <c r="K5" s="565" t="s">
        <v>13</v>
      </c>
      <c r="L5" s="566"/>
      <c r="M5" s="566"/>
      <c r="N5" s="564" t="s">
        <v>70</v>
      </c>
      <c r="O5" s="565" t="s">
        <v>13</v>
      </c>
      <c r="P5" s="567"/>
      <c r="Q5" s="560"/>
    </row>
    <row r="6" spans="1:17" ht="14.4" customHeight="1" x14ac:dyDescent="0.3">
      <c r="A6" s="501" t="s">
        <v>449</v>
      </c>
      <c r="B6" s="525" t="s">
        <v>416</v>
      </c>
      <c r="C6" s="525" t="s">
        <v>417</v>
      </c>
      <c r="D6" s="525" t="s">
        <v>420</v>
      </c>
      <c r="E6" s="525" t="s">
        <v>421</v>
      </c>
      <c r="F6" s="116"/>
      <c r="G6" s="116"/>
      <c r="H6" s="116"/>
      <c r="I6" s="116"/>
      <c r="J6" s="116"/>
      <c r="K6" s="116"/>
      <c r="L6" s="116"/>
      <c r="M6" s="116"/>
      <c r="N6" s="116">
        <v>1</v>
      </c>
      <c r="O6" s="116">
        <v>469</v>
      </c>
      <c r="P6" s="502"/>
      <c r="Q6" s="503">
        <v>469</v>
      </c>
    </row>
    <row r="7" spans="1:17" ht="14.4" customHeight="1" x14ac:dyDescent="0.3">
      <c r="A7" s="528" t="s">
        <v>449</v>
      </c>
      <c r="B7" s="529" t="s">
        <v>432</v>
      </c>
      <c r="C7" s="529" t="s">
        <v>417</v>
      </c>
      <c r="D7" s="529" t="s">
        <v>435</v>
      </c>
      <c r="E7" s="529" t="s">
        <v>436</v>
      </c>
      <c r="F7" s="532">
        <v>1</v>
      </c>
      <c r="G7" s="532">
        <v>232</v>
      </c>
      <c r="H7" s="532">
        <v>1</v>
      </c>
      <c r="I7" s="532">
        <v>232</v>
      </c>
      <c r="J7" s="532"/>
      <c r="K7" s="532"/>
      <c r="L7" s="532"/>
      <c r="M7" s="532"/>
      <c r="N7" s="532"/>
      <c r="O7" s="532"/>
      <c r="P7" s="561"/>
      <c r="Q7" s="533"/>
    </row>
    <row r="8" spans="1:17" ht="14.4" customHeight="1" x14ac:dyDescent="0.3">
      <c r="A8" s="528" t="s">
        <v>450</v>
      </c>
      <c r="B8" s="529" t="s">
        <v>416</v>
      </c>
      <c r="C8" s="529" t="s">
        <v>417</v>
      </c>
      <c r="D8" s="529" t="s">
        <v>418</v>
      </c>
      <c r="E8" s="529" t="s">
        <v>419</v>
      </c>
      <c r="F8" s="532"/>
      <c r="G8" s="532"/>
      <c r="H8" s="532"/>
      <c r="I8" s="532"/>
      <c r="J8" s="532"/>
      <c r="K8" s="532"/>
      <c r="L8" s="532"/>
      <c r="M8" s="532"/>
      <c r="N8" s="532">
        <v>1</v>
      </c>
      <c r="O8" s="532">
        <v>37</v>
      </c>
      <c r="P8" s="561"/>
      <c r="Q8" s="533">
        <v>37</v>
      </c>
    </row>
    <row r="9" spans="1:17" ht="14.4" customHeight="1" x14ac:dyDescent="0.3">
      <c r="A9" s="528" t="s">
        <v>450</v>
      </c>
      <c r="B9" s="529" t="s">
        <v>416</v>
      </c>
      <c r="C9" s="529" t="s">
        <v>417</v>
      </c>
      <c r="D9" s="529" t="s">
        <v>420</v>
      </c>
      <c r="E9" s="529" t="s">
        <v>421</v>
      </c>
      <c r="F9" s="532"/>
      <c r="G9" s="532"/>
      <c r="H9" s="532"/>
      <c r="I9" s="532"/>
      <c r="J9" s="532"/>
      <c r="K9" s="532"/>
      <c r="L9" s="532"/>
      <c r="M9" s="532"/>
      <c r="N9" s="532">
        <v>1</v>
      </c>
      <c r="O9" s="532">
        <v>469</v>
      </c>
      <c r="P9" s="561"/>
      <c r="Q9" s="533">
        <v>469</v>
      </c>
    </row>
    <row r="10" spans="1:17" ht="14.4" customHeight="1" x14ac:dyDescent="0.3">
      <c r="A10" s="528" t="s">
        <v>450</v>
      </c>
      <c r="B10" s="529" t="s">
        <v>432</v>
      </c>
      <c r="C10" s="529" t="s">
        <v>417</v>
      </c>
      <c r="D10" s="529" t="s">
        <v>435</v>
      </c>
      <c r="E10" s="529" t="s">
        <v>436</v>
      </c>
      <c r="F10" s="532">
        <v>2</v>
      </c>
      <c r="G10" s="532">
        <v>464</v>
      </c>
      <c r="H10" s="532">
        <v>1</v>
      </c>
      <c r="I10" s="532">
        <v>232</v>
      </c>
      <c r="J10" s="532">
        <v>1</v>
      </c>
      <c r="K10" s="532">
        <v>235</v>
      </c>
      <c r="L10" s="532">
        <v>0.50646551724137934</v>
      </c>
      <c r="M10" s="532">
        <v>235</v>
      </c>
      <c r="N10" s="532"/>
      <c r="O10" s="532"/>
      <c r="P10" s="561"/>
      <c r="Q10" s="533"/>
    </row>
    <row r="11" spans="1:17" ht="14.4" customHeight="1" x14ac:dyDescent="0.3">
      <c r="A11" s="528" t="s">
        <v>451</v>
      </c>
      <c r="B11" s="529" t="s">
        <v>432</v>
      </c>
      <c r="C11" s="529" t="s">
        <v>417</v>
      </c>
      <c r="D11" s="529" t="s">
        <v>435</v>
      </c>
      <c r="E11" s="529" t="s">
        <v>436</v>
      </c>
      <c r="F11" s="532">
        <v>5</v>
      </c>
      <c r="G11" s="532">
        <v>1160</v>
      </c>
      <c r="H11" s="532">
        <v>1</v>
      </c>
      <c r="I11" s="532">
        <v>232</v>
      </c>
      <c r="J11" s="532">
        <v>1</v>
      </c>
      <c r="K11" s="532">
        <v>235</v>
      </c>
      <c r="L11" s="532">
        <v>0.20258620689655171</v>
      </c>
      <c r="M11" s="532">
        <v>235</v>
      </c>
      <c r="N11" s="532"/>
      <c r="O11" s="532"/>
      <c r="P11" s="561"/>
      <c r="Q11" s="533"/>
    </row>
    <row r="12" spans="1:17" ht="14.4" customHeight="1" x14ac:dyDescent="0.3">
      <c r="A12" s="528" t="s">
        <v>452</v>
      </c>
      <c r="B12" s="529" t="s">
        <v>432</v>
      </c>
      <c r="C12" s="529" t="s">
        <v>417</v>
      </c>
      <c r="D12" s="529" t="s">
        <v>435</v>
      </c>
      <c r="E12" s="529" t="s">
        <v>436</v>
      </c>
      <c r="F12" s="532">
        <v>1</v>
      </c>
      <c r="G12" s="532">
        <v>232</v>
      </c>
      <c r="H12" s="532">
        <v>1</v>
      </c>
      <c r="I12" s="532">
        <v>232</v>
      </c>
      <c r="J12" s="532"/>
      <c r="K12" s="532"/>
      <c r="L12" s="532"/>
      <c r="M12" s="532"/>
      <c r="N12" s="532"/>
      <c r="O12" s="532"/>
      <c r="P12" s="561"/>
      <c r="Q12" s="533"/>
    </row>
    <row r="13" spans="1:17" ht="14.4" customHeight="1" x14ac:dyDescent="0.3">
      <c r="A13" s="528" t="s">
        <v>453</v>
      </c>
      <c r="B13" s="529" t="s">
        <v>432</v>
      </c>
      <c r="C13" s="529" t="s">
        <v>417</v>
      </c>
      <c r="D13" s="529" t="s">
        <v>435</v>
      </c>
      <c r="E13" s="529" t="s">
        <v>436</v>
      </c>
      <c r="F13" s="532"/>
      <c r="G13" s="532"/>
      <c r="H13" s="532"/>
      <c r="I13" s="532"/>
      <c r="J13" s="532">
        <v>1</v>
      </c>
      <c r="K13" s="532">
        <v>235</v>
      </c>
      <c r="L13" s="532"/>
      <c r="M13" s="532">
        <v>235</v>
      </c>
      <c r="N13" s="532"/>
      <c r="O13" s="532"/>
      <c r="P13" s="561"/>
      <c r="Q13" s="533"/>
    </row>
    <row r="14" spans="1:17" ht="14.4" customHeight="1" x14ac:dyDescent="0.3">
      <c r="A14" s="528" t="s">
        <v>454</v>
      </c>
      <c r="B14" s="529" t="s">
        <v>416</v>
      </c>
      <c r="C14" s="529" t="s">
        <v>417</v>
      </c>
      <c r="D14" s="529" t="s">
        <v>420</v>
      </c>
      <c r="E14" s="529" t="s">
        <v>421</v>
      </c>
      <c r="F14" s="532"/>
      <c r="G14" s="532"/>
      <c r="H14" s="532"/>
      <c r="I14" s="532"/>
      <c r="J14" s="532"/>
      <c r="K14" s="532"/>
      <c r="L14" s="532"/>
      <c r="M14" s="532"/>
      <c r="N14" s="532">
        <v>1</v>
      </c>
      <c r="O14" s="532">
        <v>469</v>
      </c>
      <c r="P14" s="561"/>
      <c r="Q14" s="533">
        <v>469</v>
      </c>
    </row>
    <row r="15" spans="1:17" ht="14.4" customHeight="1" x14ac:dyDescent="0.3">
      <c r="A15" s="528" t="s">
        <v>455</v>
      </c>
      <c r="B15" s="529" t="s">
        <v>416</v>
      </c>
      <c r="C15" s="529" t="s">
        <v>417</v>
      </c>
      <c r="D15" s="529" t="s">
        <v>418</v>
      </c>
      <c r="E15" s="529" t="s">
        <v>419</v>
      </c>
      <c r="F15" s="532"/>
      <c r="G15" s="532"/>
      <c r="H15" s="532"/>
      <c r="I15" s="532"/>
      <c r="J15" s="532"/>
      <c r="K15" s="532"/>
      <c r="L15" s="532"/>
      <c r="M15" s="532"/>
      <c r="N15" s="532">
        <v>1</v>
      </c>
      <c r="O15" s="532">
        <v>37</v>
      </c>
      <c r="P15" s="561"/>
      <c r="Q15" s="533">
        <v>37</v>
      </c>
    </row>
    <row r="16" spans="1:17" ht="14.4" customHeight="1" x14ac:dyDescent="0.3">
      <c r="A16" s="528" t="s">
        <v>456</v>
      </c>
      <c r="B16" s="529" t="s">
        <v>432</v>
      </c>
      <c r="C16" s="529" t="s">
        <v>417</v>
      </c>
      <c r="D16" s="529" t="s">
        <v>435</v>
      </c>
      <c r="E16" s="529" t="s">
        <v>436</v>
      </c>
      <c r="F16" s="532">
        <v>2</v>
      </c>
      <c r="G16" s="532">
        <v>464</v>
      </c>
      <c r="H16" s="532">
        <v>1</v>
      </c>
      <c r="I16" s="532">
        <v>232</v>
      </c>
      <c r="J16" s="532">
        <v>1</v>
      </c>
      <c r="K16" s="532">
        <v>235</v>
      </c>
      <c r="L16" s="532">
        <v>0.50646551724137934</v>
      </c>
      <c r="M16" s="532">
        <v>235</v>
      </c>
      <c r="N16" s="532"/>
      <c r="O16" s="532"/>
      <c r="P16" s="561"/>
      <c r="Q16" s="533"/>
    </row>
    <row r="17" spans="1:17" ht="14.4" customHeight="1" thickBot="1" x14ac:dyDescent="0.35">
      <c r="A17" s="504" t="s">
        <v>457</v>
      </c>
      <c r="B17" s="534" t="s">
        <v>432</v>
      </c>
      <c r="C17" s="534" t="s">
        <v>417</v>
      </c>
      <c r="D17" s="534" t="s">
        <v>435</v>
      </c>
      <c r="E17" s="534" t="s">
        <v>436</v>
      </c>
      <c r="F17" s="505"/>
      <c r="G17" s="505"/>
      <c r="H17" s="505"/>
      <c r="I17" s="505"/>
      <c r="J17" s="505">
        <v>1</v>
      </c>
      <c r="K17" s="505">
        <v>235</v>
      </c>
      <c r="L17" s="505"/>
      <c r="M17" s="505">
        <v>235</v>
      </c>
      <c r="N17" s="505"/>
      <c r="O17" s="505"/>
      <c r="P17" s="506"/>
      <c r="Q17" s="507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1</vt:i4>
      </vt:variant>
    </vt:vector>
  </HeadingPairs>
  <TitlesOfParts>
    <vt:vector size="20" baseType="lpstr">
      <vt:lpstr>Obsah</vt:lpstr>
      <vt:lpstr>Motivace</vt:lpstr>
      <vt:lpstr>HI</vt:lpstr>
      <vt:lpstr>HI Graf</vt:lpstr>
      <vt:lpstr>Man Tab</vt:lpstr>
      <vt:lpstr>HV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2016-03-30T21:07:24Z</dcterms:modified>
</cp:coreProperties>
</file>