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Materiál Žádanky" sheetId="420" r:id="rId7"/>
    <sheet name="MŽ Detail" sheetId="403" r:id="rId8"/>
    <sheet name="Osobní náklady" sheetId="431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6" hidden="1">'Materiál Žádanky'!$A$4:$I$4</definedName>
    <definedName name="_xlnm._FilterDatabase" localSheetId="7" hidden="1">'MŽ Detail'!$A$4:$K$4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 localSheetId="8">#REF!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N8" i="431" l="1"/>
  <c r="Q8" i="431"/>
  <c r="C8" i="431"/>
  <c r="F8" i="431"/>
  <c r="L8" i="431"/>
  <c r="O8" i="431"/>
  <c r="J8" i="431"/>
  <c r="G8" i="431"/>
  <c r="M8" i="431"/>
  <c r="D8" i="431"/>
  <c r="P8" i="431"/>
  <c r="I8" i="431"/>
  <c r="E8" i="431"/>
  <c r="H8" i="431"/>
  <c r="K8" i="431"/>
  <c r="N6" i="431" l="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8" i="414" l="1"/>
  <c r="E18" i="414" s="1"/>
  <c r="D17" i="414"/>
  <c r="A1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6" i="414" s="1"/>
  <c r="C11" i="339"/>
  <c r="E17" i="414"/>
  <c r="A18" i="414"/>
  <c r="A17" i="414"/>
  <c r="A16" i="414"/>
  <c r="A7" i="414" l="1"/>
  <c r="A17" i="383" l="1"/>
  <c r="G3" i="429"/>
  <c r="F3" i="429"/>
  <c r="E3" i="429"/>
  <c r="D3" i="429"/>
  <c r="C3" i="429"/>
  <c r="B3" i="429"/>
  <c r="C11" i="340" l="1"/>
  <c r="A11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19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D15" i="414"/>
  <c r="C12" i="414"/>
  <c r="D12" i="414"/>
  <c r="D4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0" i="414"/>
  <c r="D20" i="414"/>
  <c r="I12" i="339" l="1"/>
  <c r="I13" i="339" s="1"/>
  <c r="F13" i="339"/>
  <c r="E13" i="339"/>
  <c r="E15" i="339" s="1"/>
  <c r="H12" i="339"/>
  <c r="G12" i="339"/>
  <c r="A4" i="383"/>
  <c r="A21" i="383"/>
  <c r="A20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4" i="414"/>
  <c r="J13" i="339" l="1"/>
  <c r="B15" i="339"/>
  <c r="H13" i="339"/>
  <c r="F15" i="339"/>
  <c r="E12" i="414"/>
  <c r="E4" i="414"/>
  <c r="C6" i="340"/>
  <c r="D6" i="340" s="1"/>
  <c r="B4" i="340"/>
  <c r="G13" i="339"/>
  <c r="B12" i="340" l="1"/>
  <c r="B13" i="340"/>
  <c r="H15" i="339"/>
  <c r="G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<sst xmlns="http://schemas.openxmlformats.org/spreadsheetml/2006/main" count="2183" uniqueCount="560">
  <si>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</si>
  <si>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</si>
  <si>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</si>
  <si>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</si>
  <si>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</si>
  <si>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</si>
  <si>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</si>
  <si>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</si>
  <si>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</si>
  <si>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</si>
  <si>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</si>
  <si>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</si>
  <si>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</si>
  <si>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</si>
  <si>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</si>
  <si>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</si>
  <si>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</si>
  <si>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</si>
  <si>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</si>
  <si>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</si>
  <si>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</si>
  <si>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</si>
  <si>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</si>
  <si>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</si>
  <si>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</si>
  <si>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</si>
  <si>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</si>
  <si>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</si>
  <si>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</si>
  <si>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</si>
  <si>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</si>
  <si>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</si>
  <si>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</si>
  <si>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</si>
  <si>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</si>
  <si>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</si>
  <si>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</si>
  <si>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</si>
  <si>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</si>
  <si>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</si>
  <si>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</si>
  <si>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</si>
  <si>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</si>
  <si>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</si>
  <si>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</si>
  <si>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</si>
  <si>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</si>
  <si>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</si>
  <si>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</si>
  <si>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</si>
  <si>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</si>
  <si>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</si>
  <si>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</si>
  <si>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</si>
  <si>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</si>
  <si>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</si>
  <si>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</si>
  <si>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</si>
  <si>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</si>
  <si>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</si>
  <si>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</si>
  <si>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</si>
  <si>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</si>
  <si>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</si>
  <si>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</si>
  <si>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</si>
  <si>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</si>
  <si>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</si>
  <si>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</si>
  <si>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</si>
  <si>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</si>
  <si>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</si>
  <si>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</si>
  <si>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</si>
  <si>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</si>
  <si>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</si>
  <si>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</si>
  <si>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</si>
  <si>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</si>
  <si>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</si>
  <si>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</si>
  <si>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</si>
  <si>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</si>
  <si>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</si>
  <si>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</si>
  <si>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</si>
  <si>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</si>
  <si>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</si>
  <si>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</si>
  <si>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</si>
  <si>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</si>
  <si>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</si>
  <si>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</si>
  <si>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</si>
  <si>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</si>
  <si>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</si>
  <si>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</si>
  <si>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</si>
  <si>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</si>
  <si>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</si>
  <si>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</si>
  <si>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</si>
  <si>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</si>
  <si>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</si>
  <si>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</si>
  <si>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</si>
  <si>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</si>
  <si>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</si>
  <si>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</si>
  <si>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</si>
  <si>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</si>
  <si>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</si>
  <si>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</si>
  <si>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</si>
  <si>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</si>
  <si>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</si>
  <si>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</si>
  <si>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</si>
  <si>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</si>
  <si>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</si>
  <si>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</si>
  <si>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</si>
  <si>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</si>
  <si>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</si>
  <si>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</si>
  <si>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</si>
  <si>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</si>
  <si>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</si>
  <si>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</si>
  <si>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</si>
  <si>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</si>
  <si>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</si>
  <si>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</si>
  <si>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</si>
  <si>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</si>
  <si>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</si>
  <si>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</si>
  <si>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</si>
  <si>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</si>
  <si>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</si>
  <si>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</si>
  <si>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</si>
  <si>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</si>
  <si>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</si>
  <si>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</si>
  <si>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</si>
  <si>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</si>
  <si>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</si>
  <si>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</si>
  <si>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</si>
  <si>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</si>
  <si>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</si>
  <si>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</si>
  <si>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</si>
  <si>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</si>
  <si>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</si>
  <si>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</si>
  <si>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</si>
  <si>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</si>
  <si>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</si>
  <si>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</si>
  <si>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</si>
  <si>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</si>
  <si>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</si>
  <si>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</si>
  <si>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</si>
  <si>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</si>
  <si>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</si>
  <si>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</si>
  <si>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</si>
  <si>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</si>
  <si>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</si>
  <si>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</si>
  <si>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</si>
  <si>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</si>
  <si>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</si>
  <si>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</si>
  <si>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</si>
  <si>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</si>
  <si>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</si>
  <si>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</si>
  <si>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</si>
  <si>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</si>
  <si>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</si>
  <si>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</si>
  <si>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</si>
  <si>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</si>
  <si>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</si>
  <si>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</si>
  <si>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</si>
  <si>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</si>
  <si>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</si>
  <si>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</si>
  <si>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</si>
  <si>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</si>
  <si>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</si>
  <si>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</si>
  <si>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</si>
  <si>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</si>
  <si>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</si>
  <si>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</si>
  <si>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</si>
  <si>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</si>
  <si>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</si>
  <si>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</si>
  <si>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</si>
  <si>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</si>
  <si>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</si>
  <si>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</si>
  <si>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</si>
  <si>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50115     Zdravotnické prostředky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</si>
  <si>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</si>
  <si>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</si>
  <si>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</si>
  <si>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</si>
  <si>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</si>
  <si>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50115070     ZPr - katetry ostatní (Z513)</t>
  </si>
  <si>
    <t>50117     Všeobecný materiál</t>
  </si>
  <si>
    <t>--</t>
  </si>
  <si>
    <t>50117001     všeobecný materiál (N524,525,P35,49,T13,V26,31,32,34,35,37,47,111,Z510)</t>
  </si>
  <si>
    <t>50119     DDHM a textil</t>
  </si>
  <si>
    <t>50119100     jednorázové ochranné pomůcky (sk.T18A)</t>
  </si>
  <si>
    <t>50119101     jednorázový operační materiál (sk.T18B)</t>
  </si>
  <si>
    <t>50210     Spotřeba energie</t>
  </si>
  <si>
    <t>50210071     elektřina</t>
  </si>
  <si>
    <t>50210073     pára</t>
  </si>
  <si>
    <t>51     Služby</t>
  </si>
  <si>
    <t>51102     Technika a stavby</t>
  </si>
  <si>
    <t>51102021     opravy zdravotnické techniky</t>
  </si>
  <si>
    <t>51808     Revize a smluvní servisy majetku</t>
  </si>
  <si>
    <t>51808008     revize, tech.kontroly, prev.prohl.- OHM</t>
  </si>
  <si>
    <t>55     Odpisy, rezervy, komplexní náklady příštích období  a opravné položky provozních nákladů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</si>
  <si>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</si>
  <si>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</si>
  <si>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</si>
  <si>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</si>
  <si>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</si>
  <si>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</si>
  <si>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</si>
  <si>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</si>
  <si>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</si>
  <si>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</si>
  <si>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</si>
  <si>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</si>
  <si>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</si>
  <si>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</si>
  <si>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</si>
  <si>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</si>
  <si>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</si>
  <si>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7     Účtová třída 7 - Vnitropodnikové účetnictví - náklady</t>
  </si>
  <si>
    <t>79     Vnitropodnikové náklady</t>
  </si>
  <si>
    <t>79906     VPN - prádelna</t>
  </si>
  <si>
    <t>79906000     výkony prádelny - praní prádla</t>
  </si>
  <si>
    <t>79920     VPN - mezistřediskové převody</t>
  </si>
  <si>
    <t>79920001     převody - agregované výkony laboratoří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</si>
  <si>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</si>
  <si>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</si>
  <si>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</si>
  <si>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</si>
  <si>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</si>
  <si>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57</t>
  </si>
  <si>
    <t>NUT: Nutriční ambulance</t>
  </si>
  <si>
    <t/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</si>
  <si>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</si>
  <si>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</si>
  <si>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</si>
  <si>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</si>
  <si>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</si>
  <si>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50115070 - ZPr - katetry ostatní (Z513)</t>
  </si>
  <si>
    <t>NUT: Nutriční ambulance Celkem</t>
  </si>
  <si>
    <t>SumaKL</t>
  </si>
  <si>
    <t>5721</t>
  </si>
  <si>
    <t>Nutriční ambulance: Nutriční ambulance</t>
  </si>
  <si>
    <t>Nutriční ambulance: Nutriční ambulance Celkem</t>
  </si>
  <si>
    <t>SumaNS</t>
  </si>
  <si>
    <t>mezeraNS</t>
  </si>
  <si>
    <t>50115050</t>
  </si>
  <si>
    <t>obvazový materiál (Z502)</t>
  </si>
  <si>
    <t>ZA602</t>
  </si>
  <si>
    <t>Kompresa gáza 5,0 x 5,0 cm/2 ks sterilní karton á 1000 ks 26001</t>
  </si>
  <si>
    <t>ZD740</t>
  </si>
  <si>
    <t>Kompresa gáza sterilkompres 7,5 x 7,5 cm/5 ks sterilní 1325019265(1230119225)</t>
  </si>
  <si>
    <t>ZA464</t>
  </si>
  <si>
    <t>Kompresa NT 10 x 10 cm/2 ks sterilní 26520</t>
  </si>
  <si>
    <t>ZA315</t>
  </si>
  <si>
    <t>Kompresa NT 5 x 5 cm/2 ks sterilní 26501</t>
  </si>
  <si>
    <t>ZC854</t>
  </si>
  <si>
    <t>Kompresa NT 7,5 x 7,5 cm/2 ks sterilní 26510</t>
  </si>
  <si>
    <t>ZH403</t>
  </si>
  <si>
    <t>Krytí excilon 5 x 5 cm NT i.v. s nástřihem do kříže antiseptický bal. á 70 ks 7089</t>
  </si>
  <si>
    <t>ZK760</t>
  </si>
  <si>
    <t>Krytí tegaderm + PAD na i. v. vstupy bal. á 25 ks 9 x 10 cm 3586</t>
  </si>
  <si>
    <t>ZA324</t>
  </si>
  <si>
    <t>Krytí tegaderm 10,0 cm x 12,0 cm bal. á 50 ks 1626W</t>
  </si>
  <si>
    <t>ZO420</t>
  </si>
  <si>
    <t>Krytí tegaderm CHG 7,5 cm x 8,5 cm na CŽK-antibakt. bal. á 25 ks 1660R</t>
  </si>
  <si>
    <t>ZK646</t>
  </si>
  <si>
    <t>Krytí tegaderm CHG 8,5 cm x 11,5 cm na CŽK-antibakt. bal. á 25 ks 1657R</t>
  </si>
  <si>
    <t>ZP802</t>
  </si>
  <si>
    <t>Krytí tegaderm i.v.Advaced pro katetry Aiic.v.Cs P.I.C.C 8,5 cm x 11,5 cm bal. á 50 ks 1685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</si>
  <si>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</si>
  <si>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</si>
  <si>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</si>
  <si>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</si>
  <si>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</si>
  <si>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</si>
  <si>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ZH011</t>
  </si>
  <si>
    <t>Náplast micropore 1,25 cm x 9,14 m bal. á 24 ks 1530-0</t>
  </si>
  <si>
    <t>ZF351</t>
  </si>
  <si>
    <t>Náplast transpore bílá 1,25 cm x 9,14 m bal. á 24 ks 1534-0</t>
  </si>
  <si>
    <t>ZA314</t>
  </si>
  <si>
    <t>Obinadlo idealast-haft 8 cm x   4 m 9311113</t>
  </si>
  <si>
    <t>ZN470</t>
  </si>
  <si>
    <t>Obvaz elastický síťový pruban č. 5 ramena, hlava, podpaží 1323300250</t>
  </si>
  <si>
    <t>ZN471</t>
  </si>
  <si>
    <t>Obvaz elastický síťový pruban č. 6 hlava, ramena, stehno 1323300260</t>
  </si>
  <si>
    <t>ZP212</t>
  </si>
  <si>
    <t>Obvaz elastický síťový pruban Tg-fix vel. C paže, noha, loket 25 m 24252</t>
  </si>
  <si>
    <t>ZA615</t>
  </si>
  <si>
    <t>Tampón cavilon 1 ml bal. á 25 ks 3343E</t>
  </si>
  <si>
    <t>ZA593</t>
  </si>
  <si>
    <t>Tampon sterilní stáčený 20 x 20 cm / 5 ks 28003+</t>
  </si>
  <si>
    <t>50115060</t>
  </si>
  <si>
    <t>ZPr - ostatní (Z503)</t>
  </si>
  <si>
    <t>ZA675</t>
  </si>
  <si>
    <t>Cévka pupeční CP-01 GAM646958</t>
  </si>
  <si>
    <t>ZA738</t>
  </si>
  <si>
    <t>Filtr mini spike zelený 4550242</t>
  </si>
  <si>
    <t>ZN298</t>
  </si>
  <si>
    <t>Hadička spojovací Gamaplus 1,8 x 1800 LL NO DOP 606304-ND</t>
  </si>
  <si>
    <t>ZN297</t>
  </si>
  <si>
    <t>Hadička spojovací Gamaplus 1,8 x 450 LL NO DOP 606301-ND</t>
  </si>
  <si>
    <t>Hadička spojovací Gamaplus HS 1,8 x 1800 LL NO DOP 606304-ND</t>
  </si>
  <si>
    <t>Hadička spojovací Gamaplus HS 1,8 x 450 LL NO DOP 606301-ND</t>
  </si>
  <si>
    <t>ZF973</t>
  </si>
  <si>
    <t>Hadička tlaková spojovací unicath 1,5 mm x   25 cm LL na obou koncích male-male bal. á 40 ks PN 1202</t>
  </si>
  <si>
    <t>ZK884</t>
  </si>
  <si>
    <t>Kohout trojcestný discofix modrý 4095111</t>
  </si>
  <si>
    <t>ZO372</t>
  </si>
  <si>
    <t>Konektor bezjehlový OptiSyte JIM:JSM4001</t>
  </si>
  <si>
    <t>ZO087</t>
  </si>
  <si>
    <t>Konektor flocare na aplikační set s konektorem Luer NOVÝ 30 ks 589735</t>
  </si>
  <si>
    <t>ZO086</t>
  </si>
  <si>
    <t>Konektor flocare na sondu Luer NOVÝ 30 ks 589733</t>
  </si>
  <si>
    <t>ZO083</t>
  </si>
  <si>
    <t>Konektor flocare transition na sond.Luer NOVÝ 30 ks (je součástí setu) 589732</t>
  </si>
  <si>
    <t>Konektor flocare transition NOVÝ 30 ks (je součástí setu) 589732</t>
  </si>
  <si>
    <t>ZP078</t>
  </si>
  <si>
    <t>Kontejner 25 ml PP šroubový sterilní uzávěr 2680/EST/SG</t>
  </si>
  <si>
    <t>ZF159</t>
  </si>
  <si>
    <t>Nádoba na kontaminovaný odpad 1 l 15-0002</t>
  </si>
  <si>
    <t>ZB501</t>
  </si>
  <si>
    <t>Přerušovač sání fingertip sterilní bal. á 100 ks 07.031.00.000</t>
  </si>
  <si>
    <t>ZH546</t>
  </si>
  <si>
    <t>Set flocare infinity pack mobile W/O MP Transition (APA 3227163) pro domácí péči 586484</t>
  </si>
  <si>
    <t>ZN906</t>
  </si>
  <si>
    <t>Set flocare infinity pack transition (APA 3227148) pro nemocniční péči 586513</t>
  </si>
  <si>
    <t>Set flocare infinity pack transition (APA 3386415) pro nemocniční péči 586514</t>
  </si>
  <si>
    <t>ZG724</t>
  </si>
  <si>
    <t>Spojka proplachovací urologická bal. á 50 ks LCF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</si>
  <si>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</si>
  <si>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</si>
  <si>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</si>
  <si>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</si>
  <si>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</si>
  <si>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</si>
  <si>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</si>
  <si>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</si>
  <si>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</si>
  <si>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</si>
  <si>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ZP822</t>
  </si>
  <si>
    <t>Uzávěr dezinfekční CUROS k bezjehlovému vstupu se 70% IPA bal. á 250 ks CFF10-250R</t>
  </si>
  <si>
    <t>ZO767</t>
  </si>
  <si>
    <t>Uzávěr dezinfekční SwabCap k bezjehlovému vstupu se 70% IPA bal. á 200 ks EMSCXT3</t>
  </si>
  <si>
    <t>ZK798</t>
  </si>
  <si>
    <t>Zátka combi modrá 4495152</t>
  </si>
  <si>
    <t>50115063</t>
  </si>
  <si>
    <t>ZPr - vaky, sety (Z528)</t>
  </si>
  <si>
    <t>ZN400</t>
  </si>
  <si>
    <t>Set infuzní  Spike (DEHP free) s filtrem 1,2 um k mobilní pumpě Mini Rythmic PN+ bal. á 20 ks KM1EE148X</t>
  </si>
  <si>
    <t>ZA715</t>
  </si>
  <si>
    <t>Set infuzní intrafix primeline classic 150 cm 4062957</t>
  </si>
  <si>
    <t>ZB715</t>
  </si>
  <si>
    <t>Set kangaro univ. pro enterální výživu bal. á 30 ks  S777403</t>
  </si>
  <si>
    <t>Set pro enterální výživu kangaro univ.  á 30 ks  S777403</t>
  </si>
  <si>
    <t>50115065</t>
  </si>
  <si>
    <t>ZPr - vpichovací materiál (Z530)</t>
  </si>
  <si>
    <t>ZB781</t>
  </si>
  <si>
    <t>Jehla cytocan žlutá bal. á 25 ks 4439767</t>
  </si>
  <si>
    <t>ZC634</t>
  </si>
  <si>
    <t>Jehla gripper portacath bez Y protu 22G x 16 mm á 12 ks 21-2737-24</t>
  </si>
  <si>
    <t>ZA834</t>
  </si>
  <si>
    <t>Jehla injekční 0,7 x 40 mm černá 4660021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</si>
  <si>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</si>
  <si>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</si>
  <si>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</si>
  <si>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</si>
  <si>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</si>
  <si>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</si>
  <si>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</si>
  <si>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</si>
  <si>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ZK474</t>
  </si>
  <si>
    <t>Rukavice operační latexové s pudrem ansell, vasco surgical powderet vel. 6,5 6035518 (303503)</t>
  </si>
  <si>
    <t>ZK475</t>
  </si>
  <si>
    <t>Rukavice operační latexové s pudrem ansell, vasco surgical powderet vel. 7 6035526 (303504EU)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</si>
  <si>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</si>
  <si>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</si>
  <si>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</si>
  <si>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</si>
  <si>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ZK437</t>
  </si>
  <si>
    <t>Rukavice operační latexové s pudrem sempermed classic vel. 6,5 31281</t>
  </si>
  <si>
    <t>ZK439</t>
  </si>
  <si>
    <t>Rukavice operační latexové s pudrem sempermed classic vel. 7,5 31283</t>
  </si>
  <si>
    <t>50115070</t>
  </si>
  <si>
    <t>ZPr - katetry ostatní (Z513)</t>
  </si>
  <si>
    <t>ZA240</t>
  </si>
  <si>
    <t>Katetr broviak 1 lumen 6,6 Fr x 90 cm 0600540CE</t>
  </si>
  <si>
    <t>ZP291</t>
  </si>
  <si>
    <t>Katetr CVC 1 lumen 4 Fr x 20 cm midline PICC Arrow set bal. á 5 ks EU-02041-ML</t>
  </si>
  <si>
    <t>ZO846</t>
  </si>
  <si>
    <t>Katetr CVC 1 lumen 4 Fr x 40 cm PICC Interventional Radiology set EU-24041-IR lze na kusy</t>
  </si>
  <si>
    <t>ZP294</t>
  </si>
  <si>
    <t>Katetr CVC 1 lumen 4 Fr x 50 cm PICC POWERPICC SOLO Full tray set (mikro zaváděcí příslušenství a rouškování) 6194108</t>
  </si>
  <si>
    <t>ZP292</t>
  </si>
  <si>
    <t>Katetr CVC 1 lumen 4 Fr x 50 cm PICC POWERPICC SOLO základní set (mikro zaváděcí příslušenství) 6194118</t>
  </si>
  <si>
    <t>ZP293</t>
  </si>
  <si>
    <t>Katetr CVC 1 lumen 5 Fr x 50 cm PICC POWERPICC SOLO základní set (mikro zaváděcí příslušenství) 6195118</t>
  </si>
  <si>
    <t>ZO096</t>
  </si>
  <si>
    <t>Katetr CVC 2 lumen 5 Fr x 50 cm PICC MSB set. EU-025052-HPMSB</t>
  </si>
  <si>
    <t>ZP296</t>
  </si>
  <si>
    <t>Katetr CVC 2 lumen 5 Fr x 50 cm PICC POWERPICC SOLO Full tray set ( mikro zaváděcí příslušenství a rouškování) 6295108</t>
  </si>
  <si>
    <t>Spotřeba zdravotnického materiálu - orientační přehled</t>
  </si>
  <si>
    <t>Specializovaná ambulantní péče</t>
  </si>
  <si>
    <t>101 - Pracoviště interního lékařství</t>
  </si>
  <si>
    <t>501 - Pracoviště chirurgie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</si>
  <si>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</si>
  <si>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</si>
  <si>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</si>
  <si>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</si>
  <si>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</si>
  <si>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</si>
  <si>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</si>
  <si>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</si>
  <si>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Bawadekjiová Diana</t>
  </si>
  <si>
    <t>Berka Zdeněk</t>
  </si>
  <si>
    <t>Carbolová Jaroslava</t>
  </si>
  <si>
    <t>Dvořák Jakub</t>
  </si>
  <si>
    <t>Ehrmann Jiří</t>
  </si>
  <si>
    <t>Gregar Jan</t>
  </si>
  <si>
    <t>Homolová Zuzana</t>
  </si>
  <si>
    <t>Hrabalová Monika</t>
  </si>
  <si>
    <t>Jelínková Andrea</t>
  </si>
  <si>
    <t>Karásková Eva</t>
  </si>
  <si>
    <t>Konečný Michal</t>
  </si>
  <si>
    <t>Koudelková Gabriela</t>
  </si>
  <si>
    <t>Navrátil Vít</t>
  </si>
  <si>
    <t>Procházka Vlastimil</t>
  </si>
  <si>
    <t>Sovová Markéta</t>
  </si>
  <si>
    <t>Sychra Pavel</t>
  </si>
  <si>
    <t>Vrzalová Drahomíra</t>
  </si>
  <si>
    <t>Zarivnijová Lea</t>
  </si>
  <si>
    <t>Zborovjanová Veronika</t>
  </si>
  <si>
    <t>Zdravotní výkony vykázané na pracovišti v rámci ambulantní péče dle lékařů *</t>
  </si>
  <si>
    <t>06</t>
  </si>
  <si>
    <t>101</t>
  </si>
  <si>
    <t>1</t>
  </si>
  <si>
    <t>0000498</t>
  </si>
  <si>
    <t>MAGNESIUM SULFURICUM BIOTIKA 10%</t>
  </si>
  <si>
    <t>0002486</t>
  </si>
  <si>
    <t>KALIUM CHLORATUM LÉČIVA 7,5%</t>
  </si>
  <si>
    <t>0007981</t>
  </si>
  <si>
    <t>NOVALGIN INJEKCE</t>
  </si>
  <si>
    <t>0072972</t>
  </si>
  <si>
    <t>AMOKSIKLAV 1,2 G</t>
  </si>
  <si>
    <t>0107291</t>
  </si>
  <si>
    <t>0,9% SODIUM CHLORIDE IN WATER FOR INJECTION FRESEN</t>
  </si>
  <si>
    <t>0107295</t>
  </si>
  <si>
    <t>0107298</t>
  </si>
  <si>
    <t>0155379</t>
  </si>
  <si>
    <t>FERINJECT</t>
  </si>
  <si>
    <t>0018304</t>
  </si>
  <si>
    <t>RINGERFUNDIN B.BRAUN</t>
  </si>
  <si>
    <t>0098902</t>
  </si>
  <si>
    <t>GLUKÓZA 5% VIAFLO</t>
  </si>
  <si>
    <t>0214427</t>
  </si>
  <si>
    <t>CONTROLOC I.V.</t>
  </si>
  <si>
    <t>0210291</t>
  </si>
  <si>
    <t>EXVIERA</t>
  </si>
  <si>
    <t>0210292</t>
  </si>
  <si>
    <t>VIEKIRAX</t>
  </si>
  <si>
    <t>V</t>
  </si>
  <si>
    <t>09220</t>
  </si>
  <si>
    <t>KANYLACE PERIFERNÍ ŽÍLY VČETNĚ INFÚZE</t>
  </si>
  <si>
    <t>09511</t>
  </si>
  <si>
    <t>MINIMÁLNÍ KONTAKT LÉKAŘE S PACIENTEM</t>
  </si>
  <si>
    <t>99991</t>
  </si>
  <si>
    <t>(VZP) KÓD POUZE PRO CENTRA DLE VYHL. 368/2006 - SL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</si>
  <si>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</si>
  <si>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</si>
  <si>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</si>
  <si>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</si>
  <si>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</si>
  <si>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</si>
  <si>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</si>
  <si>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</si>
  <si>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11021</t>
  </si>
  <si>
    <t>KOMPLEXNÍ VYŠETŘENÍ INTERNISTOU</t>
  </si>
  <si>
    <t>11023</t>
  </si>
  <si>
    <t>KONTROLNÍ VYŠETŘENÍ INTERNISTOU</t>
  </si>
  <si>
    <t>09513</t>
  </si>
  <si>
    <t>TELEFONICKÁ KONZULTACE OŠETŘUJÍCÍHO LÉKAŘE PACIENT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</si>
  <si>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</si>
  <si>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</si>
  <si>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</si>
  <si>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</si>
  <si>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</si>
  <si>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</si>
  <si>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</si>
  <si>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(prázdné)</t>
  </si>
  <si>
    <t>EXVIER</t>
  </si>
  <si>
    <t>VIEKIR</t>
  </si>
  <si>
    <t>501</t>
  </si>
  <si>
    <t>51022</t>
  </si>
  <si>
    <t>CÍLENÉ VYŠETŘENÍ CHIRURGEM</t>
  </si>
  <si>
    <t>708</t>
  </si>
  <si>
    <t>06415</t>
  </si>
  <si>
    <t>EDUKACE NUTRIČNÍM TERAPEUTEM</t>
  </si>
  <si>
    <t>78022</t>
  </si>
  <si>
    <t>CÍLENÉ VYŠETŘENÍ ANESTEZIOLOGEM</t>
  </si>
  <si>
    <t>06419</t>
  </si>
  <si>
    <t>PROPOČET NUTRIČNÍ BILANCE (SW NÁSTROJEM)</t>
  </si>
  <si>
    <t>06417</t>
  </si>
  <si>
    <t>REEDUKACE NUTRIČNÍM TERAPEUTEM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</si>
  <si>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</si>
  <si>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</si>
  <si>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</si>
  <si>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</si>
  <si>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</si>
  <si>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</si>
  <si>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</si>
  <si>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</si>
  <si>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</si>
  <si>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</si>
  <si>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</si>
  <si>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21 - Onkologická klinika</t>
  </si>
  <si>
    <t>25 - Klinika ústní,čelistní a obličejové chirurgie</t>
  </si>
  <si>
    <t>31 - Traumatologické oddělení</t>
  </si>
  <si>
    <t>01</t>
  </si>
  <si>
    <t>02</t>
  </si>
  <si>
    <t>03</t>
  </si>
  <si>
    <t>04</t>
  </si>
  <si>
    <t>11</t>
  </si>
  <si>
    <t>12</t>
  </si>
  <si>
    <t>13</t>
  </si>
  <si>
    <t>16</t>
  </si>
  <si>
    <t>17</t>
  </si>
  <si>
    <t>21</t>
  </si>
  <si>
    <t>25</t>
  </si>
  <si>
    <t>31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</si>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</sst>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80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2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2" xfId="74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2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2" xfId="0" quotePrefix="1" applyNumberFormat="1" applyFont="1" applyFill="1" applyBorder="1" applyAlignment="1">
      <alignment horizontal="center" vertical="center"/>
    </xf>
    <xf numFmtId="0" fontId="25" fillId="4" borderId="70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1" xfId="0" applyFont="1" applyBorder="1"/>
    <xf numFmtId="0" fontId="31" fillId="2" borderId="61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7" xfId="0" applyNumberFormat="1" applyFont="1" applyBorder="1" applyAlignment="1">
      <alignment horizontal="right" vertical="center"/>
    </xf>
    <xf numFmtId="173" fontId="39" fillId="0" borderId="87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4" fontId="39" fillId="0" borderId="90" xfId="0" applyNumberFormat="1" applyFont="1" applyBorder="1" applyAlignment="1">
      <alignment vertical="center"/>
    </xf>
    <xf numFmtId="174" fontId="39" fillId="0" borderId="87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3" xfId="0" applyNumberFormat="1" applyFont="1" applyBorder="1" applyAlignment="1">
      <alignment vertical="center"/>
    </xf>
    <xf numFmtId="0" fontId="32" fillId="0" borderId="88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8" xfId="0" applyNumberFormat="1" applyFont="1" applyBorder="1" applyAlignment="1">
      <alignment horizontal="right" vertical="center"/>
    </xf>
    <xf numFmtId="175" fontId="39" fillId="0" borderId="67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6" fontId="39" fillId="0" borderId="6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7" borderId="72" xfId="0" quotePrefix="1" applyFont="1" applyFill="1" applyBorder="1" applyAlignment="1">
      <alignment horizontal="center" vertical="center" wrapText="1"/>
    </xf>
    <xf numFmtId="0" fontId="40" fillId="7" borderId="72" xfId="0" quotePrefix="1" applyFont="1" applyFill="1" applyBorder="1" applyAlignment="1">
      <alignment horizontal="center" vertical="center" wrapText="1"/>
    </xf>
    <xf numFmtId="0" fontId="40" fillId="7" borderId="71" xfId="0" quotePrefix="1" applyFont="1" applyFill="1" applyBorder="1" applyAlignment="1">
      <alignment horizontal="center" vertical="center" wrapText="1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0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31" fillId="2" borderId="77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2" fillId="0" borderId="2" xfId="26" applyFont="1" applyFill="1" applyBorder="1" applyAlignment="1"/>
    <xf numFmtId="3" fontId="54" fillId="4" borderId="75" xfId="0" applyNumberFormat="1" applyFont="1" applyFill="1" applyBorder="1" applyAlignment="1">
      <alignment horizontal="center" vertical="center"/>
    </xf>
    <xf numFmtId="3" fontId="54" fillId="4" borderId="85" xfId="0" applyNumberFormat="1" applyFont="1" applyFill="1" applyBorder="1" applyAlignment="1">
      <alignment horizontal="center" vertical="center"/>
    </xf>
    <xf numFmtId="9" fontId="54" fillId="4" borderId="75" xfId="0" applyNumberFormat="1" applyFont="1" applyFill="1" applyBorder="1" applyAlignment="1">
      <alignment horizontal="center" vertical="center"/>
    </xf>
    <xf numFmtId="9" fontId="54" fillId="4" borderId="85" xfId="0" applyNumberFormat="1" applyFont="1" applyFill="1" applyBorder="1" applyAlignment="1">
      <alignment horizontal="center" vertical="center"/>
    </xf>
    <xf numFmtId="3" fontId="54" fillId="4" borderId="76" xfId="0" applyNumberFormat="1" applyFont="1" applyFill="1" applyBorder="1" applyAlignment="1">
      <alignment horizontal="center" vertical="center" wrapText="1"/>
    </xf>
    <xf numFmtId="3" fontId="54" fillId="4" borderId="86" xfId="0" applyNumberFormat="1" applyFont="1" applyFill="1" applyBorder="1" applyAlignment="1">
      <alignment horizontal="center" vertical="center" wrapText="1"/>
    </xf>
    <xf numFmtId="0" fontId="39" fillId="2" borderId="93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4" fillId="7" borderId="95" xfId="0" applyFont="1" applyFill="1" applyBorder="1" applyAlignment="1">
      <alignment horizontal="center"/>
    </xf>
    <xf numFmtId="0" fontId="54" fillId="7" borderId="94" xfId="0" applyFont="1" applyFill="1" applyBorder="1" applyAlignment="1">
      <alignment horizontal="center"/>
    </xf>
    <xf numFmtId="0" fontId="54" fillId="7" borderId="74" xfId="0" applyFont="1" applyFill="1" applyBorder="1" applyAlignment="1">
      <alignment horizontal="center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39" fillId="4" borderId="83" xfId="0" applyFont="1" applyFill="1" applyBorder="1" applyAlignment="1">
      <alignment horizontal="center" vertical="center" wrapText="1"/>
    </xf>
    <xf numFmtId="0" fontId="39" fillId="4" borderId="62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0" xfId="0" applyFont="1" applyFill="1" applyBorder="1" applyAlignment="1">
      <alignment horizontal="center"/>
    </xf>
    <xf numFmtId="0" fontId="58" fillId="2" borderId="69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166" fontId="39" fillId="2" borderId="66" xfId="0" applyNumberFormat="1" applyFont="1" applyFill="1" applyBorder="1" applyAlignment="1">
      <alignment horizontal="center" vertical="center"/>
    </xf>
    <xf numFmtId="0" fontId="32" fillId="0" borderId="91" xfId="0" applyFont="1" applyBorder="1" applyAlignment="1">
      <alignment horizontal="center" vertical="center"/>
    </xf>
    <xf numFmtId="0" fontId="54" fillId="4" borderId="84" xfId="0" applyFont="1" applyFill="1" applyBorder="1" applyAlignment="1">
      <alignment horizontal="center" vertical="center" wrapText="1"/>
    </xf>
    <xf numFmtId="0" fontId="54" fillId="4" borderId="92" xfId="0" applyFont="1" applyFill="1" applyBorder="1" applyAlignment="1">
      <alignment horizontal="center" vertical="center" wrapText="1"/>
    </xf>
    <xf numFmtId="0" fontId="54" fillId="4" borderId="75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4" xfId="0" applyNumberFormat="1" applyFont="1" applyFill="1" applyBorder="1" applyAlignment="1">
      <alignment horizontal="center" vertical="center" wrapText="1"/>
    </xf>
    <xf numFmtId="168" fontId="54" fillId="2" borderId="92" xfId="0" applyNumberFormat="1" applyFont="1" applyFill="1" applyBorder="1" applyAlignment="1">
      <alignment horizontal="center" vertical="center" wrapText="1"/>
    </xf>
    <xf numFmtId="0" fontId="54" fillId="2" borderId="75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7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3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8" borderId="97" xfId="0" applyNumberFormat="1" applyFont="1" applyFill="1" applyBorder="1" applyAlignment="1">
      <alignment horizontal="right" vertical="top"/>
    </xf>
    <xf numFmtId="3" fontId="33" fillId="8" borderId="98" xfId="0" applyNumberFormat="1" applyFont="1" applyFill="1" applyBorder="1" applyAlignment="1">
      <alignment horizontal="right" vertical="top"/>
    </xf>
    <xf numFmtId="177" fontId="33" fillId="8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7" fontId="33" fillId="8" borderId="100" xfId="0" applyNumberFormat="1" applyFont="1" applyFill="1" applyBorder="1" applyAlignment="1">
      <alignment horizontal="right" vertical="top"/>
    </xf>
    <xf numFmtId="3" fontId="35" fillId="8" borderId="102" xfId="0" applyNumberFormat="1" applyFont="1" applyFill="1" applyBorder="1" applyAlignment="1">
      <alignment horizontal="right" vertical="top"/>
    </xf>
    <xf numFmtId="3" fontId="35" fillId="8" borderId="103" xfId="0" applyNumberFormat="1" applyFont="1" applyFill="1" applyBorder="1" applyAlignment="1">
      <alignment horizontal="right" vertical="top"/>
    </xf>
    <xf numFmtId="0" fontId="35" fillId="8" borderId="104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8" borderId="105" xfId="0" applyFont="1" applyFill="1" applyBorder="1" applyAlignment="1">
      <alignment horizontal="right" vertical="top"/>
    </xf>
    <xf numFmtId="0" fontId="33" fillId="8" borderId="99" xfId="0" applyFont="1" applyFill="1" applyBorder="1" applyAlignment="1">
      <alignment horizontal="right" vertical="top"/>
    </xf>
    <xf numFmtId="0" fontId="33" fillId="8" borderId="100" xfId="0" applyFont="1" applyFill="1" applyBorder="1" applyAlignment="1">
      <alignment horizontal="right" vertical="top"/>
    </xf>
    <xf numFmtId="177" fontId="35" fillId="8" borderId="104" xfId="0" applyNumberFormat="1" applyFont="1" applyFill="1" applyBorder="1" applyAlignment="1">
      <alignment horizontal="right" vertical="top"/>
    </xf>
    <xf numFmtId="177" fontId="35" fillId="8" borderId="105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0" fontId="35" fillId="0" borderId="108" xfId="0" applyFont="1" applyBorder="1" applyAlignment="1">
      <alignment horizontal="right" vertical="top"/>
    </xf>
    <xf numFmtId="177" fontId="35" fillId="8" borderId="109" xfId="0" applyNumberFormat="1" applyFont="1" applyFill="1" applyBorder="1" applyAlignment="1">
      <alignment horizontal="right" vertical="top"/>
    </xf>
    <xf numFmtId="0" fontId="37" fillId="9" borderId="96" xfId="0" applyFont="1" applyFill="1" applyBorder="1" applyAlignment="1">
      <alignment vertical="top"/>
    </xf>
    <xf numFmtId="0" fontId="37" fillId="9" borderId="96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4"/>
    </xf>
    <xf numFmtId="0" fontId="38" fillId="9" borderId="101" xfId="0" applyFont="1" applyFill="1" applyBorder="1" applyAlignment="1">
      <alignment vertical="top" indent="6"/>
    </xf>
    <xf numFmtId="0" fontId="37" fillId="9" borderId="96" xfId="0" applyFont="1" applyFill="1" applyBorder="1" applyAlignment="1">
      <alignment vertical="top" indent="8"/>
    </xf>
    <xf numFmtId="0" fontId="38" fillId="9" borderId="101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6"/>
    </xf>
    <xf numFmtId="0" fontId="38" fillId="9" borderId="101" xfId="0" applyFont="1" applyFill="1" applyBorder="1" applyAlignment="1">
      <alignment vertical="top" indent="4"/>
    </xf>
    <xf numFmtId="0" fontId="32" fillId="9" borderId="96" xfId="0" applyFont="1" applyFill="1" applyBorder="1"/>
    <xf numFmtId="0" fontId="38" fillId="9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9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87" xfId="53" applyNumberFormat="1" applyFont="1" applyFill="1" applyBorder="1" applyAlignment="1">
      <alignment horizontal="left"/>
    </xf>
    <xf numFmtId="3" fontId="31" fillId="2" borderId="87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3" xfId="0" applyFont="1" applyFill="1" applyBorder="1" applyAlignment="1">
      <alignment horizontal="left"/>
    </xf>
    <xf numFmtId="169" fontId="58" fillId="4" borderId="64" xfId="0" applyNumberFormat="1" applyFont="1" applyFill="1" applyBorder="1"/>
    <xf numFmtId="9" fontId="58" fillId="4" borderId="64" xfId="0" applyNumberFormat="1" applyFont="1" applyFill="1" applyBorder="1"/>
    <xf numFmtId="9" fontId="58" fillId="4" borderId="65" xfId="0" applyNumberFormat="1" applyFont="1" applyFill="1" applyBorder="1"/>
    <xf numFmtId="169" fontId="0" fillId="0" borderId="72" xfId="0" applyNumberFormat="1" applyBorder="1"/>
    <xf numFmtId="9" fontId="0" fillId="0" borderId="72" xfId="0" applyNumberFormat="1" applyBorder="1"/>
    <xf numFmtId="9" fontId="0" fillId="0" borderId="73" xfId="0" applyNumberFormat="1" applyBorder="1"/>
    <xf numFmtId="169" fontId="0" fillId="0" borderId="67" xfId="0" applyNumberFormat="1" applyBorder="1"/>
    <xf numFmtId="9" fontId="0" fillId="0" borderId="67" xfId="0" applyNumberFormat="1" applyBorder="1"/>
    <xf numFmtId="9" fontId="0" fillId="0" borderId="68" xfId="0" applyNumberFormat="1" applyBorder="1"/>
    <xf numFmtId="0" fontId="58" fillId="0" borderId="71" xfId="0" applyFont="1" applyBorder="1" applyAlignment="1">
      <alignment horizontal="left" indent="1"/>
    </xf>
    <xf numFmtId="0" fontId="58" fillId="0" borderId="66" xfId="0" applyFont="1" applyBorder="1" applyAlignment="1">
      <alignment horizontal="left" indent="1"/>
    </xf>
    <xf numFmtId="0" fontId="58" fillId="4" borderId="71" xfId="0" applyFont="1" applyFill="1" applyBorder="1" applyAlignment="1">
      <alignment horizontal="left"/>
    </xf>
    <xf numFmtId="169" fontId="58" fillId="4" borderId="72" xfId="0" applyNumberFormat="1" applyFont="1" applyFill="1" applyBorder="1"/>
    <xf numFmtId="9" fontId="58" fillId="4" borderId="72" xfId="0" applyNumberFormat="1" applyFont="1" applyFill="1" applyBorder="1"/>
    <xf numFmtId="9" fontId="58" fillId="4" borderId="73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169" fontId="32" fillId="0" borderId="72" xfId="0" applyNumberFormat="1" applyFont="1" applyFill="1" applyBorder="1"/>
    <xf numFmtId="169" fontId="32" fillId="0" borderId="73" xfId="0" applyNumberFormat="1" applyFont="1" applyFill="1" applyBorder="1"/>
    <xf numFmtId="169" fontId="32" fillId="0" borderId="67" xfId="0" applyNumberFormat="1" applyFont="1" applyFill="1" applyBorder="1"/>
    <xf numFmtId="169" fontId="32" fillId="0" borderId="68" xfId="0" applyNumberFormat="1" applyFont="1" applyFill="1" applyBorder="1"/>
    <xf numFmtId="0" fontId="39" fillId="0" borderId="63" xfId="0" applyFont="1" applyFill="1" applyBorder="1"/>
    <xf numFmtId="0" fontId="39" fillId="0" borderId="71" xfId="0" applyFont="1" applyFill="1" applyBorder="1"/>
    <xf numFmtId="0" fontId="39" fillId="0" borderId="66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4" xfId="0" applyNumberFormat="1" applyFont="1" applyFill="1" applyBorder="1"/>
    <xf numFmtId="9" fontId="32" fillId="0" borderId="72" xfId="0" applyNumberFormat="1" applyFont="1" applyFill="1" applyBorder="1"/>
    <xf numFmtId="9" fontId="32" fillId="0" borderId="67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7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69"/>
      <tableStyleElement type="headerRow" dxfId="68"/>
      <tableStyleElement type="totalRow" dxfId="67"/>
      <tableStyleElement type="firstColumn" dxfId="66"/>
      <tableStyleElement type="lastColumn" dxfId="65"/>
      <tableStyleElement type="firstRowStripe" dxfId="64"/>
      <tableStyleElement type="firstColumnStripe" dxfId="63"/>
    </tableStyle>
    <tableStyle name="TableStyleMedium2 2" pivot="0" count="7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firstRowStripe" dxfId="57"/>
      <tableStyleElement type="firstColumnStripe" dxfId="5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2.5138676654716621</c:v>
                </c:pt>
                <c:pt idx="1">
                  <c:v>3.3809966448100899</c:v>
                </c:pt>
                <c:pt idx="2">
                  <c:v>3.0337717645853077</c:v>
                </c:pt>
                <c:pt idx="3">
                  <c:v>2.9567428304850933</c:v>
                </c:pt>
                <c:pt idx="4">
                  <c:v>2.8448351808538788</c:v>
                </c:pt>
                <c:pt idx="5">
                  <c:v>2.3181183084978265</c:v>
                </c:pt>
                <c:pt idx="6">
                  <c:v>2.2974561532789983</c:v>
                </c:pt>
                <c:pt idx="7">
                  <c:v>2.3148156494187848</c:v>
                </c:pt>
                <c:pt idx="8">
                  <c:v>2.3657295460187222</c:v>
                </c:pt>
                <c:pt idx="9">
                  <c:v>2.1460535405300498</c:v>
                </c:pt>
                <c:pt idx="10">
                  <c:v>2.0330678506580018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66846320"/>
        <c:axId val="-146684577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0.82705095288768249</c:v>
                </c:pt>
                <c:pt idx="1">
                  <c:v>0.82705095288768249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66844144"/>
        <c:axId val="-1466851216"/>
      </c:scatterChart>
      <c:catAx>
        <c:axId val="-146684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466845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668457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466846320"/>
        <c:crosses val="autoZero"/>
        <c:crossBetween val="between"/>
      </c:valAx>
      <c:valAx>
        <c:axId val="-146684414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466851216"/>
        <c:crosses val="max"/>
        <c:crossBetween val="midCat"/>
      </c:valAx>
      <c:valAx>
        <c:axId val="-14668512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46684414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8" totalsRowShown="0" headerRowDxfId="55" tableBorderDxfId="54">
  <autoFilter ref="A7:S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53"/>
    <tableColumn id="2" name="popis" dataDxfId="52"/>
    <tableColumn id="3" name="01 uv_sk" dataDxfId="51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4" name="02 uv_pla" dataDxfId="50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5" name="03 uv_pln" dataDxfId="49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6" name="04 uv_rozd" dataDxfId="48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7" name="05 h_vram" dataDxfId="4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8" name="06 h_naduv" dataDxfId="4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9" name="07 h_nadzk" dataDxfId="45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0" name="08 h_oon" dataDxfId="44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1" name="09 m_kl" dataDxfId="43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2" name="10 m_gr" dataDxfId="42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3" name="11 m_jo" dataDxfId="4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4" name="12 m_oc" dataDxfId="40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5" name="13 m_sk" dataDxfId="39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7" name="14_vzsk" dataDxfId="38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8" name="15_vzpl" dataDxfId="3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9" name="16_vzpln" dataDxfId="36">
      <calculatedColumnFormula>IF(Tabulka[[#This Row],[15_vzpl]]=0,"",Tabulka[[#This Row],[14_vzsk]]/Tabulka[[#This Row],[15_vzpl]])</calculatedColumnFormula>
    </tableColumn>
    <tableColumn id="20" name="17_vzroz" dataDxfId="3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72" t="s">
        <v>89</v>
      </c>
      <c r="B1" s="272"/>
    </row>
    <row r="2" spans="1:3" ht="14.4" customHeight="1" thickBot="1" x14ac:dyDescent="0.35">
      <c r="A2" s="199" t="s">
        <v>202</v>
      </c>
      <c r="B2" s="41"/>
    </row>
    <row r="3" spans="1:3" ht="14.4" customHeight="1" thickBot="1" x14ac:dyDescent="0.35">
      <c r="A3" s="268" t="s">
        <v>109</v>
      </c>
      <c r="B3" s="269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98</v>
      </c>
      <c r="C4" s="42" t="s">
        <v>99</v>
      </c>
    </row>
    <row r="5" spans="1:3" ht="14.4" customHeight="1" x14ac:dyDescent="0.3">
      <c r="A5" s="118" t="str">
        <f t="shared" si="0"/>
        <v>HI</v>
      </c>
      <c r="B5" s="65" t="s">
        <v>107</v>
      </c>
      <c r="C5" s="42" t="s">
        <v>92</v>
      </c>
    </row>
    <row r="6" spans="1:3" ht="14.4" customHeight="1" x14ac:dyDescent="0.3">
      <c r="A6" s="119" t="str">
        <f t="shared" si="0"/>
        <v>HI Graf</v>
      </c>
      <c r="B6" s="66" t="s">
        <v>85</v>
      </c>
      <c r="C6" s="42" t="s">
        <v>93</v>
      </c>
    </row>
    <row r="7" spans="1:3" ht="14.4" customHeight="1" x14ac:dyDescent="0.3">
      <c r="A7" s="119" t="str">
        <f t="shared" si="0"/>
        <v>Man Tab</v>
      </c>
      <c r="B7" s="66" t="s">
        <v>204</v>
      </c>
      <c r="C7" s="42" t="s">
        <v>94</v>
      </c>
    </row>
    <row r="8" spans="1:3" ht="14.4" customHeight="1" thickBot="1" x14ac:dyDescent="0.35">
      <c r="A8" s="120" t="str">
        <f t="shared" si="0"/>
        <v>HV</v>
      </c>
      <c r="B8" s="67" t="s">
        <v>43</v>
      </c>
      <c r="C8" s="42" t="s">
        <v>48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70" t="s">
        <v>90</v>
      </c>
      <c r="B10" s="269"/>
    </row>
    <row r="11" spans="1:3" ht="14.4" customHeight="1" x14ac:dyDescent="0.3">
      <c r="A11" s="121" t="str">
        <f t="shared" ref="A11" si="1">HYPERLINK("#'"&amp;C11&amp;"'!A1",C11)</f>
        <v>Materiál Žádanky</v>
      </c>
      <c r="B11" s="66" t="s">
        <v>108</v>
      </c>
      <c r="C11" s="42" t="s">
        <v>95</v>
      </c>
    </row>
    <row r="12" spans="1:3" ht="14.4" customHeight="1" x14ac:dyDescent="0.3">
      <c r="A12" s="119" t="str">
        <f t="shared" ref="A12:A13" si="2">HYPERLINK("#'"&amp;C12&amp;"'!A1",C12)</f>
        <v>MŽ Detail</v>
      </c>
      <c r="B12" s="66" t="s">
        <v>431</v>
      </c>
      <c r="C12" s="42" t="s">
        <v>96</v>
      </c>
    </row>
    <row r="13" spans="1:3" ht="14.4" customHeight="1" thickBot="1" x14ac:dyDescent="0.35">
      <c r="A13" s="121" t="str">
        <f t="shared" si="2"/>
        <v>Osobní náklady</v>
      </c>
      <c r="B13" s="66" t="s">
        <v>87</v>
      </c>
      <c r="C13" s="42" t="s">
        <v>97</v>
      </c>
    </row>
    <row r="14" spans="1:3" ht="14.4" customHeight="1" thickBot="1" x14ac:dyDescent="0.35">
      <c r="A14" s="69"/>
      <c r="B14" s="69"/>
    </row>
    <row r="15" spans="1:3" ht="14.4" customHeight="1" thickBot="1" x14ac:dyDescent="0.35">
      <c r="A15" s="271" t="s">
        <v>91</v>
      </c>
      <c r="B15" s="269"/>
    </row>
    <row r="16" spans="1:3" ht="14.4" customHeight="1" x14ac:dyDescent="0.3">
      <c r="A16" s="122" t="str">
        <f t="shared" ref="A16:A21" si="3">HYPERLINK("#'"&amp;C16&amp;"'!A1",C16)</f>
        <v>ZV Vykáz.-A</v>
      </c>
      <c r="B16" s="65" t="s">
        <v>436</v>
      </c>
      <c r="C16" s="42" t="s">
        <v>100</v>
      </c>
    </row>
    <row r="17" spans="1:3" ht="14.4" customHeight="1" x14ac:dyDescent="0.3">
      <c r="A17" s="119" t="str">
        <f t="shared" ref="A17" si="4">HYPERLINK("#'"&amp;C17&amp;"'!A1",C17)</f>
        <v>ZV Vykáz.-A Lékaři</v>
      </c>
      <c r="B17" s="66" t="s">
        <v>462</v>
      </c>
      <c r="C17" s="42" t="s">
        <v>142</v>
      </c>
    </row>
    <row r="18" spans="1:3" ht="14.4" customHeight="1" x14ac:dyDescent="0.3">
      <c r="A18" s="119" t="str">
        <f t="shared" si="3"/>
        <v>ZV Vykáz.-A Detail</v>
      </c>
      <c r="B18" s="66" t="s">
        <v>533</v>
      </c>
      <c r="C18" s="42" t="s">
        <v>101</v>
      </c>
    </row>
    <row r="19" spans="1:3" ht="14.4" customHeight="1" x14ac:dyDescent="0.3">
      <c r="A19" s="223" t="str">
        <f>HYPERLINK("#'"&amp;C19&amp;"'!A1",C19)</f>
        <v>ZV Vykáz.-A Det.Lék.</v>
      </c>
      <c r="B19" s="66" t="s">
        <v>534</v>
      </c>
      <c r="C19" s="42" t="s">
        <v>167</v>
      </c>
    </row>
    <row r="20" spans="1:3" ht="14.4" customHeight="1" x14ac:dyDescent="0.3">
      <c r="A20" s="119" t="str">
        <f t="shared" si="3"/>
        <v>ZV Vykáz.-H</v>
      </c>
      <c r="B20" s="66" t="s">
        <v>104</v>
      </c>
      <c r="C20" s="42" t="s">
        <v>102</v>
      </c>
    </row>
    <row r="21" spans="1:3" ht="14.4" customHeight="1" x14ac:dyDescent="0.3">
      <c r="A21" s="119" t="str">
        <f t="shared" si="3"/>
        <v>ZV Vykáz.-H Detail</v>
      </c>
      <c r="B21" s="66" t="s">
        <v>559</v>
      </c>
      <c r="C21" s="42" t="s">
        <v>103</v>
      </c>
    </row>
  </sheetData>
  <mergeCells count="4">
    <mergeCell ref="A3:B3"/>
    <mergeCell ref="A10:B10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0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47" t="s">
        <v>436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</row>
    <row r="2" spans="1:28" ht="14.4" customHeight="1" thickBot="1" x14ac:dyDescent="0.35">
      <c r="A2" s="199" t="s">
        <v>202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" customHeight="1" thickBot="1" x14ac:dyDescent="0.35">
      <c r="A3" s="187" t="s">
        <v>105</v>
      </c>
      <c r="B3" s="188">
        <f>SUBTOTAL(9,B6:B1048576)/4</f>
        <v>1109406.6700000002</v>
      </c>
      <c r="C3" s="189">
        <f t="shared" ref="C3:Z3" si="0">SUBTOTAL(9,C6:C1048576)</f>
        <v>10</v>
      </c>
      <c r="D3" s="189"/>
      <c r="E3" s="189">
        <f>SUBTOTAL(9,E6:E1048576)/4</f>
        <v>955094.34000000008</v>
      </c>
      <c r="F3" s="189"/>
      <c r="G3" s="189">
        <f t="shared" si="0"/>
        <v>5</v>
      </c>
      <c r="H3" s="189">
        <f>SUBTOTAL(9,H6:H1048576)/4</f>
        <v>2126998.33</v>
      </c>
      <c r="I3" s="192">
        <f>IF(B3&lt;&gt;0,H3/B3,"")</f>
        <v>1.9172395366975752</v>
      </c>
      <c r="J3" s="190">
        <f>IF(E3&lt;&gt;0,H3/E3,"")</f>
        <v>2.227003386911496</v>
      </c>
      <c r="K3" s="191">
        <f t="shared" si="0"/>
        <v>0</v>
      </c>
      <c r="L3" s="191"/>
      <c r="M3" s="189">
        <f t="shared" si="0"/>
        <v>0</v>
      </c>
      <c r="N3" s="189">
        <f t="shared" si="0"/>
        <v>0</v>
      </c>
      <c r="O3" s="189"/>
      <c r="P3" s="189">
        <f t="shared" si="0"/>
        <v>0</v>
      </c>
      <c r="Q3" s="189">
        <f t="shared" si="0"/>
        <v>5139.4000000001324</v>
      </c>
      <c r="R3" s="192" t="str">
        <f>IF(K3&lt;&gt;0,Q3/K3,"")</f>
        <v/>
      </c>
      <c r="S3" s="192" t="str">
        <f>IF(N3&lt;&gt;0,Q3/N3,"")</f>
        <v/>
      </c>
      <c r="T3" s="188">
        <f t="shared" si="0"/>
        <v>0</v>
      </c>
      <c r="U3" s="191"/>
      <c r="V3" s="189">
        <f t="shared" si="0"/>
        <v>0</v>
      </c>
      <c r="W3" s="189">
        <f t="shared" si="0"/>
        <v>0</v>
      </c>
      <c r="X3" s="189"/>
      <c r="Y3" s="189">
        <f t="shared" si="0"/>
        <v>0</v>
      </c>
      <c r="Z3" s="189">
        <f t="shared" si="0"/>
        <v>750069.56</v>
      </c>
      <c r="AA3" s="192" t="str">
        <f>IF(T3&lt;&gt;0,Z3/T3,"")</f>
        <v/>
      </c>
      <c r="AB3" s="190" t="str">
        <f>IF(W3&lt;&gt;0,Z3/W3,"")</f>
        <v/>
      </c>
    </row>
    <row r="4" spans="1:28" ht="14.4" customHeight="1" x14ac:dyDescent="0.3">
      <c r="A4" s="348" t="s">
        <v>143</v>
      </c>
      <c r="B4" s="349" t="s">
        <v>80</v>
      </c>
      <c r="C4" s="350"/>
      <c r="D4" s="351"/>
      <c r="E4" s="350"/>
      <c r="F4" s="351"/>
      <c r="G4" s="350"/>
      <c r="H4" s="350"/>
      <c r="I4" s="351"/>
      <c r="J4" s="352"/>
      <c r="K4" s="349" t="s">
        <v>81</v>
      </c>
      <c r="L4" s="351"/>
      <c r="M4" s="350"/>
      <c r="N4" s="350"/>
      <c r="O4" s="351"/>
      <c r="P4" s="350"/>
      <c r="Q4" s="350"/>
      <c r="R4" s="351"/>
      <c r="S4" s="352"/>
      <c r="T4" s="349" t="s">
        <v>82</v>
      </c>
      <c r="U4" s="351"/>
      <c r="V4" s="350"/>
      <c r="W4" s="350"/>
      <c r="X4" s="351"/>
      <c r="Y4" s="350"/>
      <c r="Z4" s="350"/>
      <c r="AA4" s="351"/>
      <c r="AB4" s="352"/>
    </row>
    <row r="5" spans="1:28" ht="14.4" customHeight="1" thickBot="1" x14ac:dyDescent="0.35">
      <c r="A5" s="424"/>
      <c r="B5" s="425">
        <v>2015</v>
      </c>
      <c r="C5" s="426"/>
      <c r="D5" s="426"/>
      <c r="E5" s="426">
        <v>2016</v>
      </c>
      <c r="F5" s="426"/>
      <c r="G5" s="426"/>
      <c r="H5" s="426">
        <v>2017</v>
      </c>
      <c r="I5" s="427" t="s">
        <v>165</v>
      </c>
      <c r="J5" s="428" t="s">
        <v>2</v>
      </c>
      <c r="K5" s="425">
        <v>2015</v>
      </c>
      <c r="L5" s="426"/>
      <c r="M5" s="426"/>
      <c r="N5" s="426">
        <v>2016</v>
      </c>
      <c r="O5" s="426"/>
      <c r="P5" s="426"/>
      <c r="Q5" s="426">
        <v>2017</v>
      </c>
      <c r="R5" s="427" t="s">
        <v>165</v>
      </c>
      <c r="S5" s="428" t="s">
        <v>2</v>
      </c>
      <c r="T5" s="425">
        <v>2015</v>
      </c>
      <c r="U5" s="426"/>
      <c r="V5" s="426"/>
      <c r="W5" s="426">
        <v>2016</v>
      </c>
      <c r="X5" s="426"/>
      <c r="Y5" s="426"/>
      <c r="Z5" s="426">
        <v>2017</v>
      </c>
      <c r="AA5" s="427" t="s">
        <v>165</v>
      </c>
      <c r="AB5" s="428" t="s">
        <v>2</v>
      </c>
    </row>
    <row r="6" spans="1:28" ht="14.4" customHeight="1" x14ac:dyDescent="0.3">
      <c r="A6" s="429" t="s">
        <v>432</v>
      </c>
      <c r="B6" s="430">
        <v>1109406.6700000002</v>
      </c>
      <c r="C6" s="431">
        <v>1</v>
      </c>
      <c r="D6" s="431">
        <v>1.1615676311096137</v>
      </c>
      <c r="E6" s="430">
        <v>955094.34000000008</v>
      </c>
      <c r="F6" s="431">
        <v>0.8609055325041447</v>
      </c>
      <c r="G6" s="431">
        <v>1</v>
      </c>
      <c r="H6" s="430">
        <v>2126998.33</v>
      </c>
      <c r="I6" s="431">
        <v>1.9172395366975752</v>
      </c>
      <c r="J6" s="431">
        <v>2.227003386911496</v>
      </c>
      <c r="K6" s="430"/>
      <c r="L6" s="431"/>
      <c r="M6" s="431"/>
      <c r="N6" s="430"/>
      <c r="O6" s="431"/>
      <c r="P6" s="431"/>
      <c r="Q6" s="430">
        <v>2569.7000000000662</v>
      </c>
      <c r="R6" s="431"/>
      <c r="S6" s="431"/>
      <c r="T6" s="430"/>
      <c r="U6" s="431"/>
      <c r="V6" s="431"/>
      <c r="W6" s="430"/>
      <c r="X6" s="431"/>
      <c r="Y6" s="431"/>
      <c r="Z6" s="430">
        <v>375034.78</v>
      </c>
      <c r="AA6" s="431"/>
      <c r="AB6" s="432"/>
    </row>
    <row r="7" spans="1:28" ht="14.4" customHeight="1" x14ac:dyDescent="0.3">
      <c r="A7" s="439" t="s">
        <v>433</v>
      </c>
      <c r="B7" s="433">
        <v>668401.00000000012</v>
      </c>
      <c r="C7" s="434">
        <v>1</v>
      </c>
      <c r="D7" s="434">
        <v>0.70001116622963522</v>
      </c>
      <c r="E7" s="433">
        <v>954843.34000000008</v>
      </c>
      <c r="F7" s="434">
        <v>1.4285486407111898</v>
      </c>
      <c r="G7" s="434">
        <v>1</v>
      </c>
      <c r="H7" s="433">
        <v>2126998.33</v>
      </c>
      <c r="I7" s="434">
        <v>3.1822189523953432</v>
      </c>
      <c r="J7" s="434">
        <v>2.227588800064312</v>
      </c>
      <c r="K7" s="433"/>
      <c r="L7" s="434"/>
      <c r="M7" s="434"/>
      <c r="N7" s="433"/>
      <c r="O7" s="434"/>
      <c r="P7" s="434"/>
      <c r="Q7" s="433">
        <v>2569.7000000000662</v>
      </c>
      <c r="R7" s="434"/>
      <c r="S7" s="434"/>
      <c r="T7" s="433"/>
      <c r="U7" s="434"/>
      <c r="V7" s="434"/>
      <c r="W7" s="433"/>
      <c r="X7" s="434"/>
      <c r="Y7" s="434"/>
      <c r="Z7" s="433">
        <v>375034.78</v>
      </c>
      <c r="AA7" s="434"/>
      <c r="AB7" s="435"/>
    </row>
    <row r="8" spans="1:28" ht="14.4" customHeight="1" x14ac:dyDescent="0.3">
      <c r="A8" s="439" t="s">
        <v>434</v>
      </c>
      <c r="B8" s="433">
        <v>7651.67</v>
      </c>
      <c r="C8" s="434">
        <v>1</v>
      </c>
      <c r="D8" s="434">
        <v>30.484741035856572</v>
      </c>
      <c r="E8" s="433">
        <v>251</v>
      </c>
      <c r="F8" s="434">
        <v>3.280329653526616E-2</v>
      </c>
      <c r="G8" s="434">
        <v>1</v>
      </c>
      <c r="H8" s="433"/>
      <c r="I8" s="434"/>
      <c r="J8" s="434"/>
      <c r="K8" s="433"/>
      <c r="L8" s="434"/>
      <c r="M8" s="434"/>
      <c r="N8" s="433"/>
      <c r="O8" s="434"/>
      <c r="P8" s="434"/>
      <c r="Q8" s="433"/>
      <c r="R8" s="434"/>
      <c r="S8" s="434"/>
      <c r="T8" s="433"/>
      <c r="U8" s="434"/>
      <c r="V8" s="434"/>
      <c r="W8" s="433"/>
      <c r="X8" s="434"/>
      <c r="Y8" s="434"/>
      <c r="Z8" s="433"/>
      <c r="AA8" s="434"/>
      <c r="AB8" s="435"/>
    </row>
    <row r="9" spans="1:28" ht="14.4" customHeight="1" thickBot="1" x14ac:dyDescent="0.35">
      <c r="A9" s="440" t="s">
        <v>435</v>
      </c>
      <c r="B9" s="436">
        <v>433354</v>
      </c>
      <c r="C9" s="437">
        <v>1</v>
      </c>
      <c r="D9" s="437"/>
      <c r="E9" s="436"/>
      <c r="F9" s="437"/>
      <c r="G9" s="437"/>
      <c r="H9" s="436"/>
      <c r="I9" s="437"/>
      <c r="J9" s="437"/>
      <c r="K9" s="436"/>
      <c r="L9" s="437"/>
      <c r="M9" s="437"/>
      <c r="N9" s="436"/>
      <c r="O9" s="437"/>
      <c r="P9" s="437"/>
      <c r="Q9" s="436"/>
      <c r="R9" s="437"/>
      <c r="S9" s="437"/>
      <c r="T9" s="436"/>
      <c r="U9" s="437"/>
      <c r="V9" s="437"/>
      <c r="W9" s="436"/>
      <c r="X9" s="437"/>
      <c r="Y9" s="437"/>
      <c r="Z9" s="436"/>
      <c r="AA9" s="437"/>
      <c r="AB9" s="438"/>
    </row>
    <row r="10" spans="1:28" ht="14.4" customHeight="1" thickBot="1" x14ac:dyDescent="0.35"/>
    <row r="11" spans="1:28" ht="14.4" customHeight="1" x14ac:dyDescent="0.3">
      <c r="A11" s="429" t="s">
        <v>260</v>
      </c>
      <c r="B11" s="430">
        <v>433354</v>
      </c>
      <c r="C11" s="431">
        <v>1</v>
      </c>
      <c r="D11" s="431"/>
      <c r="E11" s="430"/>
      <c r="F11" s="431"/>
      <c r="G11" s="431"/>
      <c r="H11" s="430"/>
      <c r="I11" s="431"/>
      <c r="J11" s="432"/>
    </row>
    <row r="12" spans="1:28" ht="14.4" customHeight="1" x14ac:dyDescent="0.3">
      <c r="A12" s="439" t="s">
        <v>437</v>
      </c>
      <c r="B12" s="433">
        <v>10518</v>
      </c>
      <c r="C12" s="434">
        <v>1</v>
      </c>
      <c r="D12" s="434"/>
      <c r="E12" s="433"/>
      <c r="F12" s="434"/>
      <c r="G12" s="434"/>
      <c r="H12" s="433"/>
      <c r="I12" s="434"/>
      <c r="J12" s="435"/>
    </row>
    <row r="13" spans="1:28" ht="14.4" customHeight="1" x14ac:dyDescent="0.3">
      <c r="A13" s="439" t="s">
        <v>438</v>
      </c>
      <c r="B13" s="433">
        <v>422836</v>
      </c>
      <c r="C13" s="434">
        <v>1</v>
      </c>
      <c r="D13" s="434"/>
      <c r="E13" s="433"/>
      <c r="F13" s="434"/>
      <c r="G13" s="434"/>
      <c r="H13" s="433"/>
      <c r="I13" s="434"/>
      <c r="J13" s="435"/>
    </row>
    <row r="14" spans="1:28" ht="14.4" customHeight="1" x14ac:dyDescent="0.3">
      <c r="A14" s="441" t="s">
        <v>271</v>
      </c>
      <c r="B14" s="442">
        <v>676052.66999999993</v>
      </c>
      <c r="C14" s="443">
        <v>1</v>
      </c>
      <c r="D14" s="443">
        <v>0.70783863089378152</v>
      </c>
      <c r="E14" s="442">
        <v>955094.34000000008</v>
      </c>
      <c r="F14" s="443">
        <v>1.4127513763091863</v>
      </c>
      <c r="G14" s="443">
        <v>1</v>
      </c>
      <c r="H14" s="442">
        <v>2126998.33</v>
      </c>
      <c r="I14" s="443">
        <v>3.1462020999044356</v>
      </c>
      <c r="J14" s="444">
        <v>2.227003386911496</v>
      </c>
    </row>
    <row r="15" spans="1:28" ht="14.4" customHeight="1" x14ac:dyDescent="0.3">
      <c r="A15" s="439" t="s">
        <v>437</v>
      </c>
      <c r="B15" s="433">
        <v>733.32999999999993</v>
      </c>
      <c r="C15" s="434">
        <v>1</v>
      </c>
      <c r="D15" s="434"/>
      <c r="E15" s="433"/>
      <c r="F15" s="434"/>
      <c r="G15" s="434"/>
      <c r="H15" s="433">
        <v>14344</v>
      </c>
      <c r="I15" s="434">
        <v>19.560088909495047</v>
      </c>
      <c r="J15" s="435"/>
    </row>
    <row r="16" spans="1:28" ht="14.4" customHeight="1" thickBot="1" x14ac:dyDescent="0.35">
      <c r="A16" s="440" t="s">
        <v>438</v>
      </c>
      <c r="B16" s="436">
        <v>675319.34</v>
      </c>
      <c r="C16" s="437">
        <v>1</v>
      </c>
      <c r="D16" s="437">
        <v>0.70707082192529791</v>
      </c>
      <c r="E16" s="436">
        <v>955094.34000000008</v>
      </c>
      <c r="F16" s="437">
        <v>1.4142854845531303</v>
      </c>
      <c r="G16" s="437">
        <v>1</v>
      </c>
      <c r="H16" s="436">
        <v>2112654.33</v>
      </c>
      <c r="I16" s="437">
        <v>3.1283782425067233</v>
      </c>
      <c r="J16" s="438">
        <v>2.2119849752224474</v>
      </c>
    </row>
    <row r="17" spans="1:1" ht="14.4" customHeight="1" x14ac:dyDescent="0.3">
      <c r="A17" s="445" t="s">
        <v>201</v>
      </c>
    </row>
    <row r="18" spans="1:1" ht="14.4" customHeight="1" x14ac:dyDescent="0.3">
      <c r="A18" s="446" t="s">
        <v>439</v>
      </c>
    </row>
    <row r="19" spans="1:1" ht="14.4" customHeight="1" x14ac:dyDescent="0.3">
      <c r="A19" s="445" t="s">
        <v>440</v>
      </c>
    </row>
    <row r="20" spans="1:1" ht="14.4" customHeight="1" x14ac:dyDescent="0.3">
      <c r="A20" s="445" t="s">
        <v>441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47" t="s">
        <v>462</v>
      </c>
      <c r="B1" s="272"/>
      <c r="C1" s="272"/>
      <c r="D1" s="272"/>
      <c r="E1" s="272"/>
      <c r="F1" s="272"/>
      <c r="G1" s="272"/>
    </row>
    <row r="2" spans="1:7" ht="14.4" customHeight="1" thickBot="1" x14ac:dyDescent="0.35">
      <c r="A2" s="199" t="s">
        <v>202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28" t="s">
        <v>105</v>
      </c>
      <c r="B3" s="215">
        <f t="shared" ref="B3:G3" si="0">SUBTOTAL(9,B6:B1048576)</f>
        <v>2442</v>
      </c>
      <c r="C3" s="216">
        <f t="shared" si="0"/>
        <v>1885</v>
      </c>
      <c r="D3" s="227">
        <f t="shared" si="0"/>
        <v>3059</v>
      </c>
      <c r="E3" s="191">
        <f t="shared" si="0"/>
        <v>1109406.67</v>
      </c>
      <c r="F3" s="189">
        <f t="shared" si="0"/>
        <v>955094.34000000008</v>
      </c>
      <c r="G3" s="217">
        <f t="shared" si="0"/>
        <v>2126998.33</v>
      </c>
    </row>
    <row r="4" spans="1:7" ht="14.4" customHeight="1" x14ac:dyDescent="0.3">
      <c r="A4" s="348" t="s">
        <v>106</v>
      </c>
      <c r="B4" s="353" t="s">
        <v>141</v>
      </c>
      <c r="C4" s="351"/>
      <c r="D4" s="354"/>
      <c r="E4" s="353" t="s">
        <v>80</v>
      </c>
      <c r="F4" s="351"/>
      <c r="G4" s="354"/>
    </row>
    <row r="5" spans="1:7" ht="14.4" customHeight="1" thickBot="1" x14ac:dyDescent="0.35">
      <c r="A5" s="424"/>
      <c r="B5" s="425">
        <v>2015</v>
      </c>
      <c r="C5" s="426">
        <v>2016</v>
      </c>
      <c r="D5" s="447">
        <v>2017</v>
      </c>
      <c r="E5" s="425">
        <v>2015</v>
      </c>
      <c r="F5" s="426">
        <v>2016</v>
      </c>
      <c r="G5" s="447">
        <v>2017</v>
      </c>
    </row>
    <row r="6" spans="1:7" ht="14.4" customHeight="1" x14ac:dyDescent="0.3">
      <c r="A6" s="454" t="s">
        <v>442</v>
      </c>
      <c r="B6" s="410">
        <v>1</v>
      </c>
      <c r="C6" s="410">
        <v>31</v>
      </c>
      <c r="D6" s="410">
        <v>4</v>
      </c>
      <c r="E6" s="448">
        <v>36</v>
      </c>
      <c r="F6" s="448">
        <v>1279</v>
      </c>
      <c r="G6" s="449">
        <v>214</v>
      </c>
    </row>
    <row r="7" spans="1:7" ht="14.4" customHeight="1" x14ac:dyDescent="0.3">
      <c r="A7" s="455" t="s">
        <v>443</v>
      </c>
      <c r="B7" s="416"/>
      <c r="C7" s="416">
        <v>12</v>
      </c>
      <c r="D7" s="416">
        <v>1</v>
      </c>
      <c r="E7" s="450"/>
      <c r="F7" s="450">
        <v>466</v>
      </c>
      <c r="G7" s="451">
        <v>37</v>
      </c>
    </row>
    <row r="8" spans="1:7" ht="14.4" customHeight="1" x14ac:dyDescent="0.3">
      <c r="A8" s="455" t="s">
        <v>444</v>
      </c>
      <c r="B8" s="416">
        <v>7</v>
      </c>
      <c r="C8" s="416">
        <v>6</v>
      </c>
      <c r="D8" s="416">
        <v>13</v>
      </c>
      <c r="E8" s="450">
        <v>608</v>
      </c>
      <c r="F8" s="450">
        <v>332</v>
      </c>
      <c r="G8" s="451">
        <v>635</v>
      </c>
    </row>
    <row r="9" spans="1:7" ht="14.4" customHeight="1" x14ac:dyDescent="0.3">
      <c r="A9" s="455" t="s">
        <v>437</v>
      </c>
      <c r="B9" s="416">
        <v>67</v>
      </c>
      <c r="C9" s="416"/>
      <c r="D9" s="416">
        <v>4</v>
      </c>
      <c r="E9" s="450">
        <v>11251.33</v>
      </c>
      <c r="F9" s="450"/>
      <c r="G9" s="451">
        <v>14344</v>
      </c>
    </row>
    <row r="10" spans="1:7" ht="14.4" customHeight="1" x14ac:dyDescent="0.3">
      <c r="A10" s="455" t="s">
        <v>445</v>
      </c>
      <c r="B10" s="416">
        <v>22</v>
      </c>
      <c r="C10" s="416"/>
      <c r="D10" s="416"/>
      <c r="E10" s="450">
        <v>5764</v>
      </c>
      <c r="F10" s="450"/>
      <c r="G10" s="451"/>
    </row>
    <row r="11" spans="1:7" ht="14.4" customHeight="1" x14ac:dyDescent="0.3">
      <c r="A11" s="455" t="s">
        <v>446</v>
      </c>
      <c r="B11" s="416"/>
      <c r="C11" s="416">
        <v>5</v>
      </c>
      <c r="D11" s="416">
        <v>1</v>
      </c>
      <c r="E11" s="450"/>
      <c r="F11" s="450">
        <v>207</v>
      </c>
      <c r="G11" s="451">
        <v>59</v>
      </c>
    </row>
    <row r="12" spans="1:7" ht="14.4" customHeight="1" x14ac:dyDescent="0.3">
      <c r="A12" s="455" t="s">
        <v>447</v>
      </c>
      <c r="B12" s="416">
        <v>1</v>
      </c>
      <c r="C12" s="416"/>
      <c r="D12" s="416"/>
      <c r="E12" s="450">
        <v>125</v>
      </c>
      <c r="F12" s="450"/>
      <c r="G12" s="451"/>
    </row>
    <row r="13" spans="1:7" ht="14.4" customHeight="1" x14ac:dyDescent="0.3">
      <c r="A13" s="455" t="s">
        <v>448</v>
      </c>
      <c r="B13" s="416">
        <v>1</v>
      </c>
      <c r="C13" s="416">
        <v>1</v>
      </c>
      <c r="D13" s="416">
        <v>1</v>
      </c>
      <c r="E13" s="450">
        <v>125</v>
      </c>
      <c r="F13" s="450">
        <v>37</v>
      </c>
      <c r="G13" s="451">
        <v>37</v>
      </c>
    </row>
    <row r="14" spans="1:7" ht="14.4" customHeight="1" x14ac:dyDescent="0.3">
      <c r="A14" s="455" t="s">
        <v>449</v>
      </c>
      <c r="B14" s="416"/>
      <c r="C14" s="416">
        <v>1</v>
      </c>
      <c r="D14" s="416"/>
      <c r="E14" s="450"/>
      <c r="F14" s="450">
        <v>59</v>
      </c>
      <c r="G14" s="451"/>
    </row>
    <row r="15" spans="1:7" ht="14.4" customHeight="1" x14ac:dyDescent="0.3">
      <c r="A15" s="455" t="s">
        <v>450</v>
      </c>
      <c r="B15" s="416">
        <v>101</v>
      </c>
      <c r="C15" s="416">
        <v>1</v>
      </c>
      <c r="D15" s="416"/>
      <c r="E15" s="450">
        <v>16787.669999999998</v>
      </c>
      <c r="F15" s="450">
        <v>251</v>
      </c>
      <c r="G15" s="451"/>
    </row>
    <row r="16" spans="1:7" ht="14.4" customHeight="1" x14ac:dyDescent="0.3">
      <c r="A16" s="455" t="s">
        <v>451</v>
      </c>
      <c r="B16" s="416"/>
      <c r="C16" s="416"/>
      <c r="D16" s="416">
        <v>1</v>
      </c>
      <c r="E16" s="450"/>
      <c r="F16" s="450"/>
      <c r="G16" s="451">
        <v>147</v>
      </c>
    </row>
    <row r="17" spans="1:7" ht="14.4" customHeight="1" x14ac:dyDescent="0.3">
      <c r="A17" s="455" t="s">
        <v>452</v>
      </c>
      <c r="B17" s="416">
        <v>361</v>
      </c>
      <c r="C17" s="416"/>
      <c r="D17" s="416"/>
      <c r="E17" s="450">
        <v>173515</v>
      </c>
      <c r="F17" s="450"/>
      <c r="G17" s="451"/>
    </row>
    <row r="18" spans="1:7" ht="14.4" customHeight="1" x14ac:dyDescent="0.3">
      <c r="A18" s="455" t="s">
        <v>453</v>
      </c>
      <c r="B18" s="416">
        <v>6</v>
      </c>
      <c r="C18" s="416">
        <v>4</v>
      </c>
      <c r="D18" s="416">
        <v>7</v>
      </c>
      <c r="E18" s="450">
        <v>216</v>
      </c>
      <c r="F18" s="450">
        <v>170</v>
      </c>
      <c r="G18" s="451">
        <v>369</v>
      </c>
    </row>
    <row r="19" spans="1:7" ht="14.4" customHeight="1" x14ac:dyDescent="0.3">
      <c r="A19" s="455" t="s">
        <v>454</v>
      </c>
      <c r="B19" s="416">
        <v>11</v>
      </c>
      <c r="C19" s="416">
        <v>5</v>
      </c>
      <c r="D19" s="416"/>
      <c r="E19" s="450">
        <v>875</v>
      </c>
      <c r="F19" s="450">
        <v>229</v>
      </c>
      <c r="G19" s="451"/>
    </row>
    <row r="20" spans="1:7" ht="14.4" customHeight="1" x14ac:dyDescent="0.3">
      <c r="A20" s="455" t="s">
        <v>455</v>
      </c>
      <c r="B20" s="416"/>
      <c r="C20" s="416"/>
      <c r="D20" s="416">
        <v>6</v>
      </c>
      <c r="E20" s="450"/>
      <c r="F20" s="450"/>
      <c r="G20" s="451">
        <v>398</v>
      </c>
    </row>
    <row r="21" spans="1:7" ht="14.4" customHeight="1" x14ac:dyDescent="0.3">
      <c r="A21" s="455" t="s">
        <v>456</v>
      </c>
      <c r="B21" s="416"/>
      <c r="C21" s="416"/>
      <c r="D21" s="416">
        <v>1</v>
      </c>
      <c r="E21" s="450"/>
      <c r="F21" s="450"/>
      <c r="G21" s="451">
        <v>37</v>
      </c>
    </row>
    <row r="22" spans="1:7" ht="14.4" customHeight="1" x14ac:dyDescent="0.3">
      <c r="A22" s="455" t="s">
        <v>457</v>
      </c>
      <c r="B22" s="416">
        <v>10</v>
      </c>
      <c r="C22" s="416">
        <v>3</v>
      </c>
      <c r="D22" s="416">
        <v>3</v>
      </c>
      <c r="E22" s="450">
        <v>716</v>
      </c>
      <c r="F22" s="450">
        <v>133</v>
      </c>
      <c r="G22" s="451">
        <v>294</v>
      </c>
    </row>
    <row r="23" spans="1:7" ht="14.4" customHeight="1" x14ac:dyDescent="0.3">
      <c r="A23" s="455" t="s">
        <v>458</v>
      </c>
      <c r="B23" s="416"/>
      <c r="C23" s="416">
        <v>10</v>
      </c>
      <c r="D23" s="416">
        <v>1</v>
      </c>
      <c r="E23" s="450"/>
      <c r="F23" s="450">
        <v>370</v>
      </c>
      <c r="G23" s="451">
        <v>147</v>
      </c>
    </row>
    <row r="24" spans="1:7" ht="14.4" customHeight="1" x14ac:dyDescent="0.3">
      <c r="A24" s="455" t="s">
        <v>459</v>
      </c>
      <c r="B24" s="416">
        <v>1848</v>
      </c>
      <c r="C24" s="416">
        <v>1804</v>
      </c>
      <c r="D24" s="416">
        <v>3012</v>
      </c>
      <c r="E24" s="450">
        <v>898904.66999999993</v>
      </c>
      <c r="F24" s="450">
        <v>951487.34000000008</v>
      </c>
      <c r="G24" s="451">
        <v>2110022.33</v>
      </c>
    </row>
    <row r="25" spans="1:7" ht="14.4" customHeight="1" x14ac:dyDescent="0.3">
      <c r="A25" s="455" t="s">
        <v>460</v>
      </c>
      <c r="B25" s="416">
        <v>1</v>
      </c>
      <c r="C25" s="416">
        <v>1</v>
      </c>
      <c r="D25" s="416"/>
      <c r="E25" s="450">
        <v>125</v>
      </c>
      <c r="F25" s="450">
        <v>37</v>
      </c>
      <c r="G25" s="451"/>
    </row>
    <row r="26" spans="1:7" ht="14.4" customHeight="1" thickBot="1" x14ac:dyDescent="0.35">
      <c r="A26" s="456" t="s">
        <v>461</v>
      </c>
      <c r="B26" s="422">
        <v>5</v>
      </c>
      <c r="C26" s="422">
        <v>1</v>
      </c>
      <c r="D26" s="422">
        <v>4</v>
      </c>
      <c r="E26" s="452">
        <v>358</v>
      </c>
      <c r="F26" s="452">
        <v>37</v>
      </c>
      <c r="G26" s="453">
        <v>258</v>
      </c>
    </row>
    <row r="27" spans="1:7" ht="14.4" customHeight="1" x14ac:dyDescent="0.3">
      <c r="A27" s="445" t="s">
        <v>201</v>
      </c>
    </row>
    <row r="28" spans="1:7" ht="14.4" customHeight="1" x14ac:dyDescent="0.3">
      <c r="A28" s="446" t="s">
        <v>439</v>
      </c>
    </row>
    <row r="29" spans="1:7" ht="14.4" customHeight="1" x14ac:dyDescent="0.3">
      <c r="A29" s="445" t="s">
        <v>440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72" t="s">
        <v>533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</row>
    <row r="2" spans="1:18" ht="14.4" customHeight="1" thickBot="1" x14ac:dyDescent="0.35">
      <c r="A2" s="199" t="s">
        <v>202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" customHeight="1" thickBot="1" x14ac:dyDescent="0.35">
      <c r="F3" s="63" t="s">
        <v>105</v>
      </c>
      <c r="G3" s="77">
        <f t="shared" ref="G3:P3" si="0">SUBTOTAL(9,G6:G1048576)</f>
        <v>2442</v>
      </c>
      <c r="H3" s="78">
        <f t="shared" si="0"/>
        <v>1109406.67</v>
      </c>
      <c r="I3" s="58"/>
      <c r="J3" s="58"/>
      <c r="K3" s="78">
        <f t="shared" si="0"/>
        <v>1885</v>
      </c>
      <c r="L3" s="78">
        <f t="shared" si="0"/>
        <v>955094.34</v>
      </c>
      <c r="M3" s="58"/>
      <c r="N3" s="58"/>
      <c r="O3" s="78">
        <f t="shared" si="0"/>
        <v>3074.9</v>
      </c>
      <c r="P3" s="78">
        <f t="shared" si="0"/>
        <v>2504602.81</v>
      </c>
      <c r="Q3" s="59">
        <f>IF(L3=0,0,P3/L3)</f>
        <v>2.6223616925632709</v>
      </c>
      <c r="R3" s="79">
        <f>IF(O3=0,0,P3/O3)</f>
        <v>814.53146769000614</v>
      </c>
    </row>
    <row r="4" spans="1:18" ht="14.4" customHeight="1" x14ac:dyDescent="0.3">
      <c r="A4" s="355" t="s">
        <v>166</v>
      </c>
      <c r="B4" s="355" t="s">
        <v>76</v>
      </c>
      <c r="C4" s="363" t="s">
        <v>0</v>
      </c>
      <c r="D4" s="357" t="s">
        <v>77</v>
      </c>
      <c r="E4" s="362" t="s">
        <v>52</v>
      </c>
      <c r="F4" s="358" t="s">
        <v>51</v>
      </c>
      <c r="G4" s="359">
        <v>2015</v>
      </c>
      <c r="H4" s="360"/>
      <c r="I4" s="76"/>
      <c r="J4" s="76"/>
      <c r="K4" s="359">
        <v>2016</v>
      </c>
      <c r="L4" s="360"/>
      <c r="M4" s="76"/>
      <c r="N4" s="76"/>
      <c r="O4" s="359">
        <v>2017</v>
      </c>
      <c r="P4" s="360"/>
      <c r="Q4" s="361" t="s">
        <v>2</v>
      </c>
      <c r="R4" s="356" t="s">
        <v>79</v>
      </c>
    </row>
    <row r="5" spans="1:18" ht="14.4" customHeight="1" thickBot="1" x14ac:dyDescent="0.35">
      <c r="A5" s="457"/>
      <c r="B5" s="457"/>
      <c r="C5" s="458"/>
      <c r="D5" s="459"/>
      <c r="E5" s="460"/>
      <c r="F5" s="461"/>
      <c r="G5" s="462" t="s">
        <v>53</v>
      </c>
      <c r="H5" s="463" t="s">
        <v>10</v>
      </c>
      <c r="I5" s="464"/>
      <c r="J5" s="464"/>
      <c r="K5" s="462" t="s">
        <v>53</v>
      </c>
      <c r="L5" s="463" t="s">
        <v>10</v>
      </c>
      <c r="M5" s="464"/>
      <c r="N5" s="464"/>
      <c r="O5" s="462" t="s">
        <v>53</v>
      </c>
      <c r="P5" s="463" t="s">
        <v>10</v>
      </c>
      <c r="Q5" s="465"/>
      <c r="R5" s="466"/>
    </row>
    <row r="6" spans="1:18" ht="14.4" customHeight="1" x14ac:dyDescent="0.3">
      <c r="A6" s="406" t="s">
        <v>463</v>
      </c>
      <c r="B6" s="407" t="s">
        <v>464</v>
      </c>
      <c r="C6" s="407" t="s">
        <v>271</v>
      </c>
      <c r="D6" s="407" t="s">
        <v>465</v>
      </c>
      <c r="E6" s="407" t="s">
        <v>466</v>
      </c>
      <c r="F6" s="407" t="s">
        <v>467</v>
      </c>
      <c r="G6" s="410"/>
      <c r="H6" s="410"/>
      <c r="I6" s="407"/>
      <c r="J6" s="407"/>
      <c r="K6" s="410"/>
      <c r="L6" s="410"/>
      <c r="M6" s="407"/>
      <c r="N6" s="407"/>
      <c r="O6" s="410">
        <v>0.2</v>
      </c>
      <c r="P6" s="410">
        <v>10.82</v>
      </c>
      <c r="Q6" s="467"/>
      <c r="R6" s="411">
        <v>54.1</v>
      </c>
    </row>
    <row r="7" spans="1:18" ht="14.4" customHeight="1" x14ac:dyDescent="0.3">
      <c r="A7" s="412" t="s">
        <v>463</v>
      </c>
      <c r="B7" s="413" t="s">
        <v>464</v>
      </c>
      <c r="C7" s="413" t="s">
        <v>271</v>
      </c>
      <c r="D7" s="413" t="s">
        <v>465</v>
      </c>
      <c r="E7" s="413" t="s">
        <v>468</v>
      </c>
      <c r="F7" s="413" t="s">
        <v>469</v>
      </c>
      <c r="G7" s="416"/>
      <c r="H7" s="416"/>
      <c r="I7" s="413"/>
      <c r="J7" s="413"/>
      <c r="K7" s="416"/>
      <c r="L7" s="416"/>
      <c r="M7" s="413"/>
      <c r="N7" s="413"/>
      <c r="O7" s="416">
        <v>0.2</v>
      </c>
      <c r="P7" s="416">
        <v>2.57</v>
      </c>
      <c r="Q7" s="468"/>
      <c r="R7" s="417">
        <v>12.849999999999998</v>
      </c>
    </row>
    <row r="8" spans="1:18" ht="14.4" customHeight="1" x14ac:dyDescent="0.3">
      <c r="A8" s="412" t="s">
        <v>463</v>
      </c>
      <c r="B8" s="413" t="s">
        <v>464</v>
      </c>
      <c r="C8" s="413" t="s">
        <v>271</v>
      </c>
      <c r="D8" s="413" t="s">
        <v>465</v>
      </c>
      <c r="E8" s="413" t="s">
        <v>470</v>
      </c>
      <c r="F8" s="413" t="s">
        <v>471</v>
      </c>
      <c r="G8" s="416"/>
      <c r="H8" s="416"/>
      <c r="I8" s="413"/>
      <c r="J8" s="413"/>
      <c r="K8" s="416"/>
      <c r="L8" s="416"/>
      <c r="M8" s="413"/>
      <c r="N8" s="413"/>
      <c r="O8" s="416">
        <v>0.1</v>
      </c>
      <c r="P8" s="416">
        <v>6.14</v>
      </c>
      <c r="Q8" s="468"/>
      <c r="R8" s="417">
        <v>61.399999999999991</v>
      </c>
    </row>
    <row r="9" spans="1:18" ht="14.4" customHeight="1" x14ac:dyDescent="0.3">
      <c r="A9" s="412" t="s">
        <v>463</v>
      </c>
      <c r="B9" s="413" t="s">
        <v>464</v>
      </c>
      <c r="C9" s="413" t="s">
        <v>271</v>
      </c>
      <c r="D9" s="413" t="s">
        <v>465</v>
      </c>
      <c r="E9" s="413" t="s">
        <v>472</v>
      </c>
      <c r="F9" s="413" t="s">
        <v>473</v>
      </c>
      <c r="G9" s="416"/>
      <c r="H9" s="416"/>
      <c r="I9" s="413"/>
      <c r="J9" s="413"/>
      <c r="K9" s="416"/>
      <c r="L9" s="416"/>
      <c r="M9" s="413"/>
      <c r="N9" s="413"/>
      <c r="O9" s="416">
        <v>0.2</v>
      </c>
      <c r="P9" s="416">
        <v>54.34</v>
      </c>
      <c r="Q9" s="468"/>
      <c r="R9" s="417">
        <v>271.7</v>
      </c>
    </row>
    <row r="10" spans="1:18" ht="14.4" customHeight="1" x14ac:dyDescent="0.3">
      <c r="A10" s="412" t="s">
        <v>463</v>
      </c>
      <c r="B10" s="413" t="s">
        <v>464</v>
      </c>
      <c r="C10" s="413" t="s">
        <v>271</v>
      </c>
      <c r="D10" s="413" t="s">
        <v>465</v>
      </c>
      <c r="E10" s="413" t="s">
        <v>474</v>
      </c>
      <c r="F10" s="413" t="s">
        <v>475</v>
      </c>
      <c r="G10" s="416"/>
      <c r="H10" s="416"/>
      <c r="I10" s="413"/>
      <c r="J10" s="413"/>
      <c r="K10" s="416"/>
      <c r="L10" s="416"/>
      <c r="M10" s="413"/>
      <c r="N10" s="413"/>
      <c r="O10" s="416">
        <v>2</v>
      </c>
      <c r="P10" s="416">
        <v>24.36</v>
      </c>
      <c r="Q10" s="468"/>
      <c r="R10" s="417">
        <v>12.18</v>
      </c>
    </row>
    <row r="11" spans="1:18" ht="14.4" customHeight="1" x14ac:dyDescent="0.3">
      <c r="A11" s="412" t="s">
        <v>463</v>
      </c>
      <c r="B11" s="413" t="s">
        <v>464</v>
      </c>
      <c r="C11" s="413" t="s">
        <v>271</v>
      </c>
      <c r="D11" s="413" t="s">
        <v>465</v>
      </c>
      <c r="E11" s="413" t="s">
        <v>476</v>
      </c>
      <c r="F11" s="413" t="s">
        <v>475</v>
      </c>
      <c r="G11" s="416"/>
      <c r="H11" s="416"/>
      <c r="I11" s="413"/>
      <c r="J11" s="413"/>
      <c r="K11" s="416"/>
      <c r="L11" s="416"/>
      <c r="M11" s="413"/>
      <c r="N11" s="413"/>
      <c r="O11" s="416">
        <v>5</v>
      </c>
      <c r="P11" s="416">
        <v>12.2</v>
      </c>
      <c r="Q11" s="468"/>
      <c r="R11" s="417">
        <v>2.44</v>
      </c>
    </row>
    <row r="12" spans="1:18" ht="14.4" customHeight="1" x14ac:dyDescent="0.3">
      <c r="A12" s="412" t="s">
        <v>463</v>
      </c>
      <c r="B12" s="413" t="s">
        <v>464</v>
      </c>
      <c r="C12" s="413" t="s">
        <v>271</v>
      </c>
      <c r="D12" s="413" t="s">
        <v>465</v>
      </c>
      <c r="E12" s="413" t="s">
        <v>477</v>
      </c>
      <c r="F12" s="413" t="s">
        <v>475</v>
      </c>
      <c r="G12" s="416"/>
      <c r="H12" s="416"/>
      <c r="I12" s="413"/>
      <c r="J12" s="413"/>
      <c r="K12" s="416"/>
      <c r="L12" s="416"/>
      <c r="M12" s="413"/>
      <c r="N12" s="413"/>
      <c r="O12" s="416">
        <v>2</v>
      </c>
      <c r="P12" s="416">
        <v>12.18</v>
      </c>
      <c r="Q12" s="468"/>
      <c r="R12" s="417">
        <v>6.09</v>
      </c>
    </row>
    <row r="13" spans="1:18" ht="14.4" customHeight="1" x14ac:dyDescent="0.3">
      <c r="A13" s="412" t="s">
        <v>463</v>
      </c>
      <c r="B13" s="413" t="s">
        <v>464</v>
      </c>
      <c r="C13" s="413" t="s">
        <v>271</v>
      </c>
      <c r="D13" s="413" t="s">
        <v>465</v>
      </c>
      <c r="E13" s="413" t="s">
        <v>478</v>
      </c>
      <c r="F13" s="413" t="s">
        <v>479</v>
      </c>
      <c r="G13" s="416"/>
      <c r="H13" s="416"/>
      <c r="I13" s="413"/>
      <c r="J13" s="413"/>
      <c r="K13" s="416"/>
      <c r="L13" s="416"/>
      <c r="M13" s="413"/>
      <c r="N13" s="413"/>
      <c r="O13" s="416">
        <v>2</v>
      </c>
      <c r="P13" s="416">
        <v>2237.8000000000002</v>
      </c>
      <c r="Q13" s="468"/>
      <c r="R13" s="417">
        <v>1118.9000000000001</v>
      </c>
    </row>
    <row r="14" spans="1:18" ht="14.4" customHeight="1" x14ac:dyDescent="0.3">
      <c r="A14" s="412" t="s">
        <v>463</v>
      </c>
      <c r="B14" s="413" t="s">
        <v>464</v>
      </c>
      <c r="C14" s="413" t="s">
        <v>271</v>
      </c>
      <c r="D14" s="413" t="s">
        <v>465</v>
      </c>
      <c r="E14" s="413" t="s">
        <v>480</v>
      </c>
      <c r="F14" s="413" t="s">
        <v>481</v>
      </c>
      <c r="G14" s="416"/>
      <c r="H14" s="416"/>
      <c r="I14" s="413"/>
      <c r="J14" s="413"/>
      <c r="K14" s="416"/>
      <c r="L14" s="416"/>
      <c r="M14" s="413"/>
      <c r="N14" s="413"/>
      <c r="O14" s="416">
        <v>0.1</v>
      </c>
      <c r="P14" s="416">
        <v>16.78</v>
      </c>
      <c r="Q14" s="468"/>
      <c r="R14" s="417">
        <v>167.8</v>
      </c>
    </row>
    <row r="15" spans="1:18" ht="14.4" customHeight="1" x14ac:dyDescent="0.3">
      <c r="A15" s="412" t="s">
        <v>463</v>
      </c>
      <c r="B15" s="413" t="s">
        <v>464</v>
      </c>
      <c r="C15" s="413" t="s">
        <v>271</v>
      </c>
      <c r="D15" s="413" t="s">
        <v>465</v>
      </c>
      <c r="E15" s="413" t="s">
        <v>482</v>
      </c>
      <c r="F15" s="413" t="s">
        <v>483</v>
      </c>
      <c r="G15" s="416"/>
      <c r="H15" s="416"/>
      <c r="I15" s="413"/>
      <c r="J15" s="413"/>
      <c r="K15" s="416"/>
      <c r="L15" s="416"/>
      <c r="M15" s="413"/>
      <c r="N15" s="413"/>
      <c r="O15" s="416">
        <v>0.1</v>
      </c>
      <c r="P15" s="416">
        <v>28.63</v>
      </c>
      <c r="Q15" s="468"/>
      <c r="R15" s="417">
        <v>286.29999999999995</v>
      </c>
    </row>
    <row r="16" spans="1:18" ht="14.4" customHeight="1" x14ac:dyDescent="0.3">
      <c r="A16" s="412" t="s">
        <v>463</v>
      </c>
      <c r="B16" s="413" t="s">
        <v>464</v>
      </c>
      <c r="C16" s="413" t="s">
        <v>271</v>
      </c>
      <c r="D16" s="413" t="s">
        <v>465</v>
      </c>
      <c r="E16" s="413" t="s">
        <v>484</v>
      </c>
      <c r="F16" s="413" t="s">
        <v>485</v>
      </c>
      <c r="G16" s="416"/>
      <c r="H16" s="416"/>
      <c r="I16" s="413"/>
      <c r="J16" s="413"/>
      <c r="K16" s="416"/>
      <c r="L16" s="416"/>
      <c r="M16" s="413"/>
      <c r="N16" s="413"/>
      <c r="O16" s="416">
        <v>2</v>
      </c>
      <c r="P16" s="416">
        <v>163.88</v>
      </c>
      <c r="Q16" s="468"/>
      <c r="R16" s="417">
        <v>81.94</v>
      </c>
    </row>
    <row r="17" spans="1:18" ht="14.4" customHeight="1" x14ac:dyDescent="0.3">
      <c r="A17" s="412" t="s">
        <v>463</v>
      </c>
      <c r="B17" s="413" t="s">
        <v>464</v>
      </c>
      <c r="C17" s="413" t="s">
        <v>271</v>
      </c>
      <c r="D17" s="413" t="s">
        <v>465</v>
      </c>
      <c r="E17" s="413" t="s">
        <v>486</v>
      </c>
      <c r="F17" s="413" t="s">
        <v>487</v>
      </c>
      <c r="G17" s="416"/>
      <c r="H17" s="416"/>
      <c r="I17" s="413"/>
      <c r="J17" s="413"/>
      <c r="K17" s="416"/>
      <c r="L17" s="416"/>
      <c r="M17" s="413"/>
      <c r="N17" s="413"/>
      <c r="O17" s="416">
        <v>1</v>
      </c>
      <c r="P17" s="416">
        <v>30633.14</v>
      </c>
      <c r="Q17" s="468"/>
      <c r="R17" s="417">
        <v>30633.14</v>
      </c>
    </row>
    <row r="18" spans="1:18" ht="14.4" customHeight="1" x14ac:dyDescent="0.3">
      <c r="A18" s="412" t="s">
        <v>463</v>
      </c>
      <c r="B18" s="413" t="s">
        <v>464</v>
      </c>
      <c r="C18" s="413" t="s">
        <v>271</v>
      </c>
      <c r="D18" s="413" t="s">
        <v>465</v>
      </c>
      <c r="E18" s="413" t="s">
        <v>488</v>
      </c>
      <c r="F18" s="413" t="s">
        <v>489</v>
      </c>
      <c r="G18" s="416"/>
      <c r="H18" s="416"/>
      <c r="I18" s="413"/>
      <c r="J18" s="413"/>
      <c r="K18" s="416"/>
      <c r="L18" s="416"/>
      <c r="M18" s="413"/>
      <c r="N18" s="413"/>
      <c r="O18" s="416">
        <v>1</v>
      </c>
      <c r="P18" s="416">
        <v>344401.64</v>
      </c>
      <c r="Q18" s="468"/>
      <c r="R18" s="417">
        <v>344401.64</v>
      </c>
    </row>
    <row r="19" spans="1:18" ht="14.4" customHeight="1" x14ac:dyDescent="0.3">
      <c r="A19" s="412" t="s">
        <v>463</v>
      </c>
      <c r="B19" s="413" t="s">
        <v>464</v>
      </c>
      <c r="C19" s="413" t="s">
        <v>271</v>
      </c>
      <c r="D19" s="413" t="s">
        <v>490</v>
      </c>
      <c r="E19" s="413" t="s">
        <v>491</v>
      </c>
      <c r="F19" s="413" t="s">
        <v>492</v>
      </c>
      <c r="G19" s="416"/>
      <c r="H19" s="416"/>
      <c r="I19" s="413"/>
      <c r="J19" s="413"/>
      <c r="K19" s="416"/>
      <c r="L19" s="416"/>
      <c r="M19" s="413"/>
      <c r="N19" s="413"/>
      <c r="O19" s="416">
        <v>8</v>
      </c>
      <c r="P19" s="416">
        <v>1176</v>
      </c>
      <c r="Q19" s="468"/>
      <c r="R19" s="417">
        <v>147</v>
      </c>
    </row>
    <row r="20" spans="1:18" ht="14.4" customHeight="1" x14ac:dyDescent="0.3">
      <c r="A20" s="412" t="s">
        <v>463</v>
      </c>
      <c r="B20" s="413" t="s">
        <v>464</v>
      </c>
      <c r="C20" s="413" t="s">
        <v>271</v>
      </c>
      <c r="D20" s="413" t="s">
        <v>490</v>
      </c>
      <c r="E20" s="413" t="s">
        <v>493</v>
      </c>
      <c r="F20" s="413" t="s">
        <v>494</v>
      </c>
      <c r="G20" s="416">
        <v>151</v>
      </c>
      <c r="H20" s="416">
        <v>5285</v>
      </c>
      <c r="I20" s="413">
        <v>0.61303793063449719</v>
      </c>
      <c r="J20" s="413">
        <v>35</v>
      </c>
      <c r="K20" s="416">
        <v>233</v>
      </c>
      <c r="L20" s="416">
        <v>8621</v>
      </c>
      <c r="M20" s="413">
        <v>1</v>
      </c>
      <c r="N20" s="413">
        <v>37</v>
      </c>
      <c r="O20" s="416">
        <v>285</v>
      </c>
      <c r="P20" s="416">
        <v>10545</v>
      </c>
      <c r="Q20" s="468">
        <v>1.2231759656652361</v>
      </c>
      <c r="R20" s="417">
        <v>37</v>
      </c>
    </row>
    <row r="21" spans="1:18" ht="14.4" customHeight="1" x14ac:dyDescent="0.3">
      <c r="A21" s="412" t="s">
        <v>463</v>
      </c>
      <c r="B21" s="413" t="s">
        <v>464</v>
      </c>
      <c r="C21" s="413" t="s">
        <v>271</v>
      </c>
      <c r="D21" s="413" t="s">
        <v>490</v>
      </c>
      <c r="E21" s="413" t="s">
        <v>495</v>
      </c>
      <c r="F21" s="413" t="s">
        <v>496</v>
      </c>
      <c r="G21" s="416"/>
      <c r="H21" s="416"/>
      <c r="I21" s="413"/>
      <c r="J21" s="413"/>
      <c r="K21" s="416"/>
      <c r="L21" s="416"/>
      <c r="M21" s="413"/>
      <c r="N21" s="413"/>
      <c r="O21" s="416">
        <v>1</v>
      </c>
      <c r="P21" s="416">
        <v>0</v>
      </c>
      <c r="Q21" s="468"/>
      <c r="R21" s="417">
        <v>0</v>
      </c>
    </row>
    <row r="22" spans="1:18" ht="14.4" customHeight="1" x14ac:dyDescent="0.3">
      <c r="A22" s="412" t="s">
        <v>463</v>
      </c>
      <c r="B22" s="413" t="s">
        <v>464</v>
      </c>
      <c r="C22" s="413" t="s">
        <v>271</v>
      </c>
      <c r="D22" s="413" t="s">
        <v>490</v>
      </c>
      <c r="E22" s="413" t="s">
        <v>497</v>
      </c>
      <c r="F22" s="413" t="s">
        <v>498</v>
      </c>
      <c r="G22" s="416">
        <v>80</v>
      </c>
      <c r="H22" s="416">
        <v>35040</v>
      </c>
      <c r="I22" s="413">
        <v>0.7471215351812367</v>
      </c>
      <c r="J22" s="413">
        <v>438</v>
      </c>
      <c r="K22" s="416">
        <v>100</v>
      </c>
      <c r="L22" s="416">
        <v>46900</v>
      </c>
      <c r="M22" s="413">
        <v>1</v>
      </c>
      <c r="N22" s="413">
        <v>469</v>
      </c>
      <c r="O22" s="416">
        <v>128</v>
      </c>
      <c r="P22" s="416">
        <v>60160</v>
      </c>
      <c r="Q22" s="468">
        <v>1.28272921108742</v>
      </c>
      <c r="R22" s="417">
        <v>470</v>
      </c>
    </row>
    <row r="23" spans="1:18" ht="14.4" customHeight="1" x14ac:dyDescent="0.3">
      <c r="A23" s="412" t="s">
        <v>463</v>
      </c>
      <c r="B23" s="413" t="s">
        <v>464</v>
      </c>
      <c r="C23" s="413" t="s">
        <v>271</v>
      </c>
      <c r="D23" s="413" t="s">
        <v>490</v>
      </c>
      <c r="E23" s="413" t="s">
        <v>499</v>
      </c>
      <c r="F23" s="413" t="s">
        <v>500</v>
      </c>
      <c r="G23" s="416">
        <v>83</v>
      </c>
      <c r="H23" s="416">
        <v>1800.0000000000002</v>
      </c>
      <c r="I23" s="413">
        <v>0.45762634300619831</v>
      </c>
      <c r="J23" s="413">
        <v>21.68674698795181</v>
      </c>
      <c r="K23" s="416">
        <v>118</v>
      </c>
      <c r="L23" s="416">
        <v>3933.34</v>
      </c>
      <c r="M23" s="413">
        <v>1</v>
      </c>
      <c r="N23" s="413">
        <v>33.333389830508473</v>
      </c>
      <c r="O23" s="416">
        <v>145</v>
      </c>
      <c r="P23" s="416">
        <v>4833.33</v>
      </c>
      <c r="Q23" s="468">
        <v>1.2288106291345269</v>
      </c>
      <c r="R23" s="417">
        <v>33.333310344827588</v>
      </c>
    </row>
    <row r="24" spans="1:18" ht="14.4" customHeight="1" x14ac:dyDescent="0.3">
      <c r="A24" s="412" t="s">
        <v>463</v>
      </c>
      <c r="B24" s="413" t="s">
        <v>464</v>
      </c>
      <c r="C24" s="413" t="s">
        <v>271</v>
      </c>
      <c r="D24" s="413" t="s">
        <v>490</v>
      </c>
      <c r="E24" s="413" t="s">
        <v>501</v>
      </c>
      <c r="F24" s="413" t="s">
        <v>502</v>
      </c>
      <c r="G24" s="416">
        <v>25</v>
      </c>
      <c r="H24" s="416">
        <v>900</v>
      </c>
      <c r="I24" s="413">
        <v>0.38610038610038611</v>
      </c>
      <c r="J24" s="413">
        <v>36</v>
      </c>
      <c r="K24" s="416">
        <v>63</v>
      </c>
      <c r="L24" s="416">
        <v>2331</v>
      </c>
      <c r="M24" s="413">
        <v>1</v>
      </c>
      <c r="N24" s="413">
        <v>37</v>
      </c>
      <c r="O24" s="416">
        <v>27</v>
      </c>
      <c r="P24" s="416">
        <v>999</v>
      </c>
      <c r="Q24" s="468">
        <v>0.42857142857142855</v>
      </c>
      <c r="R24" s="417">
        <v>37</v>
      </c>
    </row>
    <row r="25" spans="1:18" ht="14.4" customHeight="1" x14ac:dyDescent="0.3">
      <c r="A25" s="412" t="s">
        <v>463</v>
      </c>
      <c r="B25" s="413" t="s">
        <v>464</v>
      </c>
      <c r="C25" s="413" t="s">
        <v>271</v>
      </c>
      <c r="D25" s="413" t="s">
        <v>490</v>
      </c>
      <c r="E25" s="413" t="s">
        <v>503</v>
      </c>
      <c r="F25" s="413" t="s">
        <v>504</v>
      </c>
      <c r="G25" s="416">
        <v>19</v>
      </c>
      <c r="H25" s="416">
        <v>2375</v>
      </c>
      <c r="I25" s="413"/>
      <c r="J25" s="413">
        <v>125</v>
      </c>
      <c r="K25" s="416"/>
      <c r="L25" s="416"/>
      <c r="M25" s="413"/>
      <c r="N25" s="413"/>
      <c r="O25" s="416"/>
      <c r="P25" s="416"/>
      <c r="Q25" s="468"/>
      <c r="R25" s="417"/>
    </row>
    <row r="26" spans="1:18" ht="14.4" customHeight="1" x14ac:dyDescent="0.3">
      <c r="A26" s="412" t="s">
        <v>463</v>
      </c>
      <c r="B26" s="413" t="s">
        <v>464</v>
      </c>
      <c r="C26" s="413" t="s">
        <v>271</v>
      </c>
      <c r="D26" s="413" t="s">
        <v>490</v>
      </c>
      <c r="E26" s="413" t="s">
        <v>505</v>
      </c>
      <c r="F26" s="413" t="s">
        <v>506</v>
      </c>
      <c r="G26" s="416">
        <v>2</v>
      </c>
      <c r="H26" s="416">
        <v>1306</v>
      </c>
      <c r="I26" s="413"/>
      <c r="J26" s="413">
        <v>653</v>
      </c>
      <c r="K26" s="416"/>
      <c r="L26" s="416"/>
      <c r="M26" s="413"/>
      <c r="N26" s="413"/>
      <c r="O26" s="416"/>
      <c r="P26" s="416"/>
      <c r="Q26" s="468"/>
      <c r="R26" s="417"/>
    </row>
    <row r="27" spans="1:18" ht="14.4" customHeight="1" x14ac:dyDescent="0.3">
      <c r="A27" s="412" t="s">
        <v>463</v>
      </c>
      <c r="B27" s="413" t="s">
        <v>464</v>
      </c>
      <c r="C27" s="413" t="s">
        <v>271</v>
      </c>
      <c r="D27" s="413" t="s">
        <v>490</v>
      </c>
      <c r="E27" s="413" t="s">
        <v>507</v>
      </c>
      <c r="F27" s="413" t="s">
        <v>508</v>
      </c>
      <c r="G27" s="416">
        <v>5</v>
      </c>
      <c r="H27" s="416">
        <v>1095</v>
      </c>
      <c r="I27" s="413">
        <v>0.24524076147816348</v>
      </c>
      <c r="J27" s="413">
        <v>219</v>
      </c>
      <c r="K27" s="416">
        <v>19</v>
      </c>
      <c r="L27" s="416">
        <v>4465</v>
      </c>
      <c r="M27" s="413">
        <v>1</v>
      </c>
      <c r="N27" s="413">
        <v>235</v>
      </c>
      <c r="O27" s="416">
        <v>21</v>
      </c>
      <c r="P27" s="416">
        <v>4935</v>
      </c>
      <c r="Q27" s="468">
        <v>1.1052631578947369</v>
      </c>
      <c r="R27" s="417">
        <v>235</v>
      </c>
    </row>
    <row r="28" spans="1:18" ht="14.4" customHeight="1" x14ac:dyDescent="0.3">
      <c r="A28" s="412" t="s">
        <v>463</v>
      </c>
      <c r="B28" s="413" t="s">
        <v>464</v>
      </c>
      <c r="C28" s="413" t="s">
        <v>271</v>
      </c>
      <c r="D28" s="413" t="s">
        <v>490</v>
      </c>
      <c r="E28" s="413" t="s">
        <v>509</v>
      </c>
      <c r="F28" s="413" t="s">
        <v>510</v>
      </c>
      <c r="G28" s="416">
        <v>1</v>
      </c>
      <c r="H28" s="416">
        <v>70</v>
      </c>
      <c r="I28" s="413"/>
      <c r="J28" s="413">
        <v>70</v>
      </c>
      <c r="K28" s="416"/>
      <c r="L28" s="416"/>
      <c r="M28" s="413"/>
      <c r="N28" s="413"/>
      <c r="O28" s="416"/>
      <c r="P28" s="416"/>
      <c r="Q28" s="468"/>
      <c r="R28" s="417"/>
    </row>
    <row r="29" spans="1:18" ht="14.4" customHeight="1" x14ac:dyDescent="0.3">
      <c r="A29" s="412" t="s">
        <v>463</v>
      </c>
      <c r="B29" s="413" t="s">
        <v>464</v>
      </c>
      <c r="C29" s="413" t="s">
        <v>271</v>
      </c>
      <c r="D29" s="413" t="s">
        <v>490</v>
      </c>
      <c r="E29" s="413" t="s">
        <v>511</v>
      </c>
      <c r="F29" s="413" t="s">
        <v>512</v>
      </c>
      <c r="G29" s="416"/>
      <c r="H29" s="416"/>
      <c r="I29" s="413"/>
      <c r="J29" s="413"/>
      <c r="K29" s="416">
        <v>19</v>
      </c>
      <c r="L29" s="416">
        <v>1121</v>
      </c>
      <c r="M29" s="413">
        <v>1</v>
      </c>
      <c r="N29" s="413">
        <v>59</v>
      </c>
      <c r="O29" s="416">
        <v>10</v>
      </c>
      <c r="P29" s="416">
        <v>590</v>
      </c>
      <c r="Q29" s="468">
        <v>0.52631578947368418</v>
      </c>
      <c r="R29" s="417">
        <v>59</v>
      </c>
    </row>
    <row r="30" spans="1:18" ht="14.4" customHeight="1" x14ac:dyDescent="0.3">
      <c r="A30" s="412" t="s">
        <v>463</v>
      </c>
      <c r="B30" s="413" t="s">
        <v>464</v>
      </c>
      <c r="C30" s="413" t="s">
        <v>271</v>
      </c>
      <c r="D30" s="413" t="s">
        <v>490</v>
      </c>
      <c r="E30" s="413" t="s">
        <v>513</v>
      </c>
      <c r="F30" s="413" t="s">
        <v>514</v>
      </c>
      <c r="G30" s="416">
        <v>1036</v>
      </c>
      <c r="H30" s="416">
        <v>271432</v>
      </c>
      <c r="I30" s="413">
        <v>0.88547008547008543</v>
      </c>
      <c r="J30" s="413">
        <v>262</v>
      </c>
      <c r="K30" s="416">
        <v>1170</v>
      </c>
      <c r="L30" s="416">
        <v>306540</v>
      </c>
      <c r="M30" s="413">
        <v>1</v>
      </c>
      <c r="N30" s="413">
        <v>262</v>
      </c>
      <c r="O30" s="416">
        <v>2011</v>
      </c>
      <c r="P30" s="416">
        <v>526882</v>
      </c>
      <c r="Q30" s="468">
        <v>1.7188034188034189</v>
      </c>
      <c r="R30" s="417">
        <v>262</v>
      </c>
    </row>
    <row r="31" spans="1:18" ht="14.4" customHeight="1" x14ac:dyDescent="0.3">
      <c r="A31" s="412" t="s">
        <v>463</v>
      </c>
      <c r="B31" s="413" t="s">
        <v>464</v>
      </c>
      <c r="C31" s="413" t="s">
        <v>271</v>
      </c>
      <c r="D31" s="413" t="s">
        <v>490</v>
      </c>
      <c r="E31" s="413" t="s">
        <v>515</v>
      </c>
      <c r="F31" s="413" t="s">
        <v>516</v>
      </c>
      <c r="G31" s="416">
        <v>93</v>
      </c>
      <c r="H31" s="416">
        <v>333498</v>
      </c>
      <c r="I31" s="413">
        <v>0.57407407407407407</v>
      </c>
      <c r="J31" s="413">
        <v>3586</v>
      </c>
      <c r="K31" s="416">
        <v>162</v>
      </c>
      <c r="L31" s="416">
        <v>580932</v>
      </c>
      <c r="M31" s="413">
        <v>1</v>
      </c>
      <c r="N31" s="413">
        <v>3586</v>
      </c>
      <c r="O31" s="416">
        <v>423</v>
      </c>
      <c r="P31" s="416">
        <v>1516878</v>
      </c>
      <c r="Q31" s="468">
        <v>2.6111111111111112</v>
      </c>
      <c r="R31" s="417">
        <v>3586</v>
      </c>
    </row>
    <row r="32" spans="1:18" ht="14.4" customHeight="1" x14ac:dyDescent="0.3">
      <c r="A32" s="412" t="s">
        <v>463</v>
      </c>
      <c r="B32" s="413" t="s">
        <v>464</v>
      </c>
      <c r="C32" s="413" t="s">
        <v>271</v>
      </c>
      <c r="D32" s="413" t="s">
        <v>490</v>
      </c>
      <c r="E32" s="413" t="s">
        <v>517</v>
      </c>
      <c r="F32" s="413" t="s">
        <v>516</v>
      </c>
      <c r="G32" s="416">
        <v>3</v>
      </c>
      <c r="H32" s="416">
        <v>15600</v>
      </c>
      <c r="I32" s="413"/>
      <c r="J32" s="413">
        <v>5200</v>
      </c>
      <c r="K32" s="416"/>
      <c r="L32" s="416"/>
      <c r="M32" s="413"/>
      <c r="N32" s="413"/>
      <c r="O32" s="416"/>
      <c r="P32" s="416"/>
      <c r="Q32" s="468"/>
      <c r="R32" s="417"/>
    </row>
    <row r="33" spans="1:18" ht="14.4" customHeight="1" x14ac:dyDescent="0.3">
      <c r="A33" s="412" t="s">
        <v>463</v>
      </c>
      <c r="B33" s="413" t="s">
        <v>464</v>
      </c>
      <c r="C33" s="413" t="s">
        <v>518</v>
      </c>
      <c r="D33" s="413" t="s">
        <v>465</v>
      </c>
      <c r="E33" s="413" t="s">
        <v>486</v>
      </c>
      <c r="F33" s="413" t="s">
        <v>519</v>
      </c>
      <c r="G33" s="416"/>
      <c r="H33" s="416"/>
      <c r="I33" s="413"/>
      <c r="J33" s="413"/>
      <c r="K33" s="416"/>
      <c r="L33" s="416"/>
      <c r="M33" s="413"/>
      <c r="N33" s="413"/>
      <c r="O33" s="416">
        <v>0</v>
      </c>
      <c r="P33" s="416">
        <v>0</v>
      </c>
      <c r="Q33" s="468"/>
      <c r="R33" s="417"/>
    </row>
    <row r="34" spans="1:18" ht="14.4" customHeight="1" x14ac:dyDescent="0.3">
      <c r="A34" s="412" t="s">
        <v>463</v>
      </c>
      <c r="B34" s="413" t="s">
        <v>464</v>
      </c>
      <c r="C34" s="413" t="s">
        <v>518</v>
      </c>
      <c r="D34" s="413" t="s">
        <v>465</v>
      </c>
      <c r="E34" s="413" t="s">
        <v>488</v>
      </c>
      <c r="F34" s="413" t="s">
        <v>520</v>
      </c>
      <c r="G34" s="416"/>
      <c r="H34" s="416"/>
      <c r="I34" s="413"/>
      <c r="J34" s="413"/>
      <c r="K34" s="416"/>
      <c r="L34" s="416"/>
      <c r="M34" s="413"/>
      <c r="N34" s="413"/>
      <c r="O34" s="416">
        <v>0</v>
      </c>
      <c r="P34" s="416">
        <v>0</v>
      </c>
      <c r="Q34" s="468"/>
      <c r="R34" s="417"/>
    </row>
    <row r="35" spans="1:18" ht="14.4" customHeight="1" x14ac:dyDescent="0.3">
      <c r="A35" s="412" t="s">
        <v>463</v>
      </c>
      <c r="B35" s="413" t="s">
        <v>521</v>
      </c>
      <c r="C35" s="413" t="s">
        <v>271</v>
      </c>
      <c r="D35" s="413" t="s">
        <v>490</v>
      </c>
      <c r="E35" s="413" t="s">
        <v>522</v>
      </c>
      <c r="F35" s="413" t="s">
        <v>523</v>
      </c>
      <c r="G35" s="416">
        <v>31</v>
      </c>
      <c r="H35" s="416">
        <v>7285</v>
      </c>
      <c r="I35" s="413">
        <v>29.023904382470121</v>
      </c>
      <c r="J35" s="413">
        <v>235</v>
      </c>
      <c r="K35" s="416">
        <v>1</v>
      </c>
      <c r="L35" s="416">
        <v>251</v>
      </c>
      <c r="M35" s="413">
        <v>1</v>
      </c>
      <c r="N35" s="413">
        <v>251</v>
      </c>
      <c r="O35" s="416"/>
      <c r="P35" s="416"/>
      <c r="Q35" s="468"/>
      <c r="R35" s="417"/>
    </row>
    <row r="36" spans="1:18" ht="14.4" customHeight="1" x14ac:dyDescent="0.3">
      <c r="A36" s="412" t="s">
        <v>463</v>
      </c>
      <c r="B36" s="413" t="s">
        <v>521</v>
      </c>
      <c r="C36" s="413" t="s">
        <v>271</v>
      </c>
      <c r="D36" s="413" t="s">
        <v>490</v>
      </c>
      <c r="E36" s="413" t="s">
        <v>499</v>
      </c>
      <c r="F36" s="413" t="s">
        <v>500</v>
      </c>
      <c r="G36" s="416">
        <v>31</v>
      </c>
      <c r="H36" s="416">
        <v>366.67</v>
      </c>
      <c r="I36" s="413"/>
      <c r="J36" s="413">
        <v>11.828064516129032</v>
      </c>
      <c r="K36" s="416"/>
      <c r="L36" s="416"/>
      <c r="M36" s="413"/>
      <c r="N36" s="413"/>
      <c r="O36" s="416"/>
      <c r="P36" s="416"/>
      <c r="Q36" s="468"/>
      <c r="R36" s="417"/>
    </row>
    <row r="37" spans="1:18" ht="14.4" customHeight="1" x14ac:dyDescent="0.3">
      <c r="A37" s="412" t="s">
        <v>463</v>
      </c>
      <c r="B37" s="413" t="s">
        <v>524</v>
      </c>
      <c r="C37" s="413" t="s">
        <v>260</v>
      </c>
      <c r="D37" s="413" t="s">
        <v>490</v>
      </c>
      <c r="E37" s="413" t="s">
        <v>525</v>
      </c>
      <c r="F37" s="413" t="s">
        <v>526</v>
      </c>
      <c r="G37" s="416">
        <v>19</v>
      </c>
      <c r="H37" s="416">
        <v>6498</v>
      </c>
      <c r="I37" s="413"/>
      <c r="J37" s="413">
        <v>342</v>
      </c>
      <c r="K37" s="416"/>
      <c r="L37" s="416"/>
      <c r="M37" s="413"/>
      <c r="N37" s="413"/>
      <c r="O37" s="416"/>
      <c r="P37" s="416"/>
      <c r="Q37" s="468"/>
      <c r="R37" s="417"/>
    </row>
    <row r="38" spans="1:18" ht="14.4" customHeight="1" x14ac:dyDescent="0.3">
      <c r="A38" s="412" t="s">
        <v>463</v>
      </c>
      <c r="B38" s="413" t="s">
        <v>524</v>
      </c>
      <c r="C38" s="413" t="s">
        <v>260</v>
      </c>
      <c r="D38" s="413" t="s">
        <v>490</v>
      </c>
      <c r="E38" s="413" t="s">
        <v>493</v>
      </c>
      <c r="F38" s="413" t="s">
        <v>494</v>
      </c>
      <c r="G38" s="416">
        <v>3</v>
      </c>
      <c r="H38" s="416">
        <v>105</v>
      </c>
      <c r="I38" s="413"/>
      <c r="J38" s="413">
        <v>35</v>
      </c>
      <c r="K38" s="416"/>
      <c r="L38" s="416"/>
      <c r="M38" s="413"/>
      <c r="N38" s="413"/>
      <c r="O38" s="416"/>
      <c r="P38" s="416"/>
      <c r="Q38" s="468"/>
      <c r="R38" s="417"/>
    </row>
    <row r="39" spans="1:18" ht="14.4" customHeight="1" x14ac:dyDescent="0.3">
      <c r="A39" s="412" t="s">
        <v>463</v>
      </c>
      <c r="B39" s="413" t="s">
        <v>524</v>
      </c>
      <c r="C39" s="413" t="s">
        <v>260</v>
      </c>
      <c r="D39" s="413" t="s">
        <v>490</v>
      </c>
      <c r="E39" s="413" t="s">
        <v>527</v>
      </c>
      <c r="F39" s="413" t="s">
        <v>528</v>
      </c>
      <c r="G39" s="416">
        <v>67</v>
      </c>
      <c r="H39" s="416">
        <v>15745</v>
      </c>
      <c r="I39" s="413"/>
      <c r="J39" s="413">
        <v>235</v>
      </c>
      <c r="K39" s="416"/>
      <c r="L39" s="416"/>
      <c r="M39" s="413"/>
      <c r="N39" s="413"/>
      <c r="O39" s="416"/>
      <c r="P39" s="416"/>
      <c r="Q39" s="468"/>
      <c r="R39" s="417"/>
    </row>
    <row r="40" spans="1:18" ht="14.4" customHeight="1" x14ac:dyDescent="0.3">
      <c r="A40" s="412" t="s">
        <v>463</v>
      </c>
      <c r="B40" s="413" t="s">
        <v>524</v>
      </c>
      <c r="C40" s="413" t="s">
        <v>260</v>
      </c>
      <c r="D40" s="413" t="s">
        <v>490</v>
      </c>
      <c r="E40" s="413" t="s">
        <v>529</v>
      </c>
      <c r="F40" s="413" t="s">
        <v>530</v>
      </c>
      <c r="G40" s="416">
        <v>16</v>
      </c>
      <c r="H40" s="416">
        <v>1568</v>
      </c>
      <c r="I40" s="413"/>
      <c r="J40" s="413">
        <v>98</v>
      </c>
      <c r="K40" s="416"/>
      <c r="L40" s="416"/>
      <c r="M40" s="413"/>
      <c r="N40" s="413"/>
      <c r="O40" s="416"/>
      <c r="P40" s="416"/>
      <c r="Q40" s="468"/>
      <c r="R40" s="417"/>
    </row>
    <row r="41" spans="1:18" ht="14.4" customHeight="1" x14ac:dyDescent="0.3">
      <c r="A41" s="412" t="s">
        <v>463</v>
      </c>
      <c r="B41" s="413" t="s">
        <v>524</v>
      </c>
      <c r="C41" s="413" t="s">
        <v>260</v>
      </c>
      <c r="D41" s="413" t="s">
        <v>490</v>
      </c>
      <c r="E41" s="413" t="s">
        <v>513</v>
      </c>
      <c r="F41" s="413" t="s">
        <v>514</v>
      </c>
      <c r="G41" s="416">
        <v>711</v>
      </c>
      <c r="H41" s="416">
        <v>186282</v>
      </c>
      <c r="I41" s="413"/>
      <c r="J41" s="413">
        <v>262</v>
      </c>
      <c r="K41" s="416"/>
      <c r="L41" s="416"/>
      <c r="M41" s="413"/>
      <c r="N41" s="413"/>
      <c r="O41" s="416"/>
      <c r="P41" s="416"/>
      <c r="Q41" s="468"/>
      <c r="R41" s="417"/>
    </row>
    <row r="42" spans="1:18" ht="14.4" customHeight="1" x14ac:dyDescent="0.3">
      <c r="A42" s="412" t="s">
        <v>463</v>
      </c>
      <c r="B42" s="413" t="s">
        <v>524</v>
      </c>
      <c r="C42" s="413" t="s">
        <v>260</v>
      </c>
      <c r="D42" s="413" t="s">
        <v>490</v>
      </c>
      <c r="E42" s="413" t="s">
        <v>515</v>
      </c>
      <c r="F42" s="413" t="s">
        <v>516</v>
      </c>
      <c r="G42" s="416">
        <v>62</v>
      </c>
      <c r="H42" s="416">
        <v>222332</v>
      </c>
      <c r="I42" s="413"/>
      <c r="J42" s="413">
        <v>3586</v>
      </c>
      <c r="K42" s="416"/>
      <c r="L42" s="416"/>
      <c r="M42" s="413"/>
      <c r="N42" s="413"/>
      <c r="O42" s="416"/>
      <c r="P42" s="416"/>
      <c r="Q42" s="468"/>
      <c r="R42" s="417"/>
    </row>
    <row r="43" spans="1:18" ht="14.4" customHeight="1" thickBot="1" x14ac:dyDescent="0.35">
      <c r="A43" s="418" t="s">
        <v>463</v>
      </c>
      <c r="B43" s="419" t="s">
        <v>524</v>
      </c>
      <c r="C43" s="419" t="s">
        <v>260</v>
      </c>
      <c r="D43" s="419" t="s">
        <v>490</v>
      </c>
      <c r="E43" s="419" t="s">
        <v>531</v>
      </c>
      <c r="F43" s="419" t="s">
        <v>532</v>
      </c>
      <c r="G43" s="422">
        <v>4</v>
      </c>
      <c r="H43" s="422">
        <v>824</v>
      </c>
      <c r="I43" s="419"/>
      <c r="J43" s="419">
        <v>206</v>
      </c>
      <c r="K43" s="422"/>
      <c r="L43" s="422"/>
      <c r="M43" s="419"/>
      <c r="N43" s="419"/>
      <c r="O43" s="422"/>
      <c r="P43" s="422"/>
      <c r="Q43" s="469"/>
      <c r="R43" s="423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9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72" t="s">
        <v>534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4.4" customHeight="1" thickBot="1" x14ac:dyDescent="0.35">
      <c r="A2" s="199" t="s">
        <v>202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" customHeight="1" thickBot="1" x14ac:dyDescent="0.35">
      <c r="G3" s="63" t="s">
        <v>105</v>
      </c>
      <c r="H3" s="77">
        <f t="shared" ref="H3:Q3" si="0">SUBTOTAL(9,H6:H1048576)</f>
        <v>2442</v>
      </c>
      <c r="I3" s="78">
        <f t="shared" si="0"/>
        <v>1109406.67</v>
      </c>
      <c r="J3" s="58"/>
      <c r="K3" s="58"/>
      <c r="L3" s="78">
        <f t="shared" si="0"/>
        <v>1885</v>
      </c>
      <c r="M3" s="78">
        <f t="shared" si="0"/>
        <v>955094.34</v>
      </c>
      <c r="N3" s="58"/>
      <c r="O3" s="58"/>
      <c r="P3" s="78">
        <f t="shared" si="0"/>
        <v>3074.9</v>
      </c>
      <c r="Q3" s="78">
        <f t="shared" si="0"/>
        <v>2504602.81</v>
      </c>
      <c r="R3" s="59">
        <f>IF(M3=0,0,Q3/M3)</f>
        <v>2.6223616925632709</v>
      </c>
      <c r="S3" s="79">
        <f>IF(P3=0,0,Q3/P3)</f>
        <v>814.53146769000614</v>
      </c>
    </row>
    <row r="4" spans="1:19" ht="14.4" customHeight="1" x14ac:dyDescent="0.3">
      <c r="A4" s="355" t="s">
        <v>166</v>
      </c>
      <c r="B4" s="355" t="s">
        <v>76</v>
      </c>
      <c r="C4" s="363" t="s">
        <v>0</v>
      </c>
      <c r="D4" s="222" t="s">
        <v>106</v>
      </c>
      <c r="E4" s="357" t="s">
        <v>77</v>
      </c>
      <c r="F4" s="362" t="s">
        <v>52</v>
      </c>
      <c r="G4" s="358" t="s">
        <v>51</v>
      </c>
      <c r="H4" s="359">
        <v>2015</v>
      </c>
      <c r="I4" s="360"/>
      <c r="J4" s="76"/>
      <c r="K4" s="76"/>
      <c r="L4" s="359">
        <v>2016</v>
      </c>
      <c r="M4" s="360"/>
      <c r="N4" s="76"/>
      <c r="O4" s="76"/>
      <c r="P4" s="359">
        <v>2017</v>
      </c>
      <c r="Q4" s="360"/>
      <c r="R4" s="361" t="s">
        <v>2</v>
      </c>
      <c r="S4" s="356" t="s">
        <v>79</v>
      </c>
    </row>
    <row r="5" spans="1:19" ht="14.4" customHeight="1" thickBot="1" x14ac:dyDescent="0.35">
      <c r="A5" s="457"/>
      <c r="B5" s="457"/>
      <c r="C5" s="458"/>
      <c r="D5" s="470"/>
      <c r="E5" s="459"/>
      <c r="F5" s="460"/>
      <c r="G5" s="461"/>
      <c r="H5" s="462" t="s">
        <v>53</v>
      </c>
      <c r="I5" s="463" t="s">
        <v>10</v>
      </c>
      <c r="J5" s="464"/>
      <c r="K5" s="464"/>
      <c r="L5" s="462" t="s">
        <v>53</v>
      </c>
      <c r="M5" s="463" t="s">
        <v>10</v>
      </c>
      <c r="N5" s="464"/>
      <c r="O5" s="464"/>
      <c r="P5" s="462" t="s">
        <v>53</v>
      </c>
      <c r="Q5" s="463" t="s">
        <v>10</v>
      </c>
      <c r="R5" s="465"/>
      <c r="S5" s="466"/>
    </row>
    <row r="6" spans="1:19" ht="14.4" customHeight="1" x14ac:dyDescent="0.3">
      <c r="A6" s="406" t="s">
        <v>463</v>
      </c>
      <c r="B6" s="407" t="s">
        <v>464</v>
      </c>
      <c r="C6" s="407" t="s">
        <v>271</v>
      </c>
      <c r="D6" s="407" t="s">
        <v>442</v>
      </c>
      <c r="E6" s="407" t="s">
        <v>490</v>
      </c>
      <c r="F6" s="407" t="s">
        <v>501</v>
      </c>
      <c r="G6" s="407" t="s">
        <v>502</v>
      </c>
      <c r="H6" s="410">
        <v>1</v>
      </c>
      <c r="I6" s="410">
        <v>36</v>
      </c>
      <c r="J6" s="407">
        <v>3.8918918918918917E-2</v>
      </c>
      <c r="K6" s="407">
        <v>36</v>
      </c>
      <c r="L6" s="410">
        <v>25</v>
      </c>
      <c r="M6" s="410">
        <v>925</v>
      </c>
      <c r="N6" s="407">
        <v>1</v>
      </c>
      <c r="O6" s="407">
        <v>37</v>
      </c>
      <c r="P6" s="410">
        <v>1</v>
      </c>
      <c r="Q6" s="410">
        <v>37</v>
      </c>
      <c r="R6" s="467">
        <v>0.04</v>
      </c>
      <c r="S6" s="411">
        <v>37</v>
      </c>
    </row>
    <row r="7" spans="1:19" ht="14.4" customHeight="1" x14ac:dyDescent="0.3">
      <c r="A7" s="412" t="s">
        <v>463</v>
      </c>
      <c r="B7" s="413" t="s">
        <v>464</v>
      </c>
      <c r="C7" s="413" t="s">
        <v>271</v>
      </c>
      <c r="D7" s="413" t="s">
        <v>442</v>
      </c>
      <c r="E7" s="413" t="s">
        <v>490</v>
      </c>
      <c r="F7" s="413" t="s">
        <v>511</v>
      </c>
      <c r="G7" s="413" t="s">
        <v>512</v>
      </c>
      <c r="H7" s="416"/>
      <c r="I7" s="416"/>
      <c r="J7" s="413"/>
      <c r="K7" s="413"/>
      <c r="L7" s="416">
        <v>6</v>
      </c>
      <c r="M7" s="416">
        <v>354</v>
      </c>
      <c r="N7" s="413">
        <v>1</v>
      </c>
      <c r="O7" s="413">
        <v>59</v>
      </c>
      <c r="P7" s="416">
        <v>3</v>
      </c>
      <c r="Q7" s="416">
        <v>177</v>
      </c>
      <c r="R7" s="468">
        <v>0.5</v>
      </c>
      <c r="S7" s="417">
        <v>59</v>
      </c>
    </row>
    <row r="8" spans="1:19" ht="14.4" customHeight="1" x14ac:dyDescent="0.3">
      <c r="A8" s="412" t="s">
        <v>463</v>
      </c>
      <c r="B8" s="413" t="s">
        <v>464</v>
      </c>
      <c r="C8" s="413" t="s">
        <v>271</v>
      </c>
      <c r="D8" s="413" t="s">
        <v>443</v>
      </c>
      <c r="E8" s="413" t="s">
        <v>490</v>
      </c>
      <c r="F8" s="413" t="s">
        <v>501</v>
      </c>
      <c r="G8" s="413" t="s">
        <v>502</v>
      </c>
      <c r="H8" s="416"/>
      <c r="I8" s="416"/>
      <c r="J8" s="413"/>
      <c r="K8" s="413"/>
      <c r="L8" s="416">
        <v>11</v>
      </c>
      <c r="M8" s="416">
        <v>407</v>
      </c>
      <c r="N8" s="413">
        <v>1</v>
      </c>
      <c r="O8" s="413">
        <v>37</v>
      </c>
      <c r="P8" s="416">
        <v>1</v>
      </c>
      <c r="Q8" s="416">
        <v>37</v>
      </c>
      <c r="R8" s="468">
        <v>9.0909090909090912E-2</v>
      </c>
      <c r="S8" s="417">
        <v>37</v>
      </c>
    </row>
    <row r="9" spans="1:19" ht="14.4" customHeight="1" x14ac:dyDescent="0.3">
      <c r="A9" s="412" t="s">
        <v>463</v>
      </c>
      <c r="B9" s="413" t="s">
        <v>464</v>
      </c>
      <c r="C9" s="413" t="s">
        <v>271</v>
      </c>
      <c r="D9" s="413" t="s">
        <v>443</v>
      </c>
      <c r="E9" s="413" t="s">
        <v>490</v>
      </c>
      <c r="F9" s="413" t="s">
        <v>511</v>
      </c>
      <c r="G9" s="413" t="s">
        <v>512</v>
      </c>
      <c r="H9" s="416"/>
      <c r="I9" s="416"/>
      <c r="J9" s="413"/>
      <c r="K9" s="413"/>
      <c r="L9" s="416">
        <v>1</v>
      </c>
      <c r="M9" s="416">
        <v>59</v>
      </c>
      <c r="N9" s="413">
        <v>1</v>
      </c>
      <c r="O9" s="413">
        <v>59</v>
      </c>
      <c r="P9" s="416"/>
      <c r="Q9" s="416"/>
      <c r="R9" s="468"/>
      <c r="S9" s="417"/>
    </row>
    <row r="10" spans="1:19" ht="14.4" customHeight="1" x14ac:dyDescent="0.3">
      <c r="A10" s="412" t="s">
        <v>463</v>
      </c>
      <c r="B10" s="413" t="s">
        <v>464</v>
      </c>
      <c r="C10" s="413" t="s">
        <v>271</v>
      </c>
      <c r="D10" s="413" t="s">
        <v>444</v>
      </c>
      <c r="E10" s="413" t="s">
        <v>465</v>
      </c>
      <c r="F10" s="413" t="s">
        <v>470</v>
      </c>
      <c r="G10" s="413" t="s">
        <v>471</v>
      </c>
      <c r="H10" s="416"/>
      <c r="I10" s="416"/>
      <c r="J10" s="413"/>
      <c r="K10" s="413"/>
      <c r="L10" s="416"/>
      <c r="M10" s="416"/>
      <c r="N10" s="413"/>
      <c r="O10" s="413"/>
      <c r="P10" s="416">
        <v>0.1</v>
      </c>
      <c r="Q10" s="416">
        <v>6.14</v>
      </c>
      <c r="R10" s="468"/>
      <c r="S10" s="417">
        <v>61.399999999999991</v>
      </c>
    </row>
    <row r="11" spans="1:19" ht="14.4" customHeight="1" x14ac:dyDescent="0.3">
      <c r="A11" s="412" t="s">
        <v>463</v>
      </c>
      <c r="B11" s="413" t="s">
        <v>464</v>
      </c>
      <c r="C11" s="413" t="s">
        <v>271</v>
      </c>
      <c r="D11" s="413" t="s">
        <v>444</v>
      </c>
      <c r="E11" s="413" t="s">
        <v>465</v>
      </c>
      <c r="F11" s="413" t="s">
        <v>476</v>
      </c>
      <c r="G11" s="413" t="s">
        <v>475</v>
      </c>
      <c r="H11" s="416"/>
      <c r="I11" s="416"/>
      <c r="J11" s="413"/>
      <c r="K11" s="413"/>
      <c r="L11" s="416"/>
      <c r="M11" s="416"/>
      <c r="N11" s="413"/>
      <c r="O11" s="413"/>
      <c r="P11" s="416">
        <v>2</v>
      </c>
      <c r="Q11" s="416">
        <v>4.88</v>
      </c>
      <c r="R11" s="468"/>
      <c r="S11" s="417">
        <v>2.44</v>
      </c>
    </row>
    <row r="12" spans="1:19" ht="14.4" customHeight="1" x14ac:dyDescent="0.3">
      <c r="A12" s="412" t="s">
        <v>463</v>
      </c>
      <c r="B12" s="413" t="s">
        <v>464</v>
      </c>
      <c r="C12" s="413" t="s">
        <v>271</v>
      </c>
      <c r="D12" s="413" t="s">
        <v>444</v>
      </c>
      <c r="E12" s="413" t="s">
        <v>465</v>
      </c>
      <c r="F12" s="413" t="s">
        <v>480</v>
      </c>
      <c r="G12" s="413" t="s">
        <v>481</v>
      </c>
      <c r="H12" s="416"/>
      <c r="I12" s="416"/>
      <c r="J12" s="413"/>
      <c r="K12" s="413"/>
      <c r="L12" s="416"/>
      <c r="M12" s="416"/>
      <c r="N12" s="413"/>
      <c r="O12" s="413"/>
      <c r="P12" s="416">
        <v>0.1</v>
      </c>
      <c r="Q12" s="416">
        <v>16.78</v>
      </c>
      <c r="R12" s="468"/>
      <c r="S12" s="417">
        <v>167.8</v>
      </c>
    </row>
    <row r="13" spans="1:19" ht="14.4" customHeight="1" x14ac:dyDescent="0.3">
      <c r="A13" s="412" t="s">
        <v>463</v>
      </c>
      <c r="B13" s="413" t="s">
        <v>464</v>
      </c>
      <c r="C13" s="413" t="s">
        <v>271</v>
      </c>
      <c r="D13" s="413" t="s">
        <v>444</v>
      </c>
      <c r="E13" s="413" t="s">
        <v>465</v>
      </c>
      <c r="F13" s="413" t="s">
        <v>484</v>
      </c>
      <c r="G13" s="413" t="s">
        <v>485</v>
      </c>
      <c r="H13" s="416"/>
      <c r="I13" s="416"/>
      <c r="J13" s="413"/>
      <c r="K13" s="413"/>
      <c r="L13" s="416"/>
      <c r="M13" s="416"/>
      <c r="N13" s="413"/>
      <c r="O13" s="413"/>
      <c r="P13" s="416">
        <v>1</v>
      </c>
      <c r="Q13" s="416">
        <v>81.94</v>
      </c>
      <c r="R13" s="468"/>
      <c r="S13" s="417">
        <v>81.94</v>
      </c>
    </row>
    <row r="14" spans="1:19" ht="14.4" customHeight="1" x14ac:dyDescent="0.3">
      <c r="A14" s="412" t="s">
        <v>463</v>
      </c>
      <c r="B14" s="413" t="s">
        <v>464</v>
      </c>
      <c r="C14" s="413" t="s">
        <v>271</v>
      </c>
      <c r="D14" s="413" t="s">
        <v>444</v>
      </c>
      <c r="E14" s="413" t="s">
        <v>490</v>
      </c>
      <c r="F14" s="413" t="s">
        <v>491</v>
      </c>
      <c r="G14" s="413" t="s">
        <v>492</v>
      </c>
      <c r="H14" s="416"/>
      <c r="I14" s="416"/>
      <c r="J14" s="413"/>
      <c r="K14" s="413"/>
      <c r="L14" s="416"/>
      <c r="M14" s="416"/>
      <c r="N14" s="413"/>
      <c r="O14" s="413"/>
      <c r="P14" s="416">
        <v>1</v>
      </c>
      <c r="Q14" s="416">
        <v>147</v>
      </c>
      <c r="R14" s="468"/>
      <c r="S14" s="417">
        <v>147</v>
      </c>
    </row>
    <row r="15" spans="1:19" ht="14.4" customHeight="1" x14ac:dyDescent="0.3">
      <c r="A15" s="412" t="s">
        <v>463</v>
      </c>
      <c r="B15" s="413" t="s">
        <v>464</v>
      </c>
      <c r="C15" s="413" t="s">
        <v>271</v>
      </c>
      <c r="D15" s="413" t="s">
        <v>444</v>
      </c>
      <c r="E15" s="413" t="s">
        <v>490</v>
      </c>
      <c r="F15" s="413" t="s">
        <v>501</v>
      </c>
      <c r="G15" s="413" t="s">
        <v>502</v>
      </c>
      <c r="H15" s="416">
        <v>3</v>
      </c>
      <c r="I15" s="416">
        <v>108</v>
      </c>
      <c r="J15" s="413">
        <v>2.9189189189189189</v>
      </c>
      <c r="K15" s="413">
        <v>36</v>
      </c>
      <c r="L15" s="416">
        <v>1</v>
      </c>
      <c r="M15" s="416">
        <v>37</v>
      </c>
      <c r="N15" s="413">
        <v>1</v>
      </c>
      <c r="O15" s="413">
        <v>37</v>
      </c>
      <c r="P15" s="416">
        <v>10</v>
      </c>
      <c r="Q15" s="416">
        <v>370</v>
      </c>
      <c r="R15" s="468">
        <v>10</v>
      </c>
      <c r="S15" s="417">
        <v>37</v>
      </c>
    </row>
    <row r="16" spans="1:19" ht="14.4" customHeight="1" x14ac:dyDescent="0.3">
      <c r="A16" s="412" t="s">
        <v>463</v>
      </c>
      <c r="B16" s="413" t="s">
        <v>464</v>
      </c>
      <c r="C16" s="413" t="s">
        <v>271</v>
      </c>
      <c r="D16" s="413" t="s">
        <v>444</v>
      </c>
      <c r="E16" s="413" t="s">
        <v>490</v>
      </c>
      <c r="F16" s="413" t="s">
        <v>503</v>
      </c>
      <c r="G16" s="413" t="s">
        <v>504</v>
      </c>
      <c r="H16" s="416">
        <v>4</v>
      </c>
      <c r="I16" s="416">
        <v>500</v>
      </c>
      <c r="J16" s="413"/>
      <c r="K16" s="413">
        <v>125</v>
      </c>
      <c r="L16" s="416"/>
      <c r="M16" s="416"/>
      <c r="N16" s="413"/>
      <c r="O16" s="413"/>
      <c r="P16" s="416"/>
      <c r="Q16" s="416"/>
      <c r="R16" s="468"/>
      <c r="S16" s="417"/>
    </row>
    <row r="17" spans="1:19" ht="14.4" customHeight="1" x14ac:dyDescent="0.3">
      <c r="A17" s="412" t="s">
        <v>463</v>
      </c>
      <c r="B17" s="413" t="s">
        <v>464</v>
      </c>
      <c r="C17" s="413" t="s">
        <v>271</v>
      </c>
      <c r="D17" s="413" t="s">
        <v>444</v>
      </c>
      <c r="E17" s="413" t="s">
        <v>490</v>
      </c>
      <c r="F17" s="413" t="s">
        <v>511</v>
      </c>
      <c r="G17" s="413" t="s">
        <v>512</v>
      </c>
      <c r="H17" s="416"/>
      <c r="I17" s="416"/>
      <c r="J17" s="413"/>
      <c r="K17" s="413"/>
      <c r="L17" s="416">
        <v>5</v>
      </c>
      <c r="M17" s="416">
        <v>295</v>
      </c>
      <c r="N17" s="413">
        <v>1</v>
      </c>
      <c r="O17" s="413">
        <v>59</v>
      </c>
      <c r="P17" s="416">
        <v>2</v>
      </c>
      <c r="Q17" s="416">
        <v>118</v>
      </c>
      <c r="R17" s="468">
        <v>0.4</v>
      </c>
      <c r="S17" s="417">
        <v>59</v>
      </c>
    </row>
    <row r="18" spans="1:19" ht="14.4" customHeight="1" x14ac:dyDescent="0.3">
      <c r="A18" s="412" t="s">
        <v>463</v>
      </c>
      <c r="B18" s="413" t="s">
        <v>464</v>
      </c>
      <c r="C18" s="413" t="s">
        <v>271</v>
      </c>
      <c r="D18" s="413" t="s">
        <v>437</v>
      </c>
      <c r="E18" s="413" t="s">
        <v>490</v>
      </c>
      <c r="F18" s="413" t="s">
        <v>499</v>
      </c>
      <c r="G18" s="413" t="s">
        <v>500</v>
      </c>
      <c r="H18" s="416">
        <v>22</v>
      </c>
      <c r="I18" s="416">
        <v>733.32999999999993</v>
      </c>
      <c r="J18" s="413"/>
      <c r="K18" s="413">
        <v>33.333181818181814</v>
      </c>
      <c r="L18" s="416"/>
      <c r="M18" s="416"/>
      <c r="N18" s="413"/>
      <c r="O18" s="413"/>
      <c r="P18" s="416"/>
      <c r="Q18" s="416"/>
      <c r="R18" s="468"/>
      <c r="S18" s="417"/>
    </row>
    <row r="19" spans="1:19" ht="14.4" customHeight="1" x14ac:dyDescent="0.3">
      <c r="A19" s="412" t="s">
        <v>463</v>
      </c>
      <c r="B19" s="413" t="s">
        <v>464</v>
      </c>
      <c r="C19" s="413" t="s">
        <v>271</v>
      </c>
      <c r="D19" s="413" t="s">
        <v>437</v>
      </c>
      <c r="E19" s="413" t="s">
        <v>490</v>
      </c>
      <c r="F19" s="413" t="s">
        <v>515</v>
      </c>
      <c r="G19" s="413" t="s">
        <v>516</v>
      </c>
      <c r="H19" s="416"/>
      <c r="I19" s="416"/>
      <c r="J19" s="413"/>
      <c r="K19" s="413"/>
      <c r="L19" s="416"/>
      <c r="M19" s="416"/>
      <c r="N19" s="413"/>
      <c r="O19" s="413"/>
      <c r="P19" s="416">
        <v>4</v>
      </c>
      <c r="Q19" s="416">
        <v>14344</v>
      </c>
      <c r="R19" s="468"/>
      <c r="S19" s="417">
        <v>3586</v>
      </c>
    </row>
    <row r="20" spans="1:19" ht="14.4" customHeight="1" x14ac:dyDescent="0.3">
      <c r="A20" s="412" t="s">
        <v>463</v>
      </c>
      <c r="B20" s="413" t="s">
        <v>464</v>
      </c>
      <c r="C20" s="413" t="s">
        <v>271</v>
      </c>
      <c r="D20" s="413" t="s">
        <v>446</v>
      </c>
      <c r="E20" s="413" t="s">
        <v>490</v>
      </c>
      <c r="F20" s="413" t="s">
        <v>501</v>
      </c>
      <c r="G20" s="413" t="s">
        <v>502</v>
      </c>
      <c r="H20" s="416"/>
      <c r="I20" s="416"/>
      <c r="J20" s="413"/>
      <c r="K20" s="413"/>
      <c r="L20" s="416">
        <v>4</v>
      </c>
      <c r="M20" s="416">
        <v>148</v>
      </c>
      <c r="N20" s="413">
        <v>1</v>
      </c>
      <c r="O20" s="413">
        <v>37</v>
      </c>
      <c r="P20" s="416"/>
      <c r="Q20" s="416"/>
      <c r="R20" s="468"/>
      <c r="S20" s="417"/>
    </row>
    <row r="21" spans="1:19" ht="14.4" customHeight="1" x14ac:dyDescent="0.3">
      <c r="A21" s="412" t="s">
        <v>463</v>
      </c>
      <c r="B21" s="413" t="s">
        <v>464</v>
      </c>
      <c r="C21" s="413" t="s">
        <v>271</v>
      </c>
      <c r="D21" s="413" t="s">
        <v>446</v>
      </c>
      <c r="E21" s="413" t="s">
        <v>490</v>
      </c>
      <c r="F21" s="413" t="s">
        <v>511</v>
      </c>
      <c r="G21" s="413" t="s">
        <v>512</v>
      </c>
      <c r="H21" s="416"/>
      <c r="I21" s="416"/>
      <c r="J21" s="413"/>
      <c r="K21" s="413"/>
      <c r="L21" s="416">
        <v>1</v>
      </c>
      <c r="M21" s="416">
        <v>59</v>
      </c>
      <c r="N21" s="413">
        <v>1</v>
      </c>
      <c r="O21" s="413">
        <v>59</v>
      </c>
      <c r="P21" s="416">
        <v>1</v>
      </c>
      <c r="Q21" s="416">
        <v>59</v>
      </c>
      <c r="R21" s="468">
        <v>1</v>
      </c>
      <c r="S21" s="417">
        <v>59</v>
      </c>
    </row>
    <row r="22" spans="1:19" ht="14.4" customHeight="1" x14ac:dyDescent="0.3">
      <c r="A22" s="412" t="s">
        <v>463</v>
      </c>
      <c r="B22" s="413" t="s">
        <v>464</v>
      </c>
      <c r="C22" s="413" t="s">
        <v>271</v>
      </c>
      <c r="D22" s="413" t="s">
        <v>447</v>
      </c>
      <c r="E22" s="413" t="s">
        <v>490</v>
      </c>
      <c r="F22" s="413" t="s">
        <v>503</v>
      </c>
      <c r="G22" s="413" t="s">
        <v>504</v>
      </c>
      <c r="H22" s="416">
        <v>1</v>
      </c>
      <c r="I22" s="416">
        <v>125</v>
      </c>
      <c r="J22" s="413"/>
      <c r="K22" s="413">
        <v>125</v>
      </c>
      <c r="L22" s="416"/>
      <c r="M22" s="416"/>
      <c r="N22" s="413"/>
      <c r="O22" s="413"/>
      <c r="P22" s="416"/>
      <c r="Q22" s="416"/>
      <c r="R22" s="468"/>
      <c r="S22" s="417"/>
    </row>
    <row r="23" spans="1:19" ht="14.4" customHeight="1" x14ac:dyDescent="0.3">
      <c r="A23" s="412" t="s">
        <v>463</v>
      </c>
      <c r="B23" s="413" t="s">
        <v>464</v>
      </c>
      <c r="C23" s="413" t="s">
        <v>271</v>
      </c>
      <c r="D23" s="413" t="s">
        <v>448</v>
      </c>
      <c r="E23" s="413" t="s">
        <v>490</v>
      </c>
      <c r="F23" s="413" t="s">
        <v>501</v>
      </c>
      <c r="G23" s="413" t="s">
        <v>502</v>
      </c>
      <c r="H23" s="416"/>
      <c r="I23" s="416"/>
      <c r="J23" s="413"/>
      <c r="K23" s="413"/>
      <c r="L23" s="416">
        <v>1</v>
      </c>
      <c r="M23" s="416">
        <v>37</v>
      </c>
      <c r="N23" s="413">
        <v>1</v>
      </c>
      <c r="O23" s="413">
        <v>37</v>
      </c>
      <c r="P23" s="416">
        <v>1</v>
      </c>
      <c r="Q23" s="416">
        <v>37</v>
      </c>
      <c r="R23" s="468">
        <v>1</v>
      </c>
      <c r="S23" s="417">
        <v>37</v>
      </c>
    </row>
    <row r="24" spans="1:19" ht="14.4" customHeight="1" x14ac:dyDescent="0.3">
      <c r="A24" s="412" t="s">
        <v>463</v>
      </c>
      <c r="B24" s="413" t="s">
        <v>464</v>
      </c>
      <c r="C24" s="413" t="s">
        <v>271</v>
      </c>
      <c r="D24" s="413" t="s">
        <v>448</v>
      </c>
      <c r="E24" s="413" t="s">
        <v>490</v>
      </c>
      <c r="F24" s="413" t="s">
        <v>503</v>
      </c>
      <c r="G24" s="413" t="s">
        <v>504</v>
      </c>
      <c r="H24" s="416">
        <v>1</v>
      </c>
      <c r="I24" s="416">
        <v>125</v>
      </c>
      <c r="J24" s="413"/>
      <c r="K24" s="413">
        <v>125</v>
      </c>
      <c r="L24" s="416"/>
      <c r="M24" s="416"/>
      <c r="N24" s="413"/>
      <c r="O24" s="413"/>
      <c r="P24" s="416"/>
      <c r="Q24" s="416"/>
      <c r="R24" s="468"/>
      <c r="S24" s="417"/>
    </row>
    <row r="25" spans="1:19" ht="14.4" customHeight="1" x14ac:dyDescent="0.3">
      <c r="A25" s="412" t="s">
        <v>463</v>
      </c>
      <c r="B25" s="413" t="s">
        <v>464</v>
      </c>
      <c r="C25" s="413" t="s">
        <v>271</v>
      </c>
      <c r="D25" s="413" t="s">
        <v>449</v>
      </c>
      <c r="E25" s="413" t="s">
        <v>490</v>
      </c>
      <c r="F25" s="413" t="s">
        <v>511</v>
      </c>
      <c r="G25" s="413" t="s">
        <v>512</v>
      </c>
      <c r="H25" s="416"/>
      <c r="I25" s="416"/>
      <c r="J25" s="413"/>
      <c r="K25" s="413"/>
      <c r="L25" s="416">
        <v>1</v>
      </c>
      <c r="M25" s="416">
        <v>59</v>
      </c>
      <c r="N25" s="413">
        <v>1</v>
      </c>
      <c r="O25" s="413">
        <v>59</v>
      </c>
      <c r="P25" s="416"/>
      <c r="Q25" s="416"/>
      <c r="R25" s="468"/>
      <c r="S25" s="417"/>
    </row>
    <row r="26" spans="1:19" ht="14.4" customHeight="1" x14ac:dyDescent="0.3">
      <c r="A26" s="412" t="s">
        <v>463</v>
      </c>
      <c r="B26" s="413" t="s">
        <v>464</v>
      </c>
      <c r="C26" s="413" t="s">
        <v>271</v>
      </c>
      <c r="D26" s="413" t="s">
        <v>451</v>
      </c>
      <c r="E26" s="413" t="s">
        <v>465</v>
      </c>
      <c r="F26" s="413" t="s">
        <v>476</v>
      </c>
      <c r="G26" s="413" t="s">
        <v>475</v>
      </c>
      <c r="H26" s="416"/>
      <c r="I26" s="416"/>
      <c r="J26" s="413"/>
      <c r="K26" s="413"/>
      <c r="L26" s="416"/>
      <c r="M26" s="416"/>
      <c r="N26" s="413"/>
      <c r="O26" s="413"/>
      <c r="P26" s="416">
        <v>1</v>
      </c>
      <c r="Q26" s="416">
        <v>2.44</v>
      </c>
      <c r="R26" s="468"/>
      <c r="S26" s="417">
        <v>2.44</v>
      </c>
    </row>
    <row r="27" spans="1:19" ht="14.4" customHeight="1" x14ac:dyDescent="0.3">
      <c r="A27" s="412" t="s">
        <v>463</v>
      </c>
      <c r="B27" s="413" t="s">
        <v>464</v>
      </c>
      <c r="C27" s="413" t="s">
        <v>271</v>
      </c>
      <c r="D27" s="413" t="s">
        <v>451</v>
      </c>
      <c r="E27" s="413" t="s">
        <v>490</v>
      </c>
      <c r="F27" s="413" t="s">
        <v>491</v>
      </c>
      <c r="G27" s="413" t="s">
        <v>492</v>
      </c>
      <c r="H27" s="416"/>
      <c r="I27" s="416"/>
      <c r="J27" s="413"/>
      <c r="K27" s="413"/>
      <c r="L27" s="416"/>
      <c r="M27" s="416"/>
      <c r="N27" s="413"/>
      <c r="O27" s="413"/>
      <c r="P27" s="416">
        <v>1</v>
      </c>
      <c r="Q27" s="416">
        <v>147</v>
      </c>
      <c r="R27" s="468"/>
      <c r="S27" s="417">
        <v>147</v>
      </c>
    </row>
    <row r="28" spans="1:19" ht="14.4" customHeight="1" x14ac:dyDescent="0.3">
      <c r="A28" s="412" t="s">
        <v>463</v>
      </c>
      <c r="B28" s="413" t="s">
        <v>464</v>
      </c>
      <c r="C28" s="413" t="s">
        <v>271</v>
      </c>
      <c r="D28" s="413" t="s">
        <v>453</v>
      </c>
      <c r="E28" s="413" t="s">
        <v>465</v>
      </c>
      <c r="F28" s="413" t="s">
        <v>477</v>
      </c>
      <c r="G28" s="413" t="s">
        <v>475</v>
      </c>
      <c r="H28" s="416"/>
      <c r="I28" s="416"/>
      <c r="J28" s="413"/>
      <c r="K28" s="413"/>
      <c r="L28" s="416"/>
      <c r="M28" s="416"/>
      <c r="N28" s="413"/>
      <c r="O28" s="413"/>
      <c r="P28" s="416">
        <v>1</v>
      </c>
      <c r="Q28" s="416">
        <v>6.09</v>
      </c>
      <c r="R28" s="468"/>
      <c r="S28" s="417">
        <v>6.09</v>
      </c>
    </row>
    <row r="29" spans="1:19" ht="14.4" customHeight="1" x14ac:dyDescent="0.3">
      <c r="A29" s="412" t="s">
        <v>463</v>
      </c>
      <c r="B29" s="413" t="s">
        <v>464</v>
      </c>
      <c r="C29" s="413" t="s">
        <v>271</v>
      </c>
      <c r="D29" s="413" t="s">
        <v>453</v>
      </c>
      <c r="E29" s="413" t="s">
        <v>465</v>
      </c>
      <c r="F29" s="413" t="s">
        <v>478</v>
      </c>
      <c r="G29" s="413" t="s">
        <v>479</v>
      </c>
      <c r="H29" s="416"/>
      <c r="I29" s="416"/>
      <c r="J29" s="413"/>
      <c r="K29" s="413"/>
      <c r="L29" s="416"/>
      <c r="M29" s="416"/>
      <c r="N29" s="413"/>
      <c r="O29" s="413"/>
      <c r="P29" s="416">
        <v>1</v>
      </c>
      <c r="Q29" s="416">
        <v>1118.9000000000001</v>
      </c>
      <c r="R29" s="468"/>
      <c r="S29" s="417">
        <v>1118.9000000000001</v>
      </c>
    </row>
    <row r="30" spans="1:19" ht="14.4" customHeight="1" x14ac:dyDescent="0.3">
      <c r="A30" s="412" t="s">
        <v>463</v>
      </c>
      <c r="B30" s="413" t="s">
        <v>464</v>
      </c>
      <c r="C30" s="413" t="s">
        <v>271</v>
      </c>
      <c r="D30" s="413" t="s">
        <v>453</v>
      </c>
      <c r="E30" s="413" t="s">
        <v>490</v>
      </c>
      <c r="F30" s="413" t="s">
        <v>491</v>
      </c>
      <c r="G30" s="413" t="s">
        <v>492</v>
      </c>
      <c r="H30" s="416"/>
      <c r="I30" s="416"/>
      <c r="J30" s="413"/>
      <c r="K30" s="413"/>
      <c r="L30" s="416"/>
      <c r="M30" s="416"/>
      <c r="N30" s="413"/>
      <c r="O30" s="413"/>
      <c r="P30" s="416">
        <v>1</v>
      </c>
      <c r="Q30" s="416">
        <v>147</v>
      </c>
      <c r="R30" s="468"/>
      <c r="S30" s="417">
        <v>147</v>
      </c>
    </row>
    <row r="31" spans="1:19" ht="14.4" customHeight="1" x14ac:dyDescent="0.3">
      <c r="A31" s="412" t="s">
        <v>463</v>
      </c>
      <c r="B31" s="413" t="s">
        <v>464</v>
      </c>
      <c r="C31" s="413" t="s">
        <v>271</v>
      </c>
      <c r="D31" s="413" t="s">
        <v>453</v>
      </c>
      <c r="E31" s="413" t="s">
        <v>490</v>
      </c>
      <c r="F31" s="413" t="s">
        <v>501</v>
      </c>
      <c r="G31" s="413" t="s">
        <v>502</v>
      </c>
      <c r="H31" s="416">
        <v>6</v>
      </c>
      <c r="I31" s="416">
        <v>216</v>
      </c>
      <c r="J31" s="413">
        <v>1.9459459459459461</v>
      </c>
      <c r="K31" s="413">
        <v>36</v>
      </c>
      <c r="L31" s="416">
        <v>3</v>
      </c>
      <c r="M31" s="416">
        <v>111</v>
      </c>
      <c r="N31" s="413">
        <v>1</v>
      </c>
      <c r="O31" s="413">
        <v>37</v>
      </c>
      <c r="P31" s="416">
        <v>6</v>
      </c>
      <c r="Q31" s="416">
        <v>222</v>
      </c>
      <c r="R31" s="468">
        <v>2</v>
      </c>
      <c r="S31" s="417">
        <v>37</v>
      </c>
    </row>
    <row r="32" spans="1:19" ht="14.4" customHeight="1" x14ac:dyDescent="0.3">
      <c r="A32" s="412" t="s">
        <v>463</v>
      </c>
      <c r="B32" s="413" t="s">
        <v>464</v>
      </c>
      <c r="C32" s="413" t="s">
        <v>271</v>
      </c>
      <c r="D32" s="413" t="s">
        <v>453</v>
      </c>
      <c r="E32" s="413" t="s">
        <v>490</v>
      </c>
      <c r="F32" s="413" t="s">
        <v>511</v>
      </c>
      <c r="G32" s="413" t="s">
        <v>512</v>
      </c>
      <c r="H32" s="416"/>
      <c r="I32" s="416"/>
      <c r="J32" s="413"/>
      <c r="K32" s="413"/>
      <c r="L32" s="416">
        <v>1</v>
      </c>
      <c r="M32" s="416">
        <v>59</v>
      </c>
      <c r="N32" s="413">
        <v>1</v>
      </c>
      <c r="O32" s="413">
        <v>59</v>
      </c>
      <c r="P32" s="416"/>
      <c r="Q32" s="416"/>
      <c r="R32" s="468"/>
      <c r="S32" s="417"/>
    </row>
    <row r="33" spans="1:19" ht="14.4" customHeight="1" x14ac:dyDescent="0.3">
      <c r="A33" s="412" t="s">
        <v>463</v>
      </c>
      <c r="B33" s="413" t="s">
        <v>464</v>
      </c>
      <c r="C33" s="413" t="s">
        <v>271</v>
      </c>
      <c r="D33" s="413" t="s">
        <v>454</v>
      </c>
      <c r="E33" s="413" t="s">
        <v>490</v>
      </c>
      <c r="F33" s="413" t="s">
        <v>501</v>
      </c>
      <c r="G33" s="413" t="s">
        <v>502</v>
      </c>
      <c r="H33" s="416">
        <v>5</v>
      </c>
      <c r="I33" s="416">
        <v>180</v>
      </c>
      <c r="J33" s="413">
        <v>1.6216216216216217</v>
      </c>
      <c r="K33" s="413">
        <v>36</v>
      </c>
      <c r="L33" s="416">
        <v>3</v>
      </c>
      <c r="M33" s="416">
        <v>111</v>
      </c>
      <c r="N33" s="413">
        <v>1</v>
      </c>
      <c r="O33" s="413">
        <v>37</v>
      </c>
      <c r="P33" s="416"/>
      <c r="Q33" s="416"/>
      <c r="R33" s="468"/>
      <c r="S33" s="417"/>
    </row>
    <row r="34" spans="1:19" ht="14.4" customHeight="1" x14ac:dyDescent="0.3">
      <c r="A34" s="412" t="s">
        <v>463</v>
      </c>
      <c r="B34" s="413" t="s">
        <v>464</v>
      </c>
      <c r="C34" s="413" t="s">
        <v>271</v>
      </c>
      <c r="D34" s="413" t="s">
        <v>454</v>
      </c>
      <c r="E34" s="413" t="s">
        <v>490</v>
      </c>
      <c r="F34" s="413" t="s">
        <v>503</v>
      </c>
      <c r="G34" s="413" t="s">
        <v>504</v>
      </c>
      <c r="H34" s="416">
        <v>5</v>
      </c>
      <c r="I34" s="416">
        <v>625</v>
      </c>
      <c r="J34" s="413"/>
      <c r="K34" s="413">
        <v>125</v>
      </c>
      <c r="L34" s="416"/>
      <c r="M34" s="416"/>
      <c r="N34" s="413"/>
      <c r="O34" s="413"/>
      <c r="P34" s="416"/>
      <c r="Q34" s="416"/>
      <c r="R34" s="468"/>
      <c r="S34" s="417"/>
    </row>
    <row r="35" spans="1:19" ht="14.4" customHeight="1" x14ac:dyDescent="0.3">
      <c r="A35" s="412" t="s">
        <v>463</v>
      </c>
      <c r="B35" s="413" t="s">
        <v>464</v>
      </c>
      <c r="C35" s="413" t="s">
        <v>271</v>
      </c>
      <c r="D35" s="413" t="s">
        <v>454</v>
      </c>
      <c r="E35" s="413" t="s">
        <v>490</v>
      </c>
      <c r="F35" s="413" t="s">
        <v>509</v>
      </c>
      <c r="G35" s="413" t="s">
        <v>510</v>
      </c>
      <c r="H35" s="416">
        <v>1</v>
      </c>
      <c r="I35" s="416">
        <v>70</v>
      </c>
      <c r="J35" s="413"/>
      <c r="K35" s="413">
        <v>70</v>
      </c>
      <c r="L35" s="416"/>
      <c r="M35" s="416"/>
      <c r="N35" s="413"/>
      <c r="O35" s="413"/>
      <c r="P35" s="416"/>
      <c r="Q35" s="416"/>
      <c r="R35" s="468"/>
      <c r="S35" s="417"/>
    </row>
    <row r="36" spans="1:19" ht="14.4" customHeight="1" x14ac:dyDescent="0.3">
      <c r="A36" s="412" t="s">
        <v>463</v>
      </c>
      <c r="B36" s="413" t="s">
        <v>464</v>
      </c>
      <c r="C36" s="413" t="s">
        <v>271</v>
      </c>
      <c r="D36" s="413" t="s">
        <v>454</v>
      </c>
      <c r="E36" s="413" t="s">
        <v>490</v>
      </c>
      <c r="F36" s="413" t="s">
        <v>511</v>
      </c>
      <c r="G36" s="413" t="s">
        <v>512</v>
      </c>
      <c r="H36" s="416"/>
      <c r="I36" s="416"/>
      <c r="J36" s="413"/>
      <c r="K36" s="413"/>
      <c r="L36" s="416">
        <v>2</v>
      </c>
      <c r="M36" s="416">
        <v>118</v>
      </c>
      <c r="N36" s="413">
        <v>1</v>
      </c>
      <c r="O36" s="413">
        <v>59</v>
      </c>
      <c r="P36" s="416"/>
      <c r="Q36" s="416"/>
      <c r="R36" s="468"/>
      <c r="S36" s="417"/>
    </row>
    <row r="37" spans="1:19" ht="14.4" customHeight="1" x14ac:dyDescent="0.3">
      <c r="A37" s="412" t="s">
        <v>463</v>
      </c>
      <c r="B37" s="413" t="s">
        <v>464</v>
      </c>
      <c r="C37" s="413" t="s">
        <v>271</v>
      </c>
      <c r="D37" s="413" t="s">
        <v>455</v>
      </c>
      <c r="E37" s="413" t="s">
        <v>465</v>
      </c>
      <c r="F37" s="413" t="s">
        <v>472</v>
      </c>
      <c r="G37" s="413" t="s">
        <v>473</v>
      </c>
      <c r="H37" s="416"/>
      <c r="I37" s="416"/>
      <c r="J37" s="413"/>
      <c r="K37" s="413"/>
      <c r="L37" s="416"/>
      <c r="M37" s="416"/>
      <c r="N37" s="413"/>
      <c r="O37" s="413"/>
      <c r="P37" s="416">
        <v>0.2</v>
      </c>
      <c r="Q37" s="416">
        <v>54.34</v>
      </c>
      <c r="R37" s="468"/>
      <c r="S37" s="417">
        <v>271.7</v>
      </c>
    </row>
    <row r="38" spans="1:19" ht="14.4" customHeight="1" x14ac:dyDescent="0.3">
      <c r="A38" s="412" t="s">
        <v>463</v>
      </c>
      <c r="B38" s="413" t="s">
        <v>464</v>
      </c>
      <c r="C38" s="413" t="s">
        <v>271</v>
      </c>
      <c r="D38" s="413" t="s">
        <v>455</v>
      </c>
      <c r="E38" s="413" t="s">
        <v>465</v>
      </c>
      <c r="F38" s="413" t="s">
        <v>476</v>
      </c>
      <c r="G38" s="413" t="s">
        <v>475</v>
      </c>
      <c r="H38" s="416"/>
      <c r="I38" s="416"/>
      <c r="J38" s="413"/>
      <c r="K38" s="413"/>
      <c r="L38" s="416"/>
      <c r="M38" s="416"/>
      <c r="N38" s="413"/>
      <c r="O38" s="413"/>
      <c r="P38" s="416">
        <v>1</v>
      </c>
      <c r="Q38" s="416">
        <v>2.44</v>
      </c>
      <c r="R38" s="468"/>
      <c r="S38" s="417">
        <v>2.44</v>
      </c>
    </row>
    <row r="39" spans="1:19" ht="14.4" customHeight="1" x14ac:dyDescent="0.3">
      <c r="A39" s="412" t="s">
        <v>463</v>
      </c>
      <c r="B39" s="413" t="s">
        <v>464</v>
      </c>
      <c r="C39" s="413" t="s">
        <v>271</v>
      </c>
      <c r="D39" s="413" t="s">
        <v>455</v>
      </c>
      <c r="E39" s="413" t="s">
        <v>490</v>
      </c>
      <c r="F39" s="413" t="s">
        <v>491</v>
      </c>
      <c r="G39" s="413" t="s">
        <v>492</v>
      </c>
      <c r="H39" s="416"/>
      <c r="I39" s="416"/>
      <c r="J39" s="413"/>
      <c r="K39" s="413"/>
      <c r="L39" s="416"/>
      <c r="M39" s="416"/>
      <c r="N39" s="413"/>
      <c r="O39" s="413"/>
      <c r="P39" s="416">
        <v>1</v>
      </c>
      <c r="Q39" s="416">
        <v>147</v>
      </c>
      <c r="R39" s="468"/>
      <c r="S39" s="417">
        <v>147</v>
      </c>
    </row>
    <row r="40" spans="1:19" ht="14.4" customHeight="1" x14ac:dyDescent="0.3">
      <c r="A40" s="412" t="s">
        <v>463</v>
      </c>
      <c r="B40" s="413" t="s">
        <v>464</v>
      </c>
      <c r="C40" s="413" t="s">
        <v>271</v>
      </c>
      <c r="D40" s="413" t="s">
        <v>455</v>
      </c>
      <c r="E40" s="413" t="s">
        <v>490</v>
      </c>
      <c r="F40" s="413" t="s">
        <v>501</v>
      </c>
      <c r="G40" s="413" t="s">
        <v>502</v>
      </c>
      <c r="H40" s="416"/>
      <c r="I40" s="416"/>
      <c r="J40" s="413"/>
      <c r="K40" s="413"/>
      <c r="L40" s="416"/>
      <c r="M40" s="416"/>
      <c r="N40" s="413"/>
      <c r="O40" s="413"/>
      <c r="P40" s="416">
        <v>2</v>
      </c>
      <c r="Q40" s="416">
        <v>74</v>
      </c>
      <c r="R40" s="468"/>
      <c r="S40" s="417">
        <v>37</v>
      </c>
    </row>
    <row r="41" spans="1:19" ht="14.4" customHeight="1" x14ac:dyDescent="0.3">
      <c r="A41" s="412" t="s">
        <v>463</v>
      </c>
      <c r="B41" s="413" t="s">
        <v>464</v>
      </c>
      <c r="C41" s="413" t="s">
        <v>271</v>
      </c>
      <c r="D41" s="413" t="s">
        <v>455</v>
      </c>
      <c r="E41" s="413" t="s">
        <v>490</v>
      </c>
      <c r="F41" s="413" t="s">
        <v>511</v>
      </c>
      <c r="G41" s="413" t="s">
        <v>512</v>
      </c>
      <c r="H41" s="416"/>
      <c r="I41" s="416"/>
      <c r="J41" s="413"/>
      <c r="K41" s="413"/>
      <c r="L41" s="416"/>
      <c r="M41" s="416"/>
      <c r="N41" s="413"/>
      <c r="O41" s="413"/>
      <c r="P41" s="416">
        <v>3</v>
      </c>
      <c r="Q41" s="416">
        <v>177</v>
      </c>
      <c r="R41" s="468"/>
      <c r="S41" s="417">
        <v>59</v>
      </c>
    </row>
    <row r="42" spans="1:19" ht="14.4" customHeight="1" x14ac:dyDescent="0.3">
      <c r="A42" s="412" t="s">
        <v>463</v>
      </c>
      <c r="B42" s="413" t="s">
        <v>464</v>
      </c>
      <c r="C42" s="413" t="s">
        <v>271</v>
      </c>
      <c r="D42" s="413" t="s">
        <v>456</v>
      </c>
      <c r="E42" s="413" t="s">
        <v>490</v>
      </c>
      <c r="F42" s="413" t="s">
        <v>501</v>
      </c>
      <c r="G42" s="413" t="s">
        <v>502</v>
      </c>
      <c r="H42" s="416"/>
      <c r="I42" s="416"/>
      <c r="J42" s="413"/>
      <c r="K42" s="413"/>
      <c r="L42" s="416"/>
      <c r="M42" s="416"/>
      <c r="N42" s="413"/>
      <c r="O42" s="413"/>
      <c r="P42" s="416">
        <v>1</v>
      </c>
      <c r="Q42" s="416">
        <v>37</v>
      </c>
      <c r="R42" s="468"/>
      <c r="S42" s="417">
        <v>37</v>
      </c>
    </row>
    <row r="43" spans="1:19" ht="14.4" customHeight="1" x14ac:dyDescent="0.3">
      <c r="A43" s="412" t="s">
        <v>463</v>
      </c>
      <c r="B43" s="413" t="s">
        <v>464</v>
      </c>
      <c r="C43" s="413" t="s">
        <v>271</v>
      </c>
      <c r="D43" s="413" t="s">
        <v>457</v>
      </c>
      <c r="E43" s="413" t="s">
        <v>465</v>
      </c>
      <c r="F43" s="413" t="s">
        <v>468</v>
      </c>
      <c r="G43" s="413" t="s">
        <v>469</v>
      </c>
      <c r="H43" s="416"/>
      <c r="I43" s="416"/>
      <c r="J43" s="413"/>
      <c r="K43" s="413"/>
      <c r="L43" s="416"/>
      <c r="M43" s="416"/>
      <c r="N43" s="413"/>
      <c r="O43" s="413"/>
      <c r="P43" s="416">
        <v>0.2</v>
      </c>
      <c r="Q43" s="416">
        <v>2.57</v>
      </c>
      <c r="R43" s="468"/>
      <c r="S43" s="417">
        <v>12.849999999999998</v>
      </c>
    </row>
    <row r="44" spans="1:19" ht="14.4" customHeight="1" x14ac:dyDescent="0.3">
      <c r="A44" s="412" t="s">
        <v>463</v>
      </c>
      <c r="B44" s="413" t="s">
        <v>464</v>
      </c>
      <c r="C44" s="413" t="s">
        <v>271</v>
      </c>
      <c r="D44" s="413" t="s">
        <v>457</v>
      </c>
      <c r="E44" s="413" t="s">
        <v>465</v>
      </c>
      <c r="F44" s="413" t="s">
        <v>474</v>
      </c>
      <c r="G44" s="413" t="s">
        <v>475</v>
      </c>
      <c r="H44" s="416"/>
      <c r="I44" s="416"/>
      <c r="J44" s="413"/>
      <c r="K44" s="413"/>
      <c r="L44" s="416"/>
      <c r="M44" s="416"/>
      <c r="N44" s="413"/>
      <c r="O44" s="413"/>
      <c r="P44" s="416">
        <v>1</v>
      </c>
      <c r="Q44" s="416">
        <v>12.18</v>
      </c>
      <c r="R44" s="468"/>
      <c r="S44" s="417">
        <v>12.18</v>
      </c>
    </row>
    <row r="45" spans="1:19" ht="14.4" customHeight="1" x14ac:dyDescent="0.3">
      <c r="A45" s="412" t="s">
        <v>463</v>
      </c>
      <c r="B45" s="413" t="s">
        <v>464</v>
      </c>
      <c r="C45" s="413" t="s">
        <v>271</v>
      </c>
      <c r="D45" s="413" t="s">
        <v>457</v>
      </c>
      <c r="E45" s="413" t="s">
        <v>465</v>
      </c>
      <c r="F45" s="413" t="s">
        <v>476</v>
      </c>
      <c r="G45" s="413" t="s">
        <v>475</v>
      </c>
      <c r="H45" s="416"/>
      <c r="I45" s="416"/>
      <c r="J45" s="413"/>
      <c r="K45" s="413"/>
      <c r="L45" s="416"/>
      <c r="M45" s="416"/>
      <c r="N45" s="413"/>
      <c r="O45" s="413"/>
      <c r="P45" s="416">
        <v>1</v>
      </c>
      <c r="Q45" s="416">
        <v>2.44</v>
      </c>
      <c r="R45" s="468"/>
      <c r="S45" s="417">
        <v>2.44</v>
      </c>
    </row>
    <row r="46" spans="1:19" ht="14.4" customHeight="1" x14ac:dyDescent="0.3">
      <c r="A46" s="412" t="s">
        <v>463</v>
      </c>
      <c r="B46" s="413" t="s">
        <v>464</v>
      </c>
      <c r="C46" s="413" t="s">
        <v>271</v>
      </c>
      <c r="D46" s="413" t="s">
        <v>457</v>
      </c>
      <c r="E46" s="413" t="s">
        <v>465</v>
      </c>
      <c r="F46" s="413" t="s">
        <v>482</v>
      </c>
      <c r="G46" s="413" t="s">
        <v>483</v>
      </c>
      <c r="H46" s="416"/>
      <c r="I46" s="416"/>
      <c r="J46" s="413"/>
      <c r="K46" s="413"/>
      <c r="L46" s="416"/>
      <c r="M46" s="416"/>
      <c r="N46" s="413"/>
      <c r="O46" s="413"/>
      <c r="P46" s="416">
        <v>0.1</v>
      </c>
      <c r="Q46" s="416">
        <v>28.63</v>
      </c>
      <c r="R46" s="468"/>
      <c r="S46" s="417">
        <v>286.29999999999995</v>
      </c>
    </row>
    <row r="47" spans="1:19" ht="14.4" customHeight="1" x14ac:dyDescent="0.3">
      <c r="A47" s="412" t="s">
        <v>463</v>
      </c>
      <c r="B47" s="413" t="s">
        <v>464</v>
      </c>
      <c r="C47" s="413" t="s">
        <v>271</v>
      </c>
      <c r="D47" s="413" t="s">
        <v>457</v>
      </c>
      <c r="E47" s="413" t="s">
        <v>465</v>
      </c>
      <c r="F47" s="413" t="s">
        <v>484</v>
      </c>
      <c r="G47" s="413" t="s">
        <v>485</v>
      </c>
      <c r="H47" s="416"/>
      <c r="I47" s="416"/>
      <c r="J47" s="413"/>
      <c r="K47" s="413"/>
      <c r="L47" s="416"/>
      <c r="M47" s="416"/>
      <c r="N47" s="413"/>
      <c r="O47" s="413"/>
      <c r="P47" s="416">
        <v>1</v>
      </c>
      <c r="Q47" s="416">
        <v>81.94</v>
      </c>
      <c r="R47" s="468"/>
      <c r="S47" s="417">
        <v>81.94</v>
      </c>
    </row>
    <row r="48" spans="1:19" ht="14.4" customHeight="1" x14ac:dyDescent="0.3">
      <c r="A48" s="412" t="s">
        <v>463</v>
      </c>
      <c r="B48" s="413" t="s">
        <v>464</v>
      </c>
      <c r="C48" s="413" t="s">
        <v>271</v>
      </c>
      <c r="D48" s="413" t="s">
        <v>457</v>
      </c>
      <c r="E48" s="413" t="s">
        <v>465</v>
      </c>
      <c r="F48" s="413" t="s">
        <v>486</v>
      </c>
      <c r="G48" s="413" t="s">
        <v>487</v>
      </c>
      <c r="H48" s="416"/>
      <c r="I48" s="416"/>
      <c r="J48" s="413"/>
      <c r="K48" s="413"/>
      <c r="L48" s="416"/>
      <c r="M48" s="416"/>
      <c r="N48" s="413"/>
      <c r="O48" s="413"/>
      <c r="P48" s="416">
        <v>1</v>
      </c>
      <c r="Q48" s="416">
        <v>30633.14</v>
      </c>
      <c r="R48" s="468"/>
      <c r="S48" s="417">
        <v>30633.14</v>
      </c>
    </row>
    <row r="49" spans="1:19" ht="14.4" customHeight="1" x14ac:dyDescent="0.3">
      <c r="A49" s="412" t="s">
        <v>463</v>
      </c>
      <c r="B49" s="413" t="s">
        <v>464</v>
      </c>
      <c r="C49" s="413" t="s">
        <v>271</v>
      </c>
      <c r="D49" s="413" t="s">
        <v>457</v>
      </c>
      <c r="E49" s="413" t="s">
        <v>465</v>
      </c>
      <c r="F49" s="413" t="s">
        <v>488</v>
      </c>
      <c r="G49" s="413" t="s">
        <v>489</v>
      </c>
      <c r="H49" s="416"/>
      <c r="I49" s="416"/>
      <c r="J49" s="413"/>
      <c r="K49" s="413"/>
      <c r="L49" s="416"/>
      <c r="M49" s="416"/>
      <c r="N49" s="413"/>
      <c r="O49" s="413"/>
      <c r="P49" s="416">
        <v>1</v>
      </c>
      <c r="Q49" s="416">
        <v>344401.64</v>
      </c>
      <c r="R49" s="468"/>
      <c r="S49" s="417">
        <v>344401.64</v>
      </c>
    </row>
    <row r="50" spans="1:19" ht="14.4" customHeight="1" x14ac:dyDescent="0.3">
      <c r="A50" s="412" t="s">
        <v>463</v>
      </c>
      <c r="B50" s="413" t="s">
        <v>464</v>
      </c>
      <c r="C50" s="413" t="s">
        <v>271</v>
      </c>
      <c r="D50" s="413" t="s">
        <v>457</v>
      </c>
      <c r="E50" s="413" t="s">
        <v>490</v>
      </c>
      <c r="F50" s="413" t="s">
        <v>491</v>
      </c>
      <c r="G50" s="413" t="s">
        <v>492</v>
      </c>
      <c r="H50" s="416"/>
      <c r="I50" s="416"/>
      <c r="J50" s="413"/>
      <c r="K50" s="413"/>
      <c r="L50" s="416"/>
      <c r="M50" s="416"/>
      <c r="N50" s="413"/>
      <c r="O50" s="413"/>
      <c r="P50" s="416">
        <v>2</v>
      </c>
      <c r="Q50" s="416">
        <v>294</v>
      </c>
      <c r="R50" s="468"/>
      <c r="S50" s="417">
        <v>147</v>
      </c>
    </row>
    <row r="51" spans="1:19" ht="14.4" customHeight="1" x14ac:dyDescent="0.3">
      <c r="A51" s="412" t="s">
        <v>463</v>
      </c>
      <c r="B51" s="413" t="s">
        <v>464</v>
      </c>
      <c r="C51" s="413" t="s">
        <v>271</v>
      </c>
      <c r="D51" s="413" t="s">
        <v>457</v>
      </c>
      <c r="E51" s="413" t="s">
        <v>490</v>
      </c>
      <c r="F51" s="413" t="s">
        <v>495</v>
      </c>
      <c r="G51" s="413" t="s">
        <v>496</v>
      </c>
      <c r="H51" s="416"/>
      <c r="I51" s="416"/>
      <c r="J51" s="413"/>
      <c r="K51" s="413"/>
      <c r="L51" s="416"/>
      <c r="M51" s="416"/>
      <c r="N51" s="413"/>
      <c r="O51" s="413"/>
      <c r="P51" s="416">
        <v>1</v>
      </c>
      <c r="Q51" s="416">
        <v>0</v>
      </c>
      <c r="R51" s="468"/>
      <c r="S51" s="417">
        <v>0</v>
      </c>
    </row>
    <row r="52" spans="1:19" ht="14.4" customHeight="1" x14ac:dyDescent="0.3">
      <c r="A52" s="412" t="s">
        <v>463</v>
      </c>
      <c r="B52" s="413" t="s">
        <v>464</v>
      </c>
      <c r="C52" s="413" t="s">
        <v>271</v>
      </c>
      <c r="D52" s="413" t="s">
        <v>457</v>
      </c>
      <c r="E52" s="413" t="s">
        <v>490</v>
      </c>
      <c r="F52" s="413" t="s">
        <v>501</v>
      </c>
      <c r="G52" s="413" t="s">
        <v>502</v>
      </c>
      <c r="H52" s="416">
        <v>6</v>
      </c>
      <c r="I52" s="416">
        <v>216</v>
      </c>
      <c r="J52" s="413">
        <v>2.9189189189189189</v>
      </c>
      <c r="K52" s="413">
        <v>36</v>
      </c>
      <c r="L52" s="416">
        <v>2</v>
      </c>
      <c r="M52" s="416">
        <v>74</v>
      </c>
      <c r="N52" s="413">
        <v>1</v>
      </c>
      <c r="O52" s="413">
        <v>37</v>
      </c>
      <c r="P52" s="416"/>
      <c r="Q52" s="416"/>
      <c r="R52" s="468"/>
      <c r="S52" s="417"/>
    </row>
    <row r="53" spans="1:19" ht="14.4" customHeight="1" x14ac:dyDescent="0.3">
      <c r="A53" s="412" t="s">
        <v>463</v>
      </c>
      <c r="B53" s="413" t="s">
        <v>464</v>
      </c>
      <c r="C53" s="413" t="s">
        <v>271</v>
      </c>
      <c r="D53" s="413" t="s">
        <v>457</v>
      </c>
      <c r="E53" s="413" t="s">
        <v>490</v>
      </c>
      <c r="F53" s="413" t="s">
        <v>503</v>
      </c>
      <c r="G53" s="413" t="s">
        <v>504</v>
      </c>
      <c r="H53" s="416">
        <v>4</v>
      </c>
      <c r="I53" s="416">
        <v>500</v>
      </c>
      <c r="J53" s="413"/>
      <c r="K53" s="413">
        <v>125</v>
      </c>
      <c r="L53" s="416"/>
      <c r="M53" s="416"/>
      <c r="N53" s="413"/>
      <c r="O53" s="413"/>
      <c r="P53" s="416"/>
      <c r="Q53" s="416"/>
      <c r="R53" s="468"/>
      <c r="S53" s="417"/>
    </row>
    <row r="54" spans="1:19" ht="14.4" customHeight="1" x14ac:dyDescent="0.3">
      <c r="A54" s="412" t="s">
        <v>463</v>
      </c>
      <c r="B54" s="413" t="s">
        <v>464</v>
      </c>
      <c r="C54" s="413" t="s">
        <v>271</v>
      </c>
      <c r="D54" s="413" t="s">
        <v>457</v>
      </c>
      <c r="E54" s="413" t="s">
        <v>490</v>
      </c>
      <c r="F54" s="413" t="s">
        <v>511</v>
      </c>
      <c r="G54" s="413" t="s">
        <v>512</v>
      </c>
      <c r="H54" s="416"/>
      <c r="I54" s="416"/>
      <c r="J54" s="413"/>
      <c r="K54" s="413"/>
      <c r="L54" s="416">
        <v>1</v>
      </c>
      <c r="M54" s="416">
        <v>59</v>
      </c>
      <c r="N54" s="413">
        <v>1</v>
      </c>
      <c r="O54" s="413">
        <v>59</v>
      </c>
      <c r="P54" s="416"/>
      <c r="Q54" s="416"/>
      <c r="R54" s="468"/>
      <c r="S54" s="417"/>
    </row>
    <row r="55" spans="1:19" ht="14.4" customHeight="1" x14ac:dyDescent="0.3">
      <c r="A55" s="412" t="s">
        <v>463</v>
      </c>
      <c r="B55" s="413" t="s">
        <v>464</v>
      </c>
      <c r="C55" s="413" t="s">
        <v>271</v>
      </c>
      <c r="D55" s="413" t="s">
        <v>458</v>
      </c>
      <c r="E55" s="413" t="s">
        <v>465</v>
      </c>
      <c r="F55" s="413" t="s">
        <v>466</v>
      </c>
      <c r="G55" s="413" t="s">
        <v>467</v>
      </c>
      <c r="H55" s="416"/>
      <c r="I55" s="416"/>
      <c r="J55" s="413"/>
      <c r="K55" s="413"/>
      <c r="L55" s="416"/>
      <c r="M55" s="416"/>
      <c r="N55" s="413"/>
      <c r="O55" s="413"/>
      <c r="P55" s="416">
        <v>0.2</v>
      </c>
      <c r="Q55" s="416">
        <v>10.82</v>
      </c>
      <c r="R55" s="468"/>
      <c r="S55" s="417">
        <v>54.1</v>
      </c>
    </row>
    <row r="56" spans="1:19" ht="14.4" customHeight="1" x14ac:dyDescent="0.3">
      <c r="A56" s="412" t="s">
        <v>463</v>
      </c>
      <c r="B56" s="413" t="s">
        <v>464</v>
      </c>
      <c r="C56" s="413" t="s">
        <v>271</v>
      </c>
      <c r="D56" s="413" t="s">
        <v>458</v>
      </c>
      <c r="E56" s="413" t="s">
        <v>465</v>
      </c>
      <c r="F56" s="413" t="s">
        <v>474</v>
      </c>
      <c r="G56" s="413" t="s">
        <v>475</v>
      </c>
      <c r="H56" s="416"/>
      <c r="I56" s="416"/>
      <c r="J56" s="413"/>
      <c r="K56" s="413"/>
      <c r="L56" s="416"/>
      <c r="M56" s="416"/>
      <c r="N56" s="413"/>
      <c r="O56" s="413"/>
      <c r="P56" s="416">
        <v>1</v>
      </c>
      <c r="Q56" s="416">
        <v>12.18</v>
      </c>
      <c r="R56" s="468"/>
      <c r="S56" s="417">
        <v>12.18</v>
      </c>
    </row>
    <row r="57" spans="1:19" ht="14.4" customHeight="1" x14ac:dyDescent="0.3">
      <c r="A57" s="412" t="s">
        <v>463</v>
      </c>
      <c r="B57" s="413" t="s">
        <v>464</v>
      </c>
      <c r="C57" s="413" t="s">
        <v>271</v>
      </c>
      <c r="D57" s="413" t="s">
        <v>458</v>
      </c>
      <c r="E57" s="413" t="s">
        <v>490</v>
      </c>
      <c r="F57" s="413" t="s">
        <v>491</v>
      </c>
      <c r="G57" s="413" t="s">
        <v>492</v>
      </c>
      <c r="H57" s="416"/>
      <c r="I57" s="416"/>
      <c r="J57" s="413"/>
      <c r="K57" s="413"/>
      <c r="L57" s="416"/>
      <c r="M57" s="416"/>
      <c r="N57" s="413"/>
      <c r="O57" s="413"/>
      <c r="P57" s="416">
        <v>1</v>
      </c>
      <c r="Q57" s="416">
        <v>147</v>
      </c>
      <c r="R57" s="468"/>
      <c r="S57" s="417">
        <v>147</v>
      </c>
    </row>
    <row r="58" spans="1:19" ht="14.4" customHeight="1" x14ac:dyDescent="0.3">
      <c r="A58" s="412" t="s">
        <v>463</v>
      </c>
      <c r="B58" s="413" t="s">
        <v>464</v>
      </c>
      <c r="C58" s="413" t="s">
        <v>271</v>
      </c>
      <c r="D58" s="413" t="s">
        <v>458</v>
      </c>
      <c r="E58" s="413" t="s">
        <v>490</v>
      </c>
      <c r="F58" s="413" t="s">
        <v>501</v>
      </c>
      <c r="G58" s="413" t="s">
        <v>502</v>
      </c>
      <c r="H58" s="416"/>
      <c r="I58" s="416"/>
      <c r="J58" s="413"/>
      <c r="K58" s="413"/>
      <c r="L58" s="416">
        <v>10</v>
      </c>
      <c r="M58" s="416">
        <v>370</v>
      </c>
      <c r="N58" s="413">
        <v>1</v>
      </c>
      <c r="O58" s="413">
        <v>37</v>
      </c>
      <c r="P58" s="416"/>
      <c r="Q58" s="416"/>
      <c r="R58" s="468"/>
      <c r="S58" s="417"/>
    </row>
    <row r="59" spans="1:19" ht="14.4" customHeight="1" x14ac:dyDescent="0.3">
      <c r="A59" s="412" t="s">
        <v>463</v>
      </c>
      <c r="B59" s="413" t="s">
        <v>464</v>
      </c>
      <c r="C59" s="413" t="s">
        <v>271</v>
      </c>
      <c r="D59" s="413" t="s">
        <v>459</v>
      </c>
      <c r="E59" s="413" t="s">
        <v>490</v>
      </c>
      <c r="F59" s="413" t="s">
        <v>493</v>
      </c>
      <c r="G59" s="413" t="s">
        <v>494</v>
      </c>
      <c r="H59" s="416">
        <v>151</v>
      </c>
      <c r="I59" s="416">
        <v>5285</v>
      </c>
      <c r="J59" s="413">
        <v>0.61303793063449719</v>
      </c>
      <c r="K59" s="413">
        <v>35</v>
      </c>
      <c r="L59" s="416">
        <v>233</v>
      </c>
      <c r="M59" s="416">
        <v>8621</v>
      </c>
      <c r="N59" s="413">
        <v>1</v>
      </c>
      <c r="O59" s="413">
        <v>37</v>
      </c>
      <c r="P59" s="416">
        <v>285</v>
      </c>
      <c r="Q59" s="416">
        <v>10545</v>
      </c>
      <c r="R59" s="468">
        <v>1.2231759656652361</v>
      </c>
      <c r="S59" s="417">
        <v>37</v>
      </c>
    </row>
    <row r="60" spans="1:19" ht="14.4" customHeight="1" x14ac:dyDescent="0.3">
      <c r="A60" s="412" t="s">
        <v>463</v>
      </c>
      <c r="B60" s="413" t="s">
        <v>464</v>
      </c>
      <c r="C60" s="413" t="s">
        <v>271</v>
      </c>
      <c r="D60" s="413" t="s">
        <v>459</v>
      </c>
      <c r="E60" s="413" t="s">
        <v>490</v>
      </c>
      <c r="F60" s="413" t="s">
        <v>497</v>
      </c>
      <c r="G60" s="413" t="s">
        <v>498</v>
      </c>
      <c r="H60" s="416">
        <v>80</v>
      </c>
      <c r="I60" s="416">
        <v>35040</v>
      </c>
      <c r="J60" s="413">
        <v>0.7471215351812367</v>
      </c>
      <c r="K60" s="413">
        <v>438</v>
      </c>
      <c r="L60" s="416">
        <v>100</v>
      </c>
      <c r="M60" s="416">
        <v>46900</v>
      </c>
      <c r="N60" s="413">
        <v>1</v>
      </c>
      <c r="O60" s="413">
        <v>469</v>
      </c>
      <c r="P60" s="416">
        <v>128</v>
      </c>
      <c r="Q60" s="416">
        <v>60160</v>
      </c>
      <c r="R60" s="468">
        <v>1.28272921108742</v>
      </c>
      <c r="S60" s="417">
        <v>470</v>
      </c>
    </row>
    <row r="61" spans="1:19" ht="14.4" customHeight="1" x14ac:dyDescent="0.3">
      <c r="A61" s="412" t="s">
        <v>463</v>
      </c>
      <c r="B61" s="413" t="s">
        <v>464</v>
      </c>
      <c r="C61" s="413" t="s">
        <v>271</v>
      </c>
      <c r="D61" s="413" t="s">
        <v>459</v>
      </c>
      <c r="E61" s="413" t="s">
        <v>490</v>
      </c>
      <c r="F61" s="413" t="s">
        <v>499</v>
      </c>
      <c r="G61" s="413" t="s">
        <v>500</v>
      </c>
      <c r="H61" s="416">
        <v>61</v>
      </c>
      <c r="I61" s="416">
        <v>1066.67</v>
      </c>
      <c r="J61" s="413">
        <v>0.27118682849690084</v>
      </c>
      <c r="K61" s="413">
        <v>17.486393442622951</v>
      </c>
      <c r="L61" s="416">
        <v>118</v>
      </c>
      <c r="M61" s="416">
        <v>3933.34</v>
      </c>
      <c r="N61" s="413">
        <v>1</v>
      </c>
      <c r="O61" s="413">
        <v>33.333389830508473</v>
      </c>
      <c r="P61" s="416">
        <v>145</v>
      </c>
      <c r="Q61" s="416">
        <v>4833.33</v>
      </c>
      <c r="R61" s="468">
        <v>1.2288106291345269</v>
      </c>
      <c r="S61" s="417">
        <v>33.333310344827588</v>
      </c>
    </row>
    <row r="62" spans="1:19" ht="14.4" customHeight="1" x14ac:dyDescent="0.3">
      <c r="A62" s="412" t="s">
        <v>463</v>
      </c>
      <c r="B62" s="413" t="s">
        <v>464</v>
      </c>
      <c r="C62" s="413" t="s">
        <v>271</v>
      </c>
      <c r="D62" s="413" t="s">
        <v>459</v>
      </c>
      <c r="E62" s="413" t="s">
        <v>490</v>
      </c>
      <c r="F62" s="413" t="s">
        <v>501</v>
      </c>
      <c r="G62" s="413" t="s">
        <v>502</v>
      </c>
      <c r="H62" s="416">
        <v>1</v>
      </c>
      <c r="I62" s="416">
        <v>36</v>
      </c>
      <c r="J62" s="413">
        <v>0.97297297297297303</v>
      </c>
      <c r="K62" s="413">
        <v>36</v>
      </c>
      <c r="L62" s="416">
        <v>1</v>
      </c>
      <c r="M62" s="416">
        <v>37</v>
      </c>
      <c r="N62" s="413">
        <v>1</v>
      </c>
      <c r="O62" s="413">
        <v>37</v>
      </c>
      <c r="P62" s="416">
        <v>2</v>
      </c>
      <c r="Q62" s="416">
        <v>74</v>
      </c>
      <c r="R62" s="468">
        <v>2</v>
      </c>
      <c r="S62" s="417">
        <v>37</v>
      </c>
    </row>
    <row r="63" spans="1:19" ht="14.4" customHeight="1" x14ac:dyDescent="0.3">
      <c r="A63" s="412" t="s">
        <v>463</v>
      </c>
      <c r="B63" s="413" t="s">
        <v>464</v>
      </c>
      <c r="C63" s="413" t="s">
        <v>271</v>
      </c>
      <c r="D63" s="413" t="s">
        <v>459</v>
      </c>
      <c r="E63" s="413" t="s">
        <v>490</v>
      </c>
      <c r="F63" s="413" t="s">
        <v>503</v>
      </c>
      <c r="G63" s="413" t="s">
        <v>504</v>
      </c>
      <c r="H63" s="416">
        <v>1</v>
      </c>
      <c r="I63" s="416">
        <v>125</v>
      </c>
      <c r="J63" s="413"/>
      <c r="K63" s="413">
        <v>125</v>
      </c>
      <c r="L63" s="416"/>
      <c r="M63" s="416"/>
      <c r="N63" s="413"/>
      <c r="O63" s="413"/>
      <c r="P63" s="416"/>
      <c r="Q63" s="416"/>
      <c r="R63" s="468"/>
      <c r="S63" s="417"/>
    </row>
    <row r="64" spans="1:19" ht="14.4" customHeight="1" x14ac:dyDescent="0.3">
      <c r="A64" s="412" t="s">
        <v>463</v>
      </c>
      <c r="B64" s="413" t="s">
        <v>464</v>
      </c>
      <c r="C64" s="413" t="s">
        <v>271</v>
      </c>
      <c r="D64" s="413" t="s">
        <v>459</v>
      </c>
      <c r="E64" s="413" t="s">
        <v>490</v>
      </c>
      <c r="F64" s="413" t="s">
        <v>505</v>
      </c>
      <c r="G64" s="413" t="s">
        <v>506</v>
      </c>
      <c r="H64" s="416">
        <v>2</v>
      </c>
      <c r="I64" s="416">
        <v>1306</v>
      </c>
      <c r="J64" s="413"/>
      <c r="K64" s="413">
        <v>653</v>
      </c>
      <c r="L64" s="416"/>
      <c r="M64" s="416"/>
      <c r="N64" s="413"/>
      <c r="O64" s="413"/>
      <c r="P64" s="416"/>
      <c r="Q64" s="416"/>
      <c r="R64" s="468"/>
      <c r="S64" s="417"/>
    </row>
    <row r="65" spans="1:19" ht="14.4" customHeight="1" x14ac:dyDescent="0.3">
      <c r="A65" s="412" t="s">
        <v>463</v>
      </c>
      <c r="B65" s="413" t="s">
        <v>464</v>
      </c>
      <c r="C65" s="413" t="s">
        <v>271</v>
      </c>
      <c r="D65" s="413" t="s">
        <v>459</v>
      </c>
      <c r="E65" s="413" t="s">
        <v>490</v>
      </c>
      <c r="F65" s="413" t="s">
        <v>507</v>
      </c>
      <c r="G65" s="413" t="s">
        <v>508</v>
      </c>
      <c r="H65" s="416">
        <v>5</v>
      </c>
      <c r="I65" s="416">
        <v>1095</v>
      </c>
      <c r="J65" s="413">
        <v>0.24524076147816348</v>
      </c>
      <c r="K65" s="413">
        <v>219</v>
      </c>
      <c r="L65" s="416">
        <v>19</v>
      </c>
      <c r="M65" s="416">
        <v>4465</v>
      </c>
      <c r="N65" s="413">
        <v>1</v>
      </c>
      <c r="O65" s="413">
        <v>235</v>
      </c>
      <c r="P65" s="416">
        <v>21</v>
      </c>
      <c r="Q65" s="416">
        <v>4935</v>
      </c>
      <c r="R65" s="468">
        <v>1.1052631578947369</v>
      </c>
      <c r="S65" s="417">
        <v>235</v>
      </c>
    </row>
    <row r="66" spans="1:19" ht="14.4" customHeight="1" x14ac:dyDescent="0.3">
      <c r="A66" s="412" t="s">
        <v>463</v>
      </c>
      <c r="B66" s="413" t="s">
        <v>464</v>
      </c>
      <c r="C66" s="413" t="s">
        <v>271</v>
      </c>
      <c r="D66" s="413" t="s">
        <v>459</v>
      </c>
      <c r="E66" s="413" t="s">
        <v>490</v>
      </c>
      <c r="F66" s="413" t="s">
        <v>511</v>
      </c>
      <c r="G66" s="413" t="s">
        <v>512</v>
      </c>
      <c r="H66" s="416"/>
      <c r="I66" s="416"/>
      <c r="J66" s="413"/>
      <c r="K66" s="413"/>
      <c r="L66" s="416">
        <v>1</v>
      </c>
      <c r="M66" s="416">
        <v>59</v>
      </c>
      <c r="N66" s="413">
        <v>1</v>
      </c>
      <c r="O66" s="413">
        <v>59</v>
      </c>
      <c r="P66" s="416">
        <v>1</v>
      </c>
      <c r="Q66" s="416">
        <v>59</v>
      </c>
      <c r="R66" s="468">
        <v>1</v>
      </c>
      <c r="S66" s="417">
        <v>59</v>
      </c>
    </row>
    <row r="67" spans="1:19" ht="14.4" customHeight="1" x14ac:dyDescent="0.3">
      <c r="A67" s="412" t="s">
        <v>463</v>
      </c>
      <c r="B67" s="413" t="s">
        <v>464</v>
      </c>
      <c r="C67" s="413" t="s">
        <v>271</v>
      </c>
      <c r="D67" s="413" t="s">
        <v>459</v>
      </c>
      <c r="E67" s="413" t="s">
        <v>490</v>
      </c>
      <c r="F67" s="413" t="s">
        <v>513</v>
      </c>
      <c r="G67" s="413" t="s">
        <v>514</v>
      </c>
      <c r="H67" s="416">
        <v>1036</v>
      </c>
      <c r="I67" s="416">
        <v>271432</v>
      </c>
      <c r="J67" s="413">
        <v>0.88547008547008543</v>
      </c>
      <c r="K67" s="413">
        <v>262</v>
      </c>
      <c r="L67" s="416">
        <v>1170</v>
      </c>
      <c r="M67" s="416">
        <v>306540</v>
      </c>
      <c r="N67" s="413">
        <v>1</v>
      </c>
      <c r="O67" s="413">
        <v>262</v>
      </c>
      <c r="P67" s="416">
        <v>2011</v>
      </c>
      <c r="Q67" s="416">
        <v>526882</v>
      </c>
      <c r="R67" s="468">
        <v>1.7188034188034189</v>
      </c>
      <c r="S67" s="417">
        <v>262</v>
      </c>
    </row>
    <row r="68" spans="1:19" ht="14.4" customHeight="1" x14ac:dyDescent="0.3">
      <c r="A68" s="412" t="s">
        <v>463</v>
      </c>
      <c r="B68" s="413" t="s">
        <v>464</v>
      </c>
      <c r="C68" s="413" t="s">
        <v>271</v>
      </c>
      <c r="D68" s="413" t="s">
        <v>459</v>
      </c>
      <c r="E68" s="413" t="s">
        <v>490</v>
      </c>
      <c r="F68" s="413" t="s">
        <v>515</v>
      </c>
      <c r="G68" s="413" t="s">
        <v>516</v>
      </c>
      <c r="H68" s="416">
        <v>93</v>
      </c>
      <c r="I68" s="416">
        <v>333498</v>
      </c>
      <c r="J68" s="413">
        <v>0.57407407407407407</v>
      </c>
      <c r="K68" s="413">
        <v>3586</v>
      </c>
      <c r="L68" s="416">
        <v>162</v>
      </c>
      <c r="M68" s="416">
        <v>580932</v>
      </c>
      <c r="N68" s="413">
        <v>1</v>
      </c>
      <c r="O68" s="413">
        <v>3586</v>
      </c>
      <c r="P68" s="416">
        <v>419</v>
      </c>
      <c r="Q68" s="416">
        <v>1502534</v>
      </c>
      <c r="R68" s="468">
        <v>2.5864197530864197</v>
      </c>
      <c r="S68" s="417">
        <v>3586</v>
      </c>
    </row>
    <row r="69" spans="1:19" ht="14.4" customHeight="1" x14ac:dyDescent="0.3">
      <c r="A69" s="412" t="s">
        <v>463</v>
      </c>
      <c r="B69" s="413" t="s">
        <v>464</v>
      </c>
      <c r="C69" s="413" t="s">
        <v>271</v>
      </c>
      <c r="D69" s="413" t="s">
        <v>459</v>
      </c>
      <c r="E69" s="413" t="s">
        <v>490</v>
      </c>
      <c r="F69" s="413" t="s">
        <v>517</v>
      </c>
      <c r="G69" s="413" t="s">
        <v>516</v>
      </c>
      <c r="H69" s="416">
        <v>3</v>
      </c>
      <c r="I69" s="416">
        <v>15600</v>
      </c>
      <c r="J69" s="413"/>
      <c r="K69" s="413">
        <v>5200</v>
      </c>
      <c r="L69" s="416"/>
      <c r="M69" s="416"/>
      <c r="N69" s="413"/>
      <c r="O69" s="413"/>
      <c r="P69" s="416"/>
      <c r="Q69" s="416"/>
      <c r="R69" s="468"/>
      <c r="S69" s="417"/>
    </row>
    <row r="70" spans="1:19" ht="14.4" customHeight="1" x14ac:dyDescent="0.3">
      <c r="A70" s="412" t="s">
        <v>463</v>
      </c>
      <c r="B70" s="413" t="s">
        <v>464</v>
      </c>
      <c r="C70" s="413" t="s">
        <v>271</v>
      </c>
      <c r="D70" s="413" t="s">
        <v>460</v>
      </c>
      <c r="E70" s="413" t="s">
        <v>490</v>
      </c>
      <c r="F70" s="413" t="s">
        <v>501</v>
      </c>
      <c r="G70" s="413" t="s">
        <v>502</v>
      </c>
      <c r="H70" s="416"/>
      <c r="I70" s="416"/>
      <c r="J70" s="413"/>
      <c r="K70" s="413"/>
      <c r="L70" s="416">
        <v>1</v>
      </c>
      <c r="M70" s="416">
        <v>37</v>
      </c>
      <c r="N70" s="413">
        <v>1</v>
      </c>
      <c r="O70" s="413">
        <v>37</v>
      </c>
      <c r="P70" s="416"/>
      <c r="Q70" s="416"/>
      <c r="R70" s="468"/>
      <c r="S70" s="417"/>
    </row>
    <row r="71" spans="1:19" ht="14.4" customHeight="1" x14ac:dyDescent="0.3">
      <c r="A71" s="412" t="s">
        <v>463</v>
      </c>
      <c r="B71" s="413" t="s">
        <v>464</v>
      </c>
      <c r="C71" s="413" t="s">
        <v>271</v>
      </c>
      <c r="D71" s="413" t="s">
        <v>460</v>
      </c>
      <c r="E71" s="413" t="s">
        <v>490</v>
      </c>
      <c r="F71" s="413" t="s">
        <v>503</v>
      </c>
      <c r="G71" s="413" t="s">
        <v>504</v>
      </c>
      <c r="H71" s="416">
        <v>1</v>
      </c>
      <c r="I71" s="416">
        <v>125</v>
      </c>
      <c r="J71" s="413"/>
      <c r="K71" s="413">
        <v>125</v>
      </c>
      <c r="L71" s="416"/>
      <c r="M71" s="416"/>
      <c r="N71" s="413"/>
      <c r="O71" s="413"/>
      <c r="P71" s="416"/>
      <c r="Q71" s="416"/>
      <c r="R71" s="468"/>
      <c r="S71" s="417"/>
    </row>
    <row r="72" spans="1:19" ht="14.4" customHeight="1" x14ac:dyDescent="0.3">
      <c r="A72" s="412" t="s">
        <v>463</v>
      </c>
      <c r="B72" s="413" t="s">
        <v>464</v>
      </c>
      <c r="C72" s="413" t="s">
        <v>271</v>
      </c>
      <c r="D72" s="413" t="s">
        <v>461</v>
      </c>
      <c r="E72" s="413" t="s">
        <v>465</v>
      </c>
      <c r="F72" s="413" t="s">
        <v>477</v>
      </c>
      <c r="G72" s="413" t="s">
        <v>475</v>
      </c>
      <c r="H72" s="416"/>
      <c r="I72" s="416"/>
      <c r="J72" s="413"/>
      <c r="K72" s="413"/>
      <c r="L72" s="416"/>
      <c r="M72" s="416"/>
      <c r="N72" s="413"/>
      <c r="O72" s="413"/>
      <c r="P72" s="416">
        <v>1</v>
      </c>
      <c r="Q72" s="416">
        <v>6.09</v>
      </c>
      <c r="R72" s="468"/>
      <c r="S72" s="417">
        <v>6.09</v>
      </c>
    </row>
    <row r="73" spans="1:19" ht="14.4" customHeight="1" x14ac:dyDescent="0.3">
      <c r="A73" s="412" t="s">
        <v>463</v>
      </c>
      <c r="B73" s="413" t="s">
        <v>464</v>
      </c>
      <c r="C73" s="413" t="s">
        <v>271</v>
      </c>
      <c r="D73" s="413" t="s">
        <v>461</v>
      </c>
      <c r="E73" s="413" t="s">
        <v>465</v>
      </c>
      <c r="F73" s="413" t="s">
        <v>478</v>
      </c>
      <c r="G73" s="413" t="s">
        <v>479</v>
      </c>
      <c r="H73" s="416"/>
      <c r="I73" s="416"/>
      <c r="J73" s="413"/>
      <c r="K73" s="413"/>
      <c r="L73" s="416"/>
      <c r="M73" s="416"/>
      <c r="N73" s="413"/>
      <c r="O73" s="413"/>
      <c r="P73" s="416">
        <v>1</v>
      </c>
      <c r="Q73" s="416">
        <v>1118.9000000000001</v>
      </c>
      <c r="R73" s="468"/>
      <c r="S73" s="417">
        <v>1118.9000000000001</v>
      </c>
    </row>
    <row r="74" spans="1:19" ht="14.4" customHeight="1" x14ac:dyDescent="0.3">
      <c r="A74" s="412" t="s">
        <v>463</v>
      </c>
      <c r="B74" s="413" t="s">
        <v>464</v>
      </c>
      <c r="C74" s="413" t="s">
        <v>271</v>
      </c>
      <c r="D74" s="413" t="s">
        <v>461</v>
      </c>
      <c r="E74" s="413" t="s">
        <v>490</v>
      </c>
      <c r="F74" s="413" t="s">
        <v>491</v>
      </c>
      <c r="G74" s="413" t="s">
        <v>492</v>
      </c>
      <c r="H74" s="416"/>
      <c r="I74" s="416"/>
      <c r="J74" s="413"/>
      <c r="K74" s="413"/>
      <c r="L74" s="416"/>
      <c r="M74" s="416"/>
      <c r="N74" s="413"/>
      <c r="O74" s="413"/>
      <c r="P74" s="416">
        <v>1</v>
      </c>
      <c r="Q74" s="416">
        <v>147</v>
      </c>
      <c r="R74" s="468"/>
      <c r="S74" s="417">
        <v>147</v>
      </c>
    </row>
    <row r="75" spans="1:19" ht="14.4" customHeight="1" x14ac:dyDescent="0.3">
      <c r="A75" s="412" t="s">
        <v>463</v>
      </c>
      <c r="B75" s="413" t="s">
        <v>464</v>
      </c>
      <c r="C75" s="413" t="s">
        <v>271</v>
      </c>
      <c r="D75" s="413" t="s">
        <v>461</v>
      </c>
      <c r="E75" s="413" t="s">
        <v>490</v>
      </c>
      <c r="F75" s="413" t="s">
        <v>501</v>
      </c>
      <c r="G75" s="413" t="s">
        <v>502</v>
      </c>
      <c r="H75" s="416">
        <v>3</v>
      </c>
      <c r="I75" s="416">
        <v>108</v>
      </c>
      <c r="J75" s="413">
        <v>2.9189189189189189</v>
      </c>
      <c r="K75" s="413">
        <v>36</v>
      </c>
      <c r="L75" s="416">
        <v>1</v>
      </c>
      <c r="M75" s="416">
        <v>37</v>
      </c>
      <c r="N75" s="413">
        <v>1</v>
      </c>
      <c r="O75" s="413">
        <v>37</v>
      </c>
      <c r="P75" s="416">
        <v>3</v>
      </c>
      <c r="Q75" s="416">
        <v>111</v>
      </c>
      <c r="R75" s="468">
        <v>3</v>
      </c>
      <c r="S75" s="417">
        <v>37</v>
      </c>
    </row>
    <row r="76" spans="1:19" ht="14.4" customHeight="1" x14ac:dyDescent="0.3">
      <c r="A76" s="412" t="s">
        <v>463</v>
      </c>
      <c r="B76" s="413" t="s">
        <v>464</v>
      </c>
      <c r="C76" s="413" t="s">
        <v>271</v>
      </c>
      <c r="D76" s="413" t="s">
        <v>461</v>
      </c>
      <c r="E76" s="413" t="s">
        <v>490</v>
      </c>
      <c r="F76" s="413" t="s">
        <v>503</v>
      </c>
      <c r="G76" s="413" t="s">
        <v>504</v>
      </c>
      <c r="H76" s="416">
        <v>2</v>
      </c>
      <c r="I76" s="416">
        <v>250</v>
      </c>
      <c r="J76" s="413"/>
      <c r="K76" s="413">
        <v>125</v>
      </c>
      <c r="L76" s="416"/>
      <c r="M76" s="416"/>
      <c r="N76" s="413"/>
      <c r="O76" s="413"/>
      <c r="P76" s="416"/>
      <c r="Q76" s="416"/>
      <c r="R76" s="468"/>
      <c r="S76" s="417"/>
    </row>
    <row r="77" spans="1:19" ht="14.4" customHeight="1" x14ac:dyDescent="0.3">
      <c r="A77" s="412" t="s">
        <v>463</v>
      </c>
      <c r="B77" s="413" t="s">
        <v>464</v>
      </c>
      <c r="C77" s="413" t="s">
        <v>518</v>
      </c>
      <c r="D77" s="413" t="s">
        <v>437</v>
      </c>
      <c r="E77" s="413" t="s">
        <v>465</v>
      </c>
      <c r="F77" s="413" t="s">
        <v>486</v>
      </c>
      <c r="G77" s="413" t="s">
        <v>519</v>
      </c>
      <c r="H77" s="416"/>
      <c r="I77" s="416"/>
      <c r="J77" s="413"/>
      <c r="K77" s="413"/>
      <c r="L77" s="416"/>
      <c r="M77" s="416"/>
      <c r="N77" s="413"/>
      <c r="O77" s="413"/>
      <c r="P77" s="416">
        <v>0</v>
      </c>
      <c r="Q77" s="416">
        <v>0</v>
      </c>
      <c r="R77" s="468"/>
      <c r="S77" s="417"/>
    </row>
    <row r="78" spans="1:19" ht="14.4" customHeight="1" x14ac:dyDescent="0.3">
      <c r="A78" s="412" t="s">
        <v>463</v>
      </c>
      <c r="B78" s="413" t="s">
        <v>464</v>
      </c>
      <c r="C78" s="413" t="s">
        <v>518</v>
      </c>
      <c r="D78" s="413" t="s">
        <v>437</v>
      </c>
      <c r="E78" s="413" t="s">
        <v>465</v>
      </c>
      <c r="F78" s="413" t="s">
        <v>488</v>
      </c>
      <c r="G78" s="413" t="s">
        <v>520</v>
      </c>
      <c r="H78" s="416"/>
      <c r="I78" s="416"/>
      <c r="J78" s="413"/>
      <c r="K78" s="413"/>
      <c r="L78" s="416"/>
      <c r="M78" s="416"/>
      <c r="N78" s="413"/>
      <c r="O78" s="413"/>
      <c r="P78" s="416">
        <v>0</v>
      </c>
      <c r="Q78" s="416">
        <v>0</v>
      </c>
      <c r="R78" s="468"/>
      <c r="S78" s="417"/>
    </row>
    <row r="79" spans="1:19" ht="14.4" customHeight="1" x14ac:dyDescent="0.3">
      <c r="A79" s="412" t="s">
        <v>463</v>
      </c>
      <c r="B79" s="413" t="s">
        <v>521</v>
      </c>
      <c r="C79" s="413" t="s">
        <v>271</v>
      </c>
      <c r="D79" s="413" t="s">
        <v>450</v>
      </c>
      <c r="E79" s="413" t="s">
        <v>490</v>
      </c>
      <c r="F79" s="413" t="s">
        <v>522</v>
      </c>
      <c r="G79" s="413" t="s">
        <v>523</v>
      </c>
      <c r="H79" s="416">
        <v>31</v>
      </c>
      <c r="I79" s="416">
        <v>7285</v>
      </c>
      <c r="J79" s="413">
        <v>29.023904382470121</v>
      </c>
      <c r="K79" s="413">
        <v>235</v>
      </c>
      <c r="L79" s="416">
        <v>1</v>
      </c>
      <c r="M79" s="416">
        <v>251</v>
      </c>
      <c r="N79" s="413">
        <v>1</v>
      </c>
      <c r="O79" s="413">
        <v>251</v>
      </c>
      <c r="P79" s="416"/>
      <c r="Q79" s="416"/>
      <c r="R79" s="468"/>
      <c r="S79" s="417"/>
    </row>
    <row r="80" spans="1:19" ht="14.4" customHeight="1" x14ac:dyDescent="0.3">
      <c r="A80" s="412" t="s">
        <v>463</v>
      </c>
      <c r="B80" s="413" t="s">
        <v>521</v>
      </c>
      <c r="C80" s="413" t="s">
        <v>271</v>
      </c>
      <c r="D80" s="413" t="s">
        <v>450</v>
      </c>
      <c r="E80" s="413" t="s">
        <v>490</v>
      </c>
      <c r="F80" s="413" t="s">
        <v>499</v>
      </c>
      <c r="G80" s="413" t="s">
        <v>500</v>
      </c>
      <c r="H80" s="416">
        <v>31</v>
      </c>
      <c r="I80" s="416">
        <v>366.67</v>
      </c>
      <c r="J80" s="413"/>
      <c r="K80" s="413">
        <v>11.828064516129032</v>
      </c>
      <c r="L80" s="416"/>
      <c r="M80" s="416"/>
      <c r="N80" s="413"/>
      <c r="O80" s="413"/>
      <c r="P80" s="416"/>
      <c r="Q80" s="416"/>
      <c r="R80" s="468"/>
      <c r="S80" s="417"/>
    </row>
    <row r="81" spans="1:19" ht="14.4" customHeight="1" x14ac:dyDescent="0.3">
      <c r="A81" s="412" t="s">
        <v>463</v>
      </c>
      <c r="B81" s="413" t="s">
        <v>524</v>
      </c>
      <c r="C81" s="413" t="s">
        <v>260</v>
      </c>
      <c r="D81" s="413" t="s">
        <v>437</v>
      </c>
      <c r="E81" s="413" t="s">
        <v>490</v>
      </c>
      <c r="F81" s="413" t="s">
        <v>525</v>
      </c>
      <c r="G81" s="413" t="s">
        <v>526</v>
      </c>
      <c r="H81" s="416">
        <v>19</v>
      </c>
      <c r="I81" s="416">
        <v>6498</v>
      </c>
      <c r="J81" s="413"/>
      <c r="K81" s="413">
        <v>342</v>
      </c>
      <c r="L81" s="416"/>
      <c r="M81" s="416"/>
      <c r="N81" s="413"/>
      <c r="O81" s="413"/>
      <c r="P81" s="416"/>
      <c r="Q81" s="416"/>
      <c r="R81" s="468"/>
      <c r="S81" s="417"/>
    </row>
    <row r="82" spans="1:19" ht="14.4" customHeight="1" x14ac:dyDescent="0.3">
      <c r="A82" s="412" t="s">
        <v>463</v>
      </c>
      <c r="B82" s="413" t="s">
        <v>524</v>
      </c>
      <c r="C82" s="413" t="s">
        <v>260</v>
      </c>
      <c r="D82" s="413" t="s">
        <v>437</v>
      </c>
      <c r="E82" s="413" t="s">
        <v>490</v>
      </c>
      <c r="F82" s="413" t="s">
        <v>529</v>
      </c>
      <c r="G82" s="413" t="s">
        <v>530</v>
      </c>
      <c r="H82" s="416">
        <v>16</v>
      </c>
      <c r="I82" s="416">
        <v>1568</v>
      </c>
      <c r="J82" s="413"/>
      <c r="K82" s="413">
        <v>98</v>
      </c>
      <c r="L82" s="416"/>
      <c r="M82" s="416"/>
      <c r="N82" s="413"/>
      <c r="O82" s="413"/>
      <c r="P82" s="416"/>
      <c r="Q82" s="416"/>
      <c r="R82" s="468"/>
      <c r="S82" s="417"/>
    </row>
    <row r="83" spans="1:19" ht="14.4" customHeight="1" x14ac:dyDescent="0.3">
      <c r="A83" s="412" t="s">
        <v>463</v>
      </c>
      <c r="B83" s="413" t="s">
        <v>524</v>
      </c>
      <c r="C83" s="413" t="s">
        <v>260</v>
      </c>
      <c r="D83" s="413" t="s">
        <v>437</v>
      </c>
      <c r="E83" s="413" t="s">
        <v>490</v>
      </c>
      <c r="F83" s="413" t="s">
        <v>513</v>
      </c>
      <c r="G83" s="413" t="s">
        <v>514</v>
      </c>
      <c r="H83" s="416">
        <v>7</v>
      </c>
      <c r="I83" s="416">
        <v>1834</v>
      </c>
      <c r="J83" s="413"/>
      <c r="K83" s="413">
        <v>262</v>
      </c>
      <c r="L83" s="416"/>
      <c r="M83" s="416"/>
      <c r="N83" s="413"/>
      <c r="O83" s="413"/>
      <c r="P83" s="416"/>
      <c r="Q83" s="416"/>
      <c r="R83" s="468"/>
      <c r="S83" s="417"/>
    </row>
    <row r="84" spans="1:19" ht="14.4" customHeight="1" x14ac:dyDescent="0.3">
      <c r="A84" s="412" t="s">
        <v>463</v>
      </c>
      <c r="B84" s="413" t="s">
        <v>524</v>
      </c>
      <c r="C84" s="413" t="s">
        <v>260</v>
      </c>
      <c r="D84" s="413" t="s">
        <v>437</v>
      </c>
      <c r="E84" s="413" t="s">
        <v>490</v>
      </c>
      <c r="F84" s="413" t="s">
        <v>531</v>
      </c>
      <c r="G84" s="413" t="s">
        <v>532</v>
      </c>
      <c r="H84" s="416">
        <v>3</v>
      </c>
      <c r="I84" s="416">
        <v>618</v>
      </c>
      <c r="J84" s="413"/>
      <c r="K84" s="413">
        <v>206</v>
      </c>
      <c r="L84" s="416"/>
      <c r="M84" s="416"/>
      <c r="N84" s="413"/>
      <c r="O84" s="413"/>
      <c r="P84" s="416"/>
      <c r="Q84" s="416"/>
      <c r="R84" s="468"/>
      <c r="S84" s="417"/>
    </row>
    <row r="85" spans="1:19" ht="14.4" customHeight="1" x14ac:dyDescent="0.3">
      <c r="A85" s="412" t="s">
        <v>463</v>
      </c>
      <c r="B85" s="413" t="s">
        <v>524</v>
      </c>
      <c r="C85" s="413" t="s">
        <v>260</v>
      </c>
      <c r="D85" s="413" t="s">
        <v>445</v>
      </c>
      <c r="E85" s="413" t="s">
        <v>490</v>
      </c>
      <c r="F85" s="413" t="s">
        <v>513</v>
      </c>
      <c r="G85" s="413" t="s">
        <v>514</v>
      </c>
      <c r="H85" s="416">
        <v>22</v>
      </c>
      <c r="I85" s="416">
        <v>5764</v>
      </c>
      <c r="J85" s="413"/>
      <c r="K85" s="413">
        <v>262</v>
      </c>
      <c r="L85" s="416"/>
      <c r="M85" s="416"/>
      <c r="N85" s="413"/>
      <c r="O85" s="413"/>
      <c r="P85" s="416"/>
      <c r="Q85" s="416"/>
      <c r="R85" s="468"/>
      <c r="S85" s="417"/>
    </row>
    <row r="86" spans="1:19" ht="14.4" customHeight="1" x14ac:dyDescent="0.3">
      <c r="A86" s="412" t="s">
        <v>463</v>
      </c>
      <c r="B86" s="413" t="s">
        <v>524</v>
      </c>
      <c r="C86" s="413" t="s">
        <v>260</v>
      </c>
      <c r="D86" s="413" t="s">
        <v>450</v>
      </c>
      <c r="E86" s="413" t="s">
        <v>490</v>
      </c>
      <c r="F86" s="413" t="s">
        <v>527</v>
      </c>
      <c r="G86" s="413" t="s">
        <v>528</v>
      </c>
      <c r="H86" s="416">
        <v>38</v>
      </c>
      <c r="I86" s="416">
        <v>8930</v>
      </c>
      <c r="J86" s="413"/>
      <c r="K86" s="413">
        <v>235</v>
      </c>
      <c r="L86" s="416"/>
      <c r="M86" s="416"/>
      <c r="N86" s="413"/>
      <c r="O86" s="413"/>
      <c r="P86" s="416"/>
      <c r="Q86" s="416"/>
      <c r="R86" s="468"/>
      <c r="S86" s="417"/>
    </row>
    <row r="87" spans="1:19" ht="14.4" customHeight="1" x14ac:dyDescent="0.3">
      <c r="A87" s="412" t="s">
        <v>463</v>
      </c>
      <c r="B87" s="413" t="s">
        <v>524</v>
      </c>
      <c r="C87" s="413" t="s">
        <v>260</v>
      </c>
      <c r="D87" s="413" t="s">
        <v>450</v>
      </c>
      <c r="E87" s="413" t="s">
        <v>490</v>
      </c>
      <c r="F87" s="413" t="s">
        <v>531</v>
      </c>
      <c r="G87" s="413" t="s">
        <v>532</v>
      </c>
      <c r="H87" s="416">
        <v>1</v>
      </c>
      <c r="I87" s="416">
        <v>206</v>
      </c>
      <c r="J87" s="413"/>
      <c r="K87" s="413">
        <v>206</v>
      </c>
      <c r="L87" s="416"/>
      <c r="M87" s="416"/>
      <c r="N87" s="413"/>
      <c r="O87" s="413"/>
      <c r="P87" s="416"/>
      <c r="Q87" s="416"/>
      <c r="R87" s="468"/>
      <c r="S87" s="417"/>
    </row>
    <row r="88" spans="1:19" ht="14.4" customHeight="1" x14ac:dyDescent="0.3">
      <c r="A88" s="412" t="s">
        <v>463</v>
      </c>
      <c r="B88" s="413" t="s">
        <v>524</v>
      </c>
      <c r="C88" s="413" t="s">
        <v>260</v>
      </c>
      <c r="D88" s="413" t="s">
        <v>452</v>
      </c>
      <c r="E88" s="413" t="s">
        <v>490</v>
      </c>
      <c r="F88" s="413" t="s">
        <v>493</v>
      </c>
      <c r="G88" s="413" t="s">
        <v>494</v>
      </c>
      <c r="H88" s="416">
        <v>3</v>
      </c>
      <c r="I88" s="416">
        <v>105</v>
      </c>
      <c r="J88" s="413"/>
      <c r="K88" s="413">
        <v>35</v>
      </c>
      <c r="L88" s="416"/>
      <c r="M88" s="416"/>
      <c r="N88" s="413"/>
      <c r="O88" s="413"/>
      <c r="P88" s="416"/>
      <c r="Q88" s="416"/>
      <c r="R88" s="468"/>
      <c r="S88" s="417"/>
    </row>
    <row r="89" spans="1:19" ht="14.4" customHeight="1" x14ac:dyDescent="0.3">
      <c r="A89" s="412" t="s">
        <v>463</v>
      </c>
      <c r="B89" s="413" t="s">
        <v>524</v>
      </c>
      <c r="C89" s="413" t="s">
        <v>260</v>
      </c>
      <c r="D89" s="413" t="s">
        <v>452</v>
      </c>
      <c r="E89" s="413" t="s">
        <v>490</v>
      </c>
      <c r="F89" s="413" t="s">
        <v>527</v>
      </c>
      <c r="G89" s="413" t="s">
        <v>528</v>
      </c>
      <c r="H89" s="416">
        <v>6</v>
      </c>
      <c r="I89" s="416">
        <v>1410</v>
      </c>
      <c r="J89" s="413"/>
      <c r="K89" s="413">
        <v>235</v>
      </c>
      <c r="L89" s="416"/>
      <c r="M89" s="416"/>
      <c r="N89" s="413"/>
      <c r="O89" s="413"/>
      <c r="P89" s="416"/>
      <c r="Q89" s="416"/>
      <c r="R89" s="468"/>
      <c r="S89" s="417"/>
    </row>
    <row r="90" spans="1:19" ht="14.4" customHeight="1" x14ac:dyDescent="0.3">
      <c r="A90" s="412" t="s">
        <v>463</v>
      </c>
      <c r="B90" s="413" t="s">
        <v>524</v>
      </c>
      <c r="C90" s="413" t="s">
        <v>260</v>
      </c>
      <c r="D90" s="413" t="s">
        <v>452</v>
      </c>
      <c r="E90" s="413" t="s">
        <v>490</v>
      </c>
      <c r="F90" s="413" t="s">
        <v>513</v>
      </c>
      <c r="G90" s="413" t="s">
        <v>514</v>
      </c>
      <c r="H90" s="416">
        <v>328</v>
      </c>
      <c r="I90" s="416">
        <v>85936</v>
      </c>
      <c r="J90" s="413"/>
      <c r="K90" s="413">
        <v>262</v>
      </c>
      <c r="L90" s="416"/>
      <c r="M90" s="416"/>
      <c r="N90" s="413"/>
      <c r="O90" s="413"/>
      <c r="P90" s="416"/>
      <c r="Q90" s="416"/>
      <c r="R90" s="468"/>
      <c r="S90" s="417"/>
    </row>
    <row r="91" spans="1:19" ht="14.4" customHeight="1" x14ac:dyDescent="0.3">
      <c r="A91" s="412" t="s">
        <v>463</v>
      </c>
      <c r="B91" s="413" t="s">
        <v>524</v>
      </c>
      <c r="C91" s="413" t="s">
        <v>260</v>
      </c>
      <c r="D91" s="413" t="s">
        <v>452</v>
      </c>
      <c r="E91" s="413" t="s">
        <v>490</v>
      </c>
      <c r="F91" s="413" t="s">
        <v>515</v>
      </c>
      <c r="G91" s="413" t="s">
        <v>516</v>
      </c>
      <c r="H91" s="416">
        <v>24</v>
      </c>
      <c r="I91" s="416">
        <v>86064</v>
      </c>
      <c r="J91" s="413"/>
      <c r="K91" s="413">
        <v>3586</v>
      </c>
      <c r="L91" s="416"/>
      <c r="M91" s="416"/>
      <c r="N91" s="413"/>
      <c r="O91" s="413"/>
      <c r="P91" s="416"/>
      <c r="Q91" s="416"/>
      <c r="R91" s="468"/>
      <c r="S91" s="417"/>
    </row>
    <row r="92" spans="1:19" ht="14.4" customHeight="1" x14ac:dyDescent="0.3">
      <c r="A92" s="412" t="s">
        <v>463</v>
      </c>
      <c r="B92" s="413" t="s">
        <v>524</v>
      </c>
      <c r="C92" s="413" t="s">
        <v>260</v>
      </c>
      <c r="D92" s="413" t="s">
        <v>459</v>
      </c>
      <c r="E92" s="413" t="s">
        <v>490</v>
      </c>
      <c r="F92" s="413" t="s">
        <v>527</v>
      </c>
      <c r="G92" s="413" t="s">
        <v>528</v>
      </c>
      <c r="H92" s="416">
        <v>23</v>
      </c>
      <c r="I92" s="416">
        <v>5405</v>
      </c>
      <c r="J92" s="413"/>
      <c r="K92" s="413">
        <v>235</v>
      </c>
      <c r="L92" s="416"/>
      <c r="M92" s="416"/>
      <c r="N92" s="413"/>
      <c r="O92" s="413"/>
      <c r="P92" s="416"/>
      <c r="Q92" s="416"/>
      <c r="R92" s="468"/>
      <c r="S92" s="417"/>
    </row>
    <row r="93" spans="1:19" ht="14.4" customHeight="1" x14ac:dyDescent="0.3">
      <c r="A93" s="412" t="s">
        <v>463</v>
      </c>
      <c r="B93" s="413" t="s">
        <v>524</v>
      </c>
      <c r="C93" s="413" t="s">
        <v>260</v>
      </c>
      <c r="D93" s="413" t="s">
        <v>459</v>
      </c>
      <c r="E93" s="413" t="s">
        <v>490</v>
      </c>
      <c r="F93" s="413" t="s">
        <v>513</v>
      </c>
      <c r="G93" s="413" t="s">
        <v>514</v>
      </c>
      <c r="H93" s="416">
        <v>354</v>
      </c>
      <c r="I93" s="416">
        <v>92748</v>
      </c>
      <c r="J93" s="413"/>
      <c r="K93" s="413">
        <v>262</v>
      </c>
      <c r="L93" s="416"/>
      <c r="M93" s="416"/>
      <c r="N93" s="413"/>
      <c r="O93" s="413"/>
      <c r="P93" s="416"/>
      <c r="Q93" s="416"/>
      <c r="R93" s="468"/>
      <c r="S93" s="417"/>
    </row>
    <row r="94" spans="1:19" ht="14.4" customHeight="1" thickBot="1" x14ac:dyDescent="0.35">
      <c r="A94" s="418" t="s">
        <v>463</v>
      </c>
      <c r="B94" s="419" t="s">
        <v>524</v>
      </c>
      <c r="C94" s="419" t="s">
        <v>260</v>
      </c>
      <c r="D94" s="419" t="s">
        <v>459</v>
      </c>
      <c r="E94" s="419" t="s">
        <v>490</v>
      </c>
      <c r="F94" s="419" t="s">
        <v>515</v>
      </c>
      <c r="G94" s="419" t="s">
        <v>516</v>
      </c>
      <c r="H94" s="422">
        <v>38</v>
      </c>
      <c r="I94" s="422">
        <v>136268</v>
      </c>
      <c r="J94" s="419"/>
      <c r="K94" s="419">
        <v>3586</v>
      </c>
      <c r="L94" s="422"/>
      <c r="M94" s="422"/>
      <c r="N94" s="419"/>
      <c r="O94" s="419"/>
      <c r="P94" s="422"/>
      <c r="Q94" s="422"/>
      <c r="R94" s="469"/>
      <c r="S94" s="423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284" t="s">
        <v>104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19" ht="14.4" customHeight="1" thickBot="1" x14ac:dyDescent="0.35">
      <c r="A2" s="199" t="s">
        <v>202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" customHeight="1" thickBot="1" x14ac:dyDescent="0.35">
      <c r="A3" s="187" t="s">
        <v>105</v>
      </c>
      <c r="B3" s="188">
        <f>SUBTOTAL(9,B6:B1048576)</f>
        <v>19743.66</v>
      </c>
      <c r="C3" s="189">
        <f t="shared" ref="C3:R3" si="0">SUBTOTAL(9,C6:C1048576)</f>
        <v>10.059642756408541</v>
      </c>
      <c r="D3" s="189">
        <f t="shared" si="0"/>
        <v>11263.66</v>
      </c>
      <c r="E3" s="189">
        <f t="shared" si="0"/>
        <v>7</v>
      </c>
      <c r="F3" s="189">
        <f t="shared" si="0"/>
        <v>5197.66</v>
      </c>
      <c r="G3" s="192">
        <f>IF(D3&lt;&gt;0,F3/D3,"")</f>
        <v>0.46145391462455365</v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" customHeight="1" x14ac:dyDescent="0.3">
      <c r="A4" s="348" t="s">
        <v>86</v>
      </c>
      <c r="B4" s="349" t="s">
        <v>80</v>
      </c>
      <c r="C4" s="350"/>
      <c r="D4" s="350"/>
      <c r="E4" s="350"/>
      <c r="F4" s="350"/>
      <c r="G4" s="352"/>
      <c r="H4" s="349" t="s">
        <v>81</v>
      </c>
      <c r="I4" s="350"/>
      <c r="J4" s="350"/>
      <c r="K4" s="350"/>
      <c r="L4" s="350"/>
      <c r="M4" s="352"/>
      <c r="N4" s="349" t="s">
        <v>82</v>
      </c>
      <c r="O4" s="350"/>
      <c r="P4" s="350"/>
      <c r="Q4" s="350"/>
      <c r="R4" s="350"/>
      <c r="S4" s="352"/>
    </row>
    <row r="5" spans="1:19" ht="14.4" customHeight="1" thickBot="1" x14ac:dyDescent="0.35">
      <c r="A5" s="424"/>
      <c r="B5" s="425">
        <v>2015</v>
      </c>
      <c r="C5" s="426"/>
      <c r="D5" s="426">
        <v>2016</v>
      </c>
      <c r="E5" s="426"/>
      <c r="F5" s="426">
        <v>2017</v>
      </c>
      <c r="G5" s="471" t="s">
        <v>2</v>
      </c>
      <c r="H5" s="425">
        <v>2015</v>
      </c>
      <c r="I5" s="426"/>
      <c r="J5" s="426">
        <v>2016</v>
      </c>
      <c r="K5" s="426"/>
      <c r="L5" s="426">
        <v>2017</v>
      </c>
      <c r="M5" s="471" t="s">
        <v>2</v>
      </c>
      <c r="N5" s="425">
        <v>2015</v>
      </c>
      <c r="O5" s="426"/>
      <c r="P5" s="426">
        <v>2016</v>
      </c>
      <c r="Q5" s="426"/>
      <c r="R5" s="426">
        <v>2017</v>
      </c>
      <c r="S5" s="471" t="s">
        <v>2</v>
      </c>
    </row>
    <row r="6" spans="1:19" ht="14.4" customHeight="1" x14ac:dyDescent="0.3">
      <c r="A6" s="454" t="s">
        <v>535</v>
      </c>
      <c r="B6" s="448"/>
      <c r="C6" s="407"/>
      <c r="D6" s="448"/>
      <c r="E6" s="407"/>
      <c r="F6" s="448">
        <v>37</v>
      </c>
      <c r="G6" s="467"/>
      <c r="H6" s="448"/>
      <c r="I6" s="407"/>
      <c r="J6" s="448"/>
      <c r="K6" s="407"/>
      <c r="L6" s="448"/>
      <c r="M6" s="467"/>
      <c r="N6" s="448"/>
      <c r="O6" s="407"/>
      <c r="P6" s="448"/>
      <c r="Q6" s="407"/>
      <c r="R6" s="448"/>
      <c r="S6" s="472"/>
    </row>
    <row r="7" spans="1:19" ht="14.4" customHeight="1" x14ac:dyDescent="0.3">
      <c r="A7" s="455" t="s">
        <v>536</v>
      </c>
      <c r="B7" s="450">
        <v>10312.33</v>
      </c>
      <c r="C7" s="413">
        <v>2.0503035990504328</v>
      </c>
      <c r="D7" s="450">
        <v>5029.66</v>
      </c>
      <c r="E7" s="413">
        <v>1</v>
      </c>
      <c r="F7" s="450">
        <v>2329.66</v>
      </c>
      <c r="G7" s="468">
        <v>0.4631843901973493</v>
      </c>
      <c r="H7" s="450"/>
      <c r="I7" s="413"/>
      <c r="J7" s="450"/>
      <c r="K7" s="413"/>
      <c r="L7" s="450"/>
      <c r="M7" s="468"/>
      <c r="N7" s="450"/>
      <c r="O7" s="413"/>
      <c r="P7" s="450"/>
      <c r="Q7" s="413"/>
      <c r="R7" s="450"/>
      <c r="S7" s="473"/>
    </row>
    <row r="8" spans="1:19" ht="14.4" customHeight="1" x14ac:dyDescent="0.3">
      <c r="A8" s="455" t="s">
        <v>537</v>
      </c>
      <c r="B8" s="450">
        <v>1346</v>
      </c>
      <c r="C8" s="413">
        <v>0.78438228438228441</v>
      </c>
      <c r="D8" s="450">
        <v>1716</v>
      </c>
      <c r="E8" s="413">
        <v>1</v>
      </c>
      <c r="F8" s="450">
        <v>111</v>
      </c>
      <c r="G8" s="468">
        <v>6.4685314685314688E-2</v>
      </c>
      <c r="H8" s="450"/>
      <c r="I8" s="413"/>
      <c r="J8" s="450"/>
      <c r="K8" s="413"/>
      <c r="L8" s="450"/>
      <c r="M8" s="468"/>
      <c r="N8" s="450"/>
      <c r="O8" s="413"/>
      <c r="P8" s="450"/>
      <c r="Q8" s="413"/>
      <c r="R8" s="450"/>
      <c r="S8" s="473"/>
    </row>
    <row r="9" spans="1:19" ht="14.4" customHeight="1" x14ac:dyDescent="0.3">
      <c r="A9" s="455" t="s">
        <v>538</v>
      </c>
      <c r="B9" s="450">
        <v>2820</v>
      </c>
      <c r="C9" s="413">
        <v>3.4601226993865031</v>
      </c>
      <c r="D9" s="450">
        <v>815</v>
      </c>
      <c r="E9" s="413">
        <v>1</v>
      </c>
      <c r="F9" s="450">
        <v>581</v>
      </c>
      <c r="G9" s="468">
        <v>0.71288343558282208</v>
      </c>
      <c r="H9" s="450"/>
      <c r="I9" s="413"/>
      <c r="J9" s="450"/>
      <c r="K9" s="413"/>
      <c r="L9" s="450"/>
      <c r="M9" s="468"/>
      <c r="N9" s="450"/>
      <c r="O9" s="413"/>
      <c r="P9" s="450"/>
      <c r="Q9" s="413"/>
      <c r="R9" s="450"/>
      <c r="S9" s="473"/>
    </row>
    <row r="10" spans="1:19" ht="14.4" customHeight="1" x14ac:dyDescent="0.3">
      <c r="A10" s="455" t="s">
        <v>539</v>
      </c>
      <c r="B10" s="450">
        <v>235</v>
      </c>
      <c r="C10" s="413"/>
      <c r="D10" s="450"/>
      <c r="E10" s="413"/>
      <c r="F10" s="450"/>
      <c r="G10" s="468"/>
      <c r="H10" s="450"/>
      <c r="I10" s="413"/>
      <c r="J10" s="450"/>
      <c r="K10" s="413"/>
      <c r="L10" s="450"/>
      <c r="M10" s="468"/>
      <c r="N10" s="450"/>
      <c r="O10" s="413"/>
      <c r="P10" s="450"/>
      <c r="Q10" s="413"/>
      <c r="R10" s="450"/>
      <c r="S10" s="473"/>
    </row>
    <row r="11" spans="1:19" ht="14.4" customHeight="1" x14ac:dyDescent="0.3">
      <c r="A11" s="455" t="s">
        <v>540</v>
      </c>
      <c r="B11" s="450">
        <v>35</v>
      </c>
      <c r="C11" s="413"/>
      <c r="D11" s="450"/>
      <c r="E11" s="413"/>
      <c r="F11" s="450"/>
      <c r="G11" s="468"/>
      <c r="H11" s="450"/>
      <c r="I11" s="413"/>
      <c r="J11" s="450"/>
      <c r="K11" s="413"/>
      <c r="L11" s="450"/>
      <c r="M11" s="468"/>
      <c r="N11" s="450"/>
      <c r="O11" s="413"/>
      <c r="P11" s="450"/>
      <c r="Q11" s="413"/>
      <c r="R11" s="450"/>
      <c r="S11" s="473"/>
    </row>
    <row r="12" spans="1:19" ht="14.4" customHeight="1" x14ac:dyDescent="0.3">
      <c r="A12" s="455" t="s">
        <v>541</v>
      </c>
      <c r="B12" s="450">
        <v>921.33</v>
      </c>
      <c r="C12" s="413">
        <v>1.9644562899786782</v>
      </c>
      <c r="D12" s="450">
        <v>469</v>
      </c>
      <c r="E12" s="413">
        <v>1</v>
      </c>
      <c r="F12" s="450"/>
      <c r="G12" s="468"/>
      <c r="H12" s="450"/>
      <c r="I12" s="413"/>
      <c r="J12" s="450"/>
      <c r="K12" s="413"/>
      <c r="L12" s="450"/>
      <c r="M12" s="468"/>
      <c r="N12" s="450"/>
      <c r="O12" s="413"/>
      <c r="P12" s="450"/>
      <c r="Q12" s="413"/>
      <c r="R12" s="450"/>
      <c r="S12" s="473"/>
    </row>
    <row r="13" spans="1:19" ht="14.4" customHeight="1" x14ac:dyDescent="0.3">
      <c r="A13" s="455" t="s">
        <v>542</v>
      </c>
      <c r="B13" s="450">
        <v>1619</v>
      </c>
      <c r="C13" s="413">
        <v>0.83025641025641028</v>
      </c>
      <c r="D13" s="450">
        <v>1950</v>
      </c>
      <c r="E13" s="413">
        <v>1</v>
      </c>
      <c r="F13" s="450">
        <v>1595</v>
      </c>
      <c r="G13" s="468">
        <v>0.81794871794871793</v>
      </c>
      <c r="H13" s="450"/>
      <c r="I13" s="413"/>
      <c r="J13" s="450"/>
      <c r="K13" s="413"/>
      <c r="L13" s="450"/>
      <c r="M13" s="468"/>
      <c r="N13" s="450"/>
      <c r="O13" s="413"/>
      <c r="P13" s="450"/>
      <c r="Q13" s="413"/>
      <c r="R13" s="450"/>
      <c r="S13" s="473"/>
    </row>
    <row r="14" spans="1:19" ht="14.4" customHeight="1" x14ac:dyDescent="0.3">
      <c r="A14" s="455" t="s">
        <v>543</v>
      </c>
      <c r="B14" s="450">
        <v>505</v>
      </c>
      <c r="C14" s="413">
        <v>0.87068965517241381</v>
      </c>
      <c r="D14" s="450">
        <v>580</v>
      </c>
      <c r="E14" s="413">
        <v>1</v>
      </c>
      <c r="F14" s="450">
        <v>37</v>
      </c>
      <c r="G14" s="468">
        <v>6.3793103448275865E-2</v>
      </c>
      <c r="H14" s="450"/>
      <c r="I14" s="413"/>
      <c r="J14" s="450"/>
      <c r="K14" s="413"/>
      <c r="L14" s="450"/>
      <c r="M14" s="468"/>
      <c r="N14" s="450"/>
      <c r="O14" s="413"/>
      <c r="P14" s="450"/>
      <c r="Q14" s="413"/>
      <c r="R14" s="450"/>
      <c r="S14" s="473"/>
    </row>
    <row r="15" spans="1:19" ht="14.4" customHeight="1" x14ac:dyDescent="0.3">
      <c r="A15" s="455" t="s">
        <v>544</v>
      </c>
      <c r="B15" s="450">
        <v>70</v>
      </c>
      <c r="C15" s="413">
        <v>9.9431818181818177E-2</v>
      </c>
      <c r="D15" s="450">
        <v>704</v>
      </c>
      <c r="E15" s="413">
        <v>1</v>
      </c>
      <c r="F15" s="450">
        <v>507</v>
      </c>
      <c r="G15" s="468">
        <v>0.72017045454545459</v>
      </c>
      <c r="H15" s="450"/>
      <c r="I15" s="413"/>
      <c r="J15" s="450"/>
      <c r="K15" s="413"/>
      <c r="L15" s="450"/>
      <c r="M15" s="468"/>
      <c r="N15" s="450"/>
      <c r="O15" s="413"/>
      <c r="P15" s="450"/>
      <c r="Q15" s="413"/>
      <c r="R15" s="450"/>
      <c r="S15" s="473"/>
    </row>
    <row r="16" spans="1:19" ht="14.4" customHeight="1" x14ac:dyDescent="0.3">
      <c r="A16" s="455" t="s">
        <v>545</v>
      </c>
      <c r="B16" s="450">
        <v>1645</v>
      </c>
      <c r="C16" s="413"/>
      <c r="D16" s="450"/>
      <c r="E16" s="413"/>
      <c r="F16" s="450"/>
      <c r="G16" s="468"/>
      <c r="H16" s="450"/>
      <c r="I16" s="413"/>
      <c r="J16" s="450"/>
      <c r="K16" s="413"/>
      <c r="L16" s="450"/>
      <c r="M16" s="468"/>
      <c r="N16" s="450"/>
      <c r="O16" s="413"/>
      <c r="P16" s="450"/>
      <c r="Q16" s="413"/>
      <c r="R16" s="450"/>
      <c r="S16" s="473"/>
    </row>
    <row r="17" spans="1:19" ht="14.4" customHeight="1" thickBot="1" x14ac:dyDescent="0.35">
      <c r="A17" s="456" t="s">
        <v>546</v>
      </c>
      <c r="B17" s="452">
        <v>235</v>
      </c>
      <c r="C17" s="419"/>
      <c r="D17" s="452"/>
      <c r="E17" s="419"/>
      <c r="F17" s="452"/>
      <c r="G17" s="469"/>
      <c r="H17" s="452"/>
      <c r="I17" s="419"/>
      <c r="J17" s="452"/>
      <c r="K17" s="419"/>
      <c r="L17" s="452"/>
      <c r="M17" s="469"/>
      <c r="N17" s="452"/>
      <c r="O17" s="419"/>
      <c r="P17" s="452"/>
      <c r="Q17" s="419"/>
      <c r="R17" s="452"/>
      <c r="S17" s="47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3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72" t="s">
        <v>559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ht="14.4" customHeight="1" thickBot="1" x14ac:dyDescent="0.35">
      <c r="A2" s="199" t="s">
        <v>202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" customHeight="1" thickBot="1" x14ac:dyDescent="0.35">
      <c r="E3" s="63" t="s">
        <v>105</v>
      </c>
      <c r="F3" s="77">
        <f t="shared" ref="F3:O3" si="0">SUBTOTAL(9,F6:F1048576)</f>
        <v>77</v>
      </c>
      <c r="G3" s="78">
        <f t="shared" si="0"/>
        <v>19743.66</v>
      </c>
      <c r="H3" s="78"/>
      <c r="I3" s="78"/>
      <c r="J3" s="78">
        <f t="shared" si="0"/>
        <v>39</v>
      </c>
      <c r="K3" s="78">
        <f t="shared" si="0"/>
        <v>11263.66</v>
      </c>
      <c r="L3" s="78"/>
      <c r="M3" s="78"/>
      <c r="N3" s="78">
        <f t="shared" si="0"/>
        <v>30</v>
      </c>
      <c r="O3" s="78">
        <f t="shared" si="0"/>
        <v>5197.66</v>
      </c>
      <c r="P3" s="59">
        <f>IF(K3=0,0,O3/K3)</f>
        <v>0.46145391462455365</v>
      </c>
      <c r="Q3" s="79">
        <f>IF(N3=0,0,O3/N3)</f>
        <v>173.25533333333334</v>
      </c>
    </row>
    <row r="4" spans="1:17" ht="14.4" customHeight="1" x14ac:dyDescent="0.3">
      <c r="A4" s="357" t="s">
        <v>50</v>
      </c>
      <c r="B4" s="355" t="s">
        <v>76</v>
      </c>
      <c r="C4" s="357" t="s">
        <v>77</v>
      </c>
      <c r="D4" s="366" t="s">
        <v>78</v>
      </c>
      <c r="E4" s="358" t="s">
        <v>51</v>
      </c>
      <c r="F4" s="364">
        <v>2015</v>
      </c>
      <c r="G4" s="365"/>
      <c r="H4" s="80"/>
      <c r="I4" s="80"/>
      <c r="J4" s="364">
        <v>2016</v>
      </c>
      <c r="K4" s="365"/>
      <c r="L4" s="80"/>
      <c r="M4" s="80"/>
      <c r="N4" s="364">
        <v>2017</v>
      </c>
      <c r="O4" s="365"/>
      <c r="P4" s="367" t="s">
        <v>2</v>
      </c>
      <c r="Q4" s="356" t="s">
        <v>79</v>
      </c>
    </row>
    <row r="5" spans="1:17" ht="14.4" customHeight="1" thickBot="1" x14ac:dyDescent="0.35">
      <c r="A5" s="459"/>
      <c r="B5" s="457"/>
      <c r="C5" s="459"/>
      <c r="D5" s="475"/>
      <c r="E5" s="461"/>
      <c r="F5" s="476" t="s">
        <v>53</v>
      </c>
      <c r="G5" s="477" t="s">
        <v>10</v>
      </c>
      <c r="H5" s="478"/>
      <c r="I5" s="478"/>
      <c r="J5" s="476" t="s">
        <v>53</v>
      </c>
      <c r="K5" s="477" t="s">
        <v>10</v>
      </c>
      <c r="L5" s="478"/>
      <c r="M5" s="478"/>
      <c r="N5" s="476" t="s">
        <v>53</v>
      </c>
      <c r="O5" s="477" t="s">
        <v>10</v>
      </c>
      <c r="P5" s="479"/>
      <c r="Q5" s="466"/>
    </row>
    <row r="6" spans="1:17" ht="14.4" customHeight="1" x14ac:dyDescent="0.3">
      <c r="A6" s="406" t="s">
        <v>547</v>
      </c>
      <c r="B6" s="407" t="s">
        <v>464</v>
      </c>
      <c r="C6" s="407" t="s">
        <v>490</v>
      </c>
      <c r="D6" s="407" t="s">
        <v>493</v>
      </c>
      <c r="E6" s="407" t="s">
        <v>494</v>
      </c>
      <c r="F6" s="410"/>
      <c r="G6" s="410"/>
      <c r="H6" s="410"/>
      <c r="I6" s="410"/>
      <c r="J6" s="410"/>
      <c r="K6" s="410"/>
      <c r="L6" s="410"/>
      <c r="M6" s="410"/>
      <c r="N6" s="410">
        <v>1</v>
      </c>
      <c r="O6" s="410">
        <v>37</v>
      </c>
      <c r="P6" s="467"/>
      <c r="Q6" s="411">
        <v>37</v>
      </c>
    </row>
    <row r="7" spans="1:17" ht="14.4" customHeight="1" x14ac:dyDescent="0.3">
      <c r="A7" s="412" t="s">
        <v>548</v>
      </c>
      <c r="B7" s="413" t="s">
        <v>464</v>
      </c>
      <c r="C7" s="413" t="s">
        <v>490</v>
      </c>
      <c r="D7" s="413" t="s">
        <v>493</v>
      </c>
      <c r="E7" s="413" t="s">
        <v>494</v>
      </c>
      <c r="F7" s="416">
        <v>3</v>
      </c>
      <c r="G7" s="416">
        <v>105</v>
      </c>
      <c r="H7" s="416">
        <v>2.8378378378378377</v>
      </c>
      <c r="I7" s="416">
        <v>35</v>
      </c>
      <c r="J7" s="416">
        <v>1</v>
      </c>
      <c r="K7" s="416">
        <v>37</v>
      </c>
      <c r="L7" s="416">
        <v>1</v>
      </c>
      <c r="M7" s="416">
        <v>37</v>
      </c>
      <c r="N7" s="416">
        <v>4</v>
      </c>
      <c r="O7" s="416">
        <v>148</v>
      </c>
      <c r="P7" s="468">
        <v>4</v>
      </c>
      <c r="Q7" s="417">
        <v>37</v>
      </c>
    </row>
    <row r="8" spans="1:17" ht="14.4" customHeight="1" x14ac:dyDescent="0.3">
      <c r="A8" s="412" t="s">
        <v>548</v>
      </c>
      <c r="B8" s="413" t="s">
        <v>464</v>
      </c>
      <c r="C8" s="413" t="s">
        <v>490</v>
      </c>
      <c r="D8" s="413" t="s">
        <v>497</v>
      </c>
      <c r="E8" s="413" t="s">
        <v>498</v>
      </c>
      <c r="F8" s="416">
        <v>23</v>
      </c>
      <c r="G8" s="416">
        <v>10074</v>
      </c>
      <c r="H8" s="416">
        <v>2.3866382373845059</v>
      </c>
      <c r="I8" s="416">
        <v>438</v>
      </c>
      <c r="J8" s="416">
        <v>9</v>
      </c>
      <c r="K8" s="416">
        <v>4221</v>
      </c>
      <c r="L8" s="416">
        <v>1</v>
      </c>
      <c r="M8" s="416">
        <v>469</v>
      </c>
      <c r="N8" s="416">
        <v>4</v>
      </c>
      <c r="O8" s="416">
        <v>1880</v>
      </c>
      <c r="P8" s="468">
        <v>0.44539208718313195</v>
      </c>
      <c r="Q8" s="417">
        <v>470</v>
      </c>
    </row>
    <row r="9" spans="1:17" ht="14.4" customHeight="1" x14ac:dyDescent="0.3">
      <c r="A9" s="412" t="s">
        <v>548</v>
      </c>
      <c r="B9" s="413" t="s">
        <v>464</v>
      </c>
      <c r="C9" s="413" t="s">
        <v>490</v>
      </c>
      <c r="D9" s="413" t="s">
        <v>499</v>
      </c>
      <c r="E9" s="413" t="s">
        <v>500</v>
      </c>
      <c r="F9" s="416">
        <v>7</v>
      </c>
      <c r="G9" s="416">
        <v>133.32999999999998</v>
      </c>
      <c r="H9" s="416">
        <v>2.0001500150015001</v>
      </c>
      <c r="I9" s="416">
        <v>19.047142857142855</v>
      </c>
      <c r="J9" s="416">
        <v>2</v>
      </c>
      <c r="K9" s="416">
        <v>66.66</v>
      </c>
      <c r="L9" s="416">
        <v>1</v>
      </c>
      <c r="M9" s="416">
        <v>33.33</v>
      </c>
      <c r="N9" s="416">
        <v>2</v>
      </c>
      <c r="O9" s="416">
        <v>66.66</v>
      </c>
      <c r="P9" s="468">
        <v>1</v>
      </c>
      <c r="Q9" s="417">
        <v>33.33</v>
      </c>
    </row>
    <row r="10" spans="1:17" ht="14.4" customHeight="1" x14ac:dyDescent="0.3">
      <c r="A10" s="412" t="s">
        <v>548</v>
      </c>
      <c r="B10" s="413" t="s">
        <v>464</v>
      </c>
      <c r="C10" s="413" t="s">
        <v>490</v>
      </c>
      <c r="D10" s="413" t="s">
        <v>507</v>
      </c>
      <c r="E10" s="413" t="s">
        <v>508</v>
      </c>
      <c r="F10" s="416"/>
      <c r="G10" s="416"/>
      <c r="H10" s="416"/>
      <c r="I10" s="416"/>
      <c r="J10" s="416">
        <v>3</v>
      </c>
      <c r="K10" s="416">
        <v>705</v>
      </c>
      <c r="L10" s="416">
        <v>1</v>
      </c>
      <c r="M10" s="416">
        <v>235</v>
      </c>
      <c r="N10" s="416">
        <v>1</v>
      </c>
      <c r="O10" s="416">
        <v>235</v>
      </c>
      <c r="P10" s="468">
        <v>0.33333333333333331</v>
      </c>
      <c r="Q10" s="417">
        <v>235</v>
      </c>
    </row>
    <row r="11" spans="1:17" ht="14.4" customHeight="1" x14ac:dyDescent="0.3">
      <c r="A11" s="412" t="s">
        <v>549</v>
      </c>
      <c r="B11" s="413" t="s">
        <v>464</v>
      </c>
      <c r="C11" s="413" t="s">
        <v>490</v>
      </c>
      <c r="D11" s="413" t="s">
        <v>493</v>
      </c>
      <c r="E11" s="413" t="s">
        <v>494</v>
      </c>
      <c r="F11" s="416"/>
      <c r="G11" s="416"/>
      <c r="H11" s="416"/>
      <c r="I11" s="416"/>
      <c r="J11" s="416">
        <v>2</v>
      </c>
      <c r="K11" s="416">
        <v>74</v>
      </c>
      <c r="L11" s="416">
        <v>1</v>
      </c>
      <c r="M11" s="416">
        <v>37</v>
      </c>
      <c r="N11" s="416">
        <v>3</v>
      </c>
      <c r="O11" s="416">
        <v>111</v>
      </c>
      <c r="P11" s="468">
        <v>1.5</v>
      </c>
      <c r="Q11" s="417">
        <v>37</v>
      </c>
    </row>
    <row r="12" spans="1:17" ht="14.4" customHeight="1" x14ac:dyDescent="0.3">
      <c r="A12" s="412" t="s">
        <v>549</v>
      </c>
      <c r="B12" s="413" t="s">
        <v>464</v>
      </c>
      <c r="C12" s="413" t="s">
        <v>490</v>
      </c>
      <c r="D12" s="413" t="s">
        <v>497</v>
      </c>
      <c r="E12" s="413" t="s">
        <v>498</v>
      </c>
      <c r="F12" s="416">
        <v>2</v>
      </c>
      <c r="G12" s="416">
        <v>876</v>
      </c>
      <c r="H12" s="416">
        <v>0.62260127931769726</v>
      </c>
      <c r="I12" s="416">
        <v>438</v>
      </c>
      <c r="J12" s="416">
        <v>3</v>
      </c>
      <c r="K12" s="416">
        <v>1407</v>
      </c>
      <c r="L12" s="416">
        <v>1</v>
      </c>
      <c r="M12" s="416">
        <v>469</v>
      </c>
      <c r="N12" s="416"/>
      <c r="O12" s="416"/>
      <c r="P12" s="468"/>
      <c r="Q12" s="417"/>
    </row>
    <row r="13" spans="1:17" ht="14.4" customHeight="1" x14ac:dyDescent="0.3">
      <c r="A13" s="412" t="s">
        <v>549</v>
      </c>
      <c r="B13" s="413" t="s">
        <v>464</v>
      </c>
      <c r="C13" s="413" t="s">
        <v>490</v>
      </c>
      <c r="D13" s="413" t="s">
        <v>507</v>
      </c>
      <c r="E13" s="413" t="s">
        <v>508</v>
      </c>
      <c r="F13" s="416"/>
      <c r="G13" s="416"/>
      <c r="H13" s="416"/>
      <c r="I13" s="416"/>
      <c r="J13" s="416">
        <v>1</v>
      </c>
      <c r="K13" s="416">
        <v>235</v>
      </c>
      <c r="L13" s="416">
        <v>1</v>
      </c>
      <c r="M13" s="416">
        <v>235</v>
      </c>
      <c r="N13" s="416"/>
      <c r="O13" s="416"/>
      <c r="P13" s="468"/>
      <c r="Q13" s="417"/>
    </row>
    <row r="14" spans="1:17" ht="14.4" customHeight="1" x14ac:dyDescent="0.3">
      <c r="A14" s="412" t="s">
        <v>549</v>
      </c>
      <c r="B14" s="413" t="s">
        <v>524</v>
      </c>
      <c r="C14" s="413" t="s">
        <v>490</v>
      </c>
      <c r="D14" s="413" t="s">
        <v>527</v>
      </c>
      <c r="E14" s="413" t="s">
        <v>528</v>
      </c>
      <c r="F14" s="416">
        <v>2</v>
      </c>
      <c r="G14" s="416">
        <v>470</v>
      </c>
      <c r="H14" s="416"/>
      <c r="I14" s="416">
        <v>235</v>
      </c>
      <c r="J14" s="416"/>
      <c r="K14" s="416"/>
      <c r="L14" s="416"/>
      <c r="M14" s="416"/>
      <c r="N14" s="416"/>
      <c r="O14" s="416"/>
      <c r="P14" s="468"/>
      <c r="Q14" s="417"/>
    </row>
    <row r="15" spans="1:17" ht="14.4" customHeight="1" x14ac:dyDescent="0.3">
      <c r="A15" s="412" t="s">
        <v>550</v>
      </c>
      <c r="B15" s="413" t="s">
        <v>464</v>
      </c>
      <c r="C15" s="413" t="s">
        <v>490</v>
      </c>
      <c r="D15" s="413" t="s">
        <v>493</v>
      </c>
      <c r="E15" s="413" t="s">
        <v>494</v>
      </c>
      <c r="F15" s="416"/>
      <c r="G15" s="416"/>
      <c r="H15" s="416"/>
      <c r="I15" s="416"/>
      <c r="J15" s="416">
        <v>3</v>
      </c>
      <c r="K15" s="416">
        <v>111</v>
      </c>
      <c r="L15" s="416">
        <v>1</v>
      </c>
      <c r="M15" s="416">
        <v>37</v>
      </c>
      <c r="N15" s="416">
        <v>3</v>
      </c>
      <c r="O15" s="416">
        <v>111</v>
      </c>
      <c r="P15" s="468">
        <v>1</v>
      </c>
      <c r="Q15" s="417">
        <v>37</v>
      </c>
    </row>
    <row r="16" spans="1:17" ht="14.4" customHeight="1" x14ac:dyDescent="0.3">
      <c r="A16" s="412" t="s">
        <v>550</v>
      </c>
      <c r="B16" s="413" t="s">
        <v>464</v>
      </c>
      <c r="C16" s="413" t="s">
        <v>490</v>
      </c>
      <c r="D16" s="413" t="s">
        <v>497</v>
      </c>
      <c r="E16" s="413" t="s">
        <v>498</v>
      </c>
      <c r="F16" s="416"/>
      <c r="G16" s="416"/>
      <c r="H16" s="416"/>
      <c r="I16" s="416"/>
      <c r="J16" s="416">
        <v>1</v>
      </c>
      <c r="K16" s="416">
        <v>469</v>
      </c>
      <c r="L16" s="416">
        <v>1</v>
      </c>
      <c r="M16" s="416">
        <v>469</v>
      </c>
      <c r="N16" s="416">
        <v>1</v>
      </c>
      <c r="O16" s="416">
        <v>470</v>
      </c>
      <c r="P16" s="468">
        <v>1.0021321961620469</v>
      </c>
      <c r="Q16" s="417">
        <v>470</v>
      </c>
    </row>
    <row r="17" spans="1:17" ht="14.4" customHeight="1" x14ac:dyDescent="0.3">
      <c r="A17" s="412" t="s">
        <v>550</v>
      </c>
      <c r="B17" s="413" t="s">
        <v>464</v>
      </c>
      <c r="C17" s="413" t="s">
        <v>490</v>
      </c>
      <c r="D17" s="413" t="s">
        <v>507</v>
      </c>
      <c r="E17" s="413" t="s">
        <v>508</v>
      </c>
      <c r="F17" s="416"/>
      <c r="G17" s="416"/>
      <c r="H17" s="416"/>
      <c r="I17" s="416"/>
      <c r="J17" s="416">
        <v>1</v>
      </c>
      <c r="K17" s="416">
        <v>235</v>
      </c>
      <c r="L17" s="416">
        <v>1</v>
      </c>
      <c r="M17" s="416">
        <v>235</v>
      </c>
      <c r="N17" s="416"/>
      <c r="O17" s="416"/>
      <c r="P17" s="468"/>
      <c r="Q17" s="417"/>
    </row>
    <row r="18" spans="1:17" ht="14.4" customHeight="1" x14ac:dyDescent="0.3">
      <c r="A18" s="412" t="s">
        <v>550</v>
      </c>
      <c r="B18" s="413" t="s">
        <v>521</v>
      </c>
      <c r="C18" s="413" t="s">
        <v>490</v>
      </c>
      <c r="D18" s="413" t="s">
        <v>522</v>
      </c>
      <c r="E18" s="413" t="s">
        <v>523</v>
      </c>
      <c r="F18" s="416">
        <v>6</v>
      </c>
      <c r="G18" s="416">
        <v>1410</v>
      </c>
      <c r="H18" s="416"/>
      <c r="I18" s="416">
        <v>235</v>
      </c>
      <c r="J18" s="416"/>
      <c r="K18" s="416"/>
      <c r="L18" s="416"/>
      <c r="M18" s="416"/>
      <c r="N18" s="416"/>
      <c r="O18" s="416"/>
      <c r="P18" s="468"/>
      <c r="Q18" s="417"/>
    </row>
    <row r="19" spans="1:17" ht="14.4" customHeight="1" x14ac:dyDescent="0.3">
      <c r="A19" s="412" t="s">
        <v>550</v>
      </c>
      <c r="B19" s="413" t="s">
        <v>521</v>
      </c>
      <c r="C19" s="413" t="s">
        <v>490</v>
      </c>
      <c r="D19" s="413" t="s">
        <v>499</v>
      </c>
      <c r="E19" s="413" t="s">
        <v>500</v>
      </c>
      <c r="F19" s="416">
        <v>2</v>
      </c>
      <c r="G19" s="416">
        <v>0</v>
      </c>
      <c r="H19" s="416"/>
      <c r="I19" s="416">
        <v>0</v>
      </c>
      <c r="J19" s="416"/>
      <c r="K19" s="416"/>
      <c r="L19" s="416"/>
      <c r="M19" s="416"/>
      <c r="N19" s="416"/>
      <c r="O19" s="416"/>
      <c r="P19" s="468"/>
      <c r="Q19" s="417"/>
    </row>
    <row r="20" spans="1:17" ht="14.4" customHeight="1" x14ac:dyDescent="0.3">
      <c r="A20" s="412" t="s">
        <v>550</v>
      </c>
      <c r="B20" s="413" t="s">
        <v>524</v>
      </c>
      <c r="C20" s="413" t="s">
        <v>490</v>
      </c>
      <c r="D20" s="413" t="s">
        <v>527</v>
      </c>
      <c r="E20" s="413" t="s">
        <v>528</v>
      </c>
      <c r="F20" s="416">
        <v>6</v>
      </c>
      <c r="G20" s="416">
        <v>1410</v>
      </c>
      <c r="H20" s="416"/>
      <c r="I20" s="416">
        <v>235</v>
      </c>
      <c r="J20" s="416"/>
      <c r="K20" s="416"/>
      <c r="L20" s="416"/>
      <c r="M20" s="416"/>
      <c r="N20" s="416"/>
      <c r="O20" s="416"/>
      <c r="P20" s="468"/>
      <c r="Q20" s="417"/>
    </row>
    <row r="21" spans="1:17" ht="14.4" customHeight="1" x14ac:dyDescent="0.3">
      <c r="A21" s="412" t="s">
        <v>551</v>
      </c>
      <c r="B21" s="413" t="s">
        <v>524</v>
      </c>
      <c r="C21" s="413" t="s">
        <v>490</v>
      </c>
      <c r="D21" s="413" t="s">
        <v>527</v>
      </c>
      <c r="E21" s="413" t="s">
        <v>528</v>
      </c>
      <c r="F21" s="416">
        <v>1</v>
      </c>
      <c r="G21" s="416">
        <v>235</v>
      </c>
      <c r="H21" s="416"/>
      <c r="I21" s="416">
        <v>235</v>
      </c>
      <c r="J21" s="416"/>
      <c r="K21" s="416"/>
      <c r="L21" s="416"/>
      <c r="M21" s="416"/>
      <c r="N21" s="416"/>
      <c r="O21" s="416"/>
      <c r="P21" s="468"/>
      <c r="Q21" s="417"/>
    </row>
    <row r="22" spans="1:17" ht="14.4" customHeight="1" x14ac:dyDescent="0.3">
      <c r="A22" s="412" t="s">
        <v>552</v>
      </c>
      <c r="B22" s="413" t="s">
        <v>464</v>
      </c>
      <c r="C22" s="413" t="s">
        <v>490</v>
      </c>
      <c r="D22" s="413" t="s">
        <v>493</v>
      </c>
      <c r="E22" s="413" t="s">
        <v>494</v>
      </c>
      <c r="F22" s="416">
        <v>1</v>
      </c>
      <c r="G22" s="416">
        <v>35</v>
      </c>
      <c r="H22" s="416"/>
      <c r="I22" s="416">
        <v>35</v>
      </c>
      <c r="J22" s="416"/>
      <c r="K22" s="416"/>
      <c r="L22" s="416"/>
      <c r="M22" s="416"/>
      <c r="N22" s="416"/>
      <c r="O22" s="416"/>
      <c r="P22" s="468"/>
      <c r="Q22" s="417"/>
    </row>
    <row r="23" spans="1:17" ht="14.4" customHeight="1" x14ac:dyDescent="0.3">
      <c r="A23" s="412" t="s">
        <v>553</v>
      </c>
      <c r="B23" s="413" t="s">
        <v>464</v>
      </c>
      <c r="C23" s="413" t="s">
        <v>490</v>
      </c>
      <c r="D23" s="413" t="s">
        <v>497</v>
      </c>
      <c r="E23" s="413" t="s">
        <v>498</v>
      </c>
      <c r="F23" s="416"/>
      <c r="G23" s="416"/>
      <c r="H23" s="416"/>
      <c r="I23" s="416"/>
      <c r="J23" s="416">
        <v>1</v>
      </c>
      <c r="K23" s="416">
        <v>469</v>
      </c>
      <c r="L23" s="416">
        <v>1</v>
      </c>
      <c r="M23" s="416">
        <v>469</v>
      </c>
      <c r="N23" s="416"/>
      <c r="O23" s="416"/>
      <c r="P23" s="468"/>
      <c r="Q23" s="417"/>
    </row>
    <row r="24" spans="1:17" ht="14.4" customHeight="1" x14ac:dyDescent="0.3">
      <c r="A24" s="412" t="s">
        <v>553</v>
      </c>
      <c r="B24" s="413" t="s">
        <v>464</v>
      </c>
      <c r="C24" s="413" t="s">
        <v>490</v>
      </c>
      <c r="D24" s="413" t="s">
        <v>499</v>
      </c>
      <c r="E24" s="413" t="s">
        <v>500</v>
      </c>
      <c r="F24" s="416">
        <v>1</v>
      </c>
      <c r="G24" s="416">
        <v>33.33</v>
      </c>
      <c r="H24" s="416"/>
      <c r="I24" s="416">
        <v>33.33</v>
      </c>
      <c r="J24" s="416"/>
      <c r="K24" s="416"/>
      <c r="L24" s="416"/>
      <c r="M24" s="416"/>
      <c r="N24" s="416"/>
      <c r="O24" s="416"/>
      <c r="P24" s="468"/>
      <c r="Q24" s="417"/>
    </row>
    <row r="25" spans="1:17" ht="14.4" customHeight="1" x14ac:dyDescent="0.3">
      <c r="A25" s="412" t="s">
        <v>553</v>
      </c>
      <c r="B25" s="413" t="s">
        <v>464</v>
      </c>
      <c r="C25" s="413" t="s">
        <v>490</v>
      </c>
      <c r="D25" s="413" t="s">
        <v>505</v>
      </c>
      <c r="E25" s="413" t="s">
        <v>506</v>
      </c>
      <c r="F25" s="416">
        <v>1</v>
      </c>
      <c r="G25" s="416">
        <v>653</v>
      </c>
      <c r="H25" s="416"/>
      <c r="I25" s="416">
        <v>653</v>
      </c>
      <c r="J25" s="416"/>
      <c r="K25" s="416"/>
      <c r="L25" s="416"/>
      <c r="M25" s="416"/>
      <c r="N25" s="416"/>
      <c r="O25" s="416"/>
      <c r="P25" s="468"/>
      <c r="Q25" s="417"/>
    </row>
    <row r="26" spans="1:17" ht="14.4" customHeight="1" x14ac:dyDescent="0.3">
      <c r="A26" s="412" t="s">
        <v>553</v>
      </c>
      <c r="B26" s="413" t="s">
        <v>524</v>
      </c>
      <c r="C26" s="413" t="s">
        <v>490</v>
      </c>
      <c r="D26" s="413" t="s">
        <v>527</v>
      </c>
      <c r="E26" s="413" t="s">
        <v>528</v>
      </c>
      <c r="F26" s="416">
        <v>1</v>
      </c>
      <c r="G26" s="416">
        <v>235</v>
      </c>
      <c r="H26" s="416"/>
      <c r="I26" s="416">
        <v>235</v>
      </c>
      <c r="J26" s="416"/>
      <c r="K26" s="416"/>
      <c r="L26" s="416"/>
      <c r="M26" s="416"/>
      <c r="N26" s="416"/>
      <c r="O26" s="416"/>
      <c r="P26" s="468"/>
      <c r="Q26" s="417"/>
    </row>
    <row r="27" spans="1:17" ht="14.4" customHeight="1" x14ac:dyDescent="0.3">
      <c r="A27" s="412" t="s">
        <v>554</v>
      </c>
      <c r="B27" s="413" t="s">
        <v>464</v>
      </c>
      <c r="C27" s="413" t="s">
        <v>490</v>
      </c>
      <c r="D27" s="413" t="s">
        <v>493</v>
      </c>
      <c r="E27" s="413" t="s">
        <v>494</v>
      </c>
      <c r="F27" s="416">
        <v>2</v>
      </c>
      <c r="G27" s="416">
        <v>70</v>
      </c>
      <c r="H27" s="416">
        <v>0.94594594594594594</v>
      </c>
      <c r="I27" s="416">
        <v>35</v>
      </c>
      <c r="J27" s="416">
        <v>2</v>
      </c>
      <c r="K27" s="416">
        <v>74</v>
      </c>
      <c r="L27" s="416">
        <v>1</v>
      </c>
      <c r="M27" s="416">
        <v>37</v>
      </c>
      <c r="N27" s="416">
        <v>5</v>
      </c>
      <c r="O27" s="416">
        <v>185</v>
      </c>
      <c r="P27" s="468">
        <v>2.5</v>
      </c>
      <c r="Q27" s="417">
        <v>37</v>
      </c>
    </row>
    <row r="28" spans="1:17" ht="14.4" customHeight="1" x14ac:dyDescent="0.3">
      <c r="A28" s="412" t="s">
        <v>554</v>
      </c>
      <c r="B28" s="413" t="s">
        <v>464</v>
      </c>
      <c r="C28" s="413" t="s">
        <v>490</v>
      </c>
      <c r="D28" s="413" t="s">
        <v>497</v>
      </c>
      <c r="E28" s="413" t="s">
        <v>498</v>
      </c>
      <c r="F28" s="416">
        <v>3</v>
      </c>
      <c r="G28" s="416">
        <v>1314</v>
      </c>
      <c r="H28" s="416">
        <v>0.70042643923240944</v>
      </c>
      <c r="I28" s="416">
        <v>438</v>
      </c>
      <c r="J28" s="416">
        <v>4</v>
      </c>
      <c r="K28" s="416">
        <v>1876</v>
      </c>
      <c r="L28" s="416">
        <v>1</v>
      </c>
      <c r="M28" s="416">
        <v>469</v>
      </c>
      <c r="N28" s="416">
        <v>3</v>
      </c>
      <c r="O28" s="416">
        <v>1410</v>
      </c>
      <c r="P28" s="468">
        <v>0.75159914712153519</v>
      </c>
      <c r="Q28" s="417">
        <v>470</v>
      </c>
    </row>
    <row r="29" spans="1:17" ht="14.4" customHeight="1" x14ac:dyDescent="0.3">
      <c r="A29" s="412" t="s">
        <v>554</v>
      </c>
      <c r="B29" s="413" t="s">
        <v>524</v>
      </c>
      <c r="C29" s="413" t="s">
        <v>490</v>
      </c>
      <c r="D29" s="413" t="s">
        <v>527</v>
      </c>
      <c r="E29" s="413" t="s">
        <v>528</v>
      </c>
      <c r="F29" s="416">
        <v>1</v>
      </c>
      <c r="G29" s="416">
        <v>235</v>
      </c>
      <c r="H29" s="416"/>
      <c r="I29" s="416">
        <v>235</v>
      </c>
      <c r="J29" s="416"/>
      <c r="K29" s="416"/>
      <c r="L29" s="416"/>
      <c r="M29" s="416"/>
      <c r="N29" s="416"/>
      <c r="O29" s="416"/>
      <c r="P29" s="468"/>
      <c r="Q29" s="417"/>
    </row>
    <row r="30" spans="1:17" ht="14.4" customHeight="1" x14ac:dyDescent="0.3">
      <c r="A30" s="412" t="s">
        <v>555</v>
      </c>
      <c r="B30" s="413" t="s">
        <v>464</v>
      </c>
      <c r="C30" s="413" t="s">
        <v>490</v>
      </c>
      <c r="D30" s="413" t="s">
        <v>493</v>
      </c>
      <c r="E30" s="413" t="s">
        <v>494</v>
      </c>
      <c r="F30" s="416">
        <v>1</v>
      </c>
      <c r="G30" s="416">
        <v>35</v>
      </c>
      <c r="H30" s="416">
        <v>0.31531531531531531</v>
      </c>
      <c r="I30" s="416">
        <v>35</v>
      </c>
      <c r="J30" s="416">
        <v>3</v>
      </c>
      <c r="K30" s="416">
        <v>111</v>
      </c>
      <c r="L30" s="416">
        <v>1</v>
      </c>
      <c r="M30" s="416">
        <v>37</v>
      </c>
      <c r="N30" s="416">
        <v>1</v>
      </c>
      <c r="O30" s="416">
        <v>37</v>
      </c>
      <c r="P30" s="468">
        <v>0.33333333333333331</v>
      </c>
      <c r="Q30" s="417">
        <v>37</v>
      </c>
    </row>
    <row r="31" spans="1:17" ht="14.4" customHeight="1" x14ac:dyDescent="0.3">
      <c r="A31" s="412" t="s">
        <v>555</v>
      </c>
      <c r="B31" s="413" t="s">
        <v>464</v>
      </c>
      <c r="C31" s="413" t="s">
        <v>490</v>
      </c>
      <c r="D31" s="413" t="s">
        <v>497</v>
      </c>
      <c r="E31" s="413" t="s">
        <v>498</v>
      </c>
      <c r="F31" s="416"/>
      <c r="G31" s="416"/>
      <c r="H31" s="416"/>
      <c r="I31" s="416"/>
      <c r="J31" s="416">
        <v>1</v>
      </c>
      <c r="K31" s="416">
        <v>469</v>
      </c>
      <c r="L31" s="416">
        <v>1</v>
      </c>
      <c r="M31" s="416">
        <v>469</v>
      </c>
      <c r="N31" s="416"/>
      <c r="O31" s="416"/>
      <c r="P31" s="468"/>
      <c r="Q31" s="417"/>
    </row>
    <row r="32" spans="1:17" ht="14.4" customHeight="1" x14ac:dyDescent="0.3">
      <c r="A32" s="412" t="s">
        <v>555</v>
      </c>
      <c r="B32" s="413" t="s">
        <v>521</v>
      </c>
      <c r="C32" s="413" t="s">
        <v>490</v>
      </c>
      <c r="D32" s="413" t="s">
        <v>522</v>
      </c>
      <c r="E32" s="413" t="s">
        <v>523</v>
      </c>
      <c r="F32" s="416">
        <v>2</v>
      </c>
      <c r="G32" s="416">
        <v>470</v>
      </c>
      <c r="H32" s="416"/>
      <c r="I32" s="416">
        <v>235</v>
      </c>
      <c r="J32" s="416"/>
      <c r="K32" s="416"/>
      <c r="L32" s="416"/>
      <c r="M32" s="416"/>
      <c r="N32" s="416"/>
      <c r="O32" s="416"/>
      <c r="P32" s="468"/>
      <c r="Q32" s="417"/>
    </row>
    <row r="33" spans="1:17" ht="14.4" customHeight="1" x14ac:dyDescent="0.3">
      <c r="A33" s="412" t="s">
        <v>555</v>
      </c>
      <c r="B33" s="413" t="s">
        <v>521</v>
      </c>
      <c r="C33" s="413" t="s">
        <v>490</v>
      </c>
      <c r="D33" s="413" t="s">
        <v>499</v>
      </c>
      <c r="E33" s="413" t="s">
        <v>500</v>
      </c>
      <c r="F33" s="416">
        <v>2</v>
      </c>
      <c r="G33" s="416">
        <v>0</v>
      </c>
      <c r="H33" s="416"/>
      <c r="I33" s="416">
        <v>0</v>
      </c>
      <c r="J33" s="416"/>
      <c r="K33" s="416"/>
      <c r="L33" s="416"/>
      <c r="M33" s="416"/>
      <c r="N33" s="416"/>
      <c r="O33" s="416"/>
      <c r="P33" s="468"/>
      <c r="Q33" s="417"/>
    </row>
    <row r="34" spans="1:17" ht="14.4" customHeight="1" x14ac:dyDescent="0.3">
      <c r="A34" s="412" t="s">
        <v>556</v>
      </c>
      <c r="B34" s="413" t="s">
        <v>464</v>
      </c>
      <c r="C34" s="413" t="s">
        <v>490</v>
      </c>
      <c r="D34" s="413" t="s">
        <v>493</v>
      </c>
      <c r="E34" s="413" t="s">
        <v>494</v>
      </c>
      <c r="F34" s="416">
        <v>2</v>
      </c>
      <c r="G34" s="416">
        <v>70</v>
      </c>
      <c r="H34" s="416"/>
      <c r="I34" s="416">
        <v>35</v>
      </c>
      <c r="J34" s="416"/>
      <c r="K34" s="416"/>
      <c r="L34" s="416"/>
      <c r="M34" s="416"/>
      <c r="N34" s="416">
        <v>1</v>
      </c>
      <c r="O34" s="416">
        <v>37</v>
      </c>
      <c r="P34" s="468"/>
      <c r="Q34" s="417">
        <v>37</v>
      </c>
    </row>
    <row r="35" spans="1:17" ht="14.4" customHeight="1" x14ac:dyDescent="0.3">
      <c r="A35" s="412" t="s">
        <v>556</v>
      </c>
      <c r="B35" s="413" t="s">
        <v>464</v>
      </c>
      <c r="C35" s="413" t="s">
        <v>490</v>
      </c>
      <c r="D35" s="413" t="s">
        <v>497</v>
      </c>
      <c r="E35" s="413" t="s">
        <v>498</v>
      </c>
      <c r="F35" s="416"/>
      <c r="G35" s="416"/>
      <c r="H35" s="416"/>
      <c r="I35" s="416"/>
      <c r="J35" s="416">
        <v>1</v>
      </c>
      <c r="K35" s="416">
        <v>469</v>
      </c>
      <c r="L35" s="416">
        <v>1</v>
      </c>
      <c r="M35" s="416">
        <v>469</v>
      </c>
      <c r="N35" s="416">
        <v>1</v>
      </c>
      <c r="O35" s="416">
        <v>470</v>
      </c>
      <c r="P35" s="468">
        <v>1.0021321961620469</v>
      </c>
      <c r="Q35" s="417">
        <v>470</v>
      </c>
    </row>
    <row r="36" spans="1:17" ht="14.4" customHeight="1" x14ac:dyDescent="0.3">
      <c r="A36" s="412" t="s">
        <v>556</v>
      </c>
      <c r="B36" s="413" t="s">
        <v>464</v>
      </c>
      <c r="C36" s="413" t="s">
        <v>490</v>
      </c>
      <c r="D36" s="413" t="s">
        <v>507</v>
      </c>
      <c r="E36" s="413" t="s">
        <v>508</v>
      </c>
      <c r="F36" s="416"/>
      <c r="G36" s="416"/>
      <c r="H36" s="416"/>
      <c r="I36" s="416"/>
      <c r="J36" s="416">
        <v>1</v>
      </c>
      <c r="K36" s="416">
        <v>235</v>
      </c>
      <c r="L36" s="416">
        <v>1</v>
      </c>
      <c r="M36" s="416">
        <v>235</v>
      </c>
      <c r="N36" s="416"/>
      <c r="O36" s="416"/>
      <c r="P36" s="468"/>
      <c r="Q36" s="417"/>
    </row>
    <row r="37" spans="1:17" ht="14.4" customHeight="1" x14ac:dyDescent="0.3">
      <c r="A37" s="412" t="s">
        <v>557</v>
      </c>
      <c r="B37" s="413" t="s">
        <v>521</v>
      </c>
      <c r="C37" s="413" t="s">
        <v>490</v>
      </c>
      <c r="D37" s="413" t="s">
        <v>522</v>
      </c>
      <c r="E37" s="413" t="s">
        <v>523</v>
      </c>
      <c r="F37" s="416">
        <v>6</v>
      </c>
      <c r="G37" s="416">
        <v>1410</v>
      </c>
      <c r="H37" s="416"/>
      <c r="I37" s="416">
        <v>235</v>
      </c>
      <c r="J37" s="416"/>
      <c r="K37" s="416"/>
      <c r="L37" s="416"/>
      <c r="M37" s="416"/>
      <c r="N37" s="416"/>
      <c r="O37" s="416"/>
      <c r="P37" s="468"/>
      <c r="Q37" s="417"/>
    </row>
    <row r="38" spans="1:17" ht="14.4" customHeight="1" x14ac:dyDescent="0.3">
      <c r="A38" s="412" t="s">
        <v>557</v>
      </c>
      <c r="B38" s="413" t="s">
        <v>524</v>
      </c>
      <c r="C38" s="413" t="s">
        <v>490</v>
      </c>
      <c r="D38" s="413" t="s">
        <v>527</v>
      </c>
      <c r="E38" s="413" t="s">
        <v>528</v>
      </c>
      <c r="F38" s="416">
        <v>1</v>
      </c>
      <c r="G38" s="416">
        <v>235</v>
      </c>
      <c r="H38" s="416"/>
      <c r="I38" s="416">
        <v>235</v>
      </c>
      <c r="J38" s="416"/>
      <c r="K38" s="416"/>
      <c r="L38" s="416"/>
      <c r="M38" s="416"/>
      <c r="N38" s="416"/>
      <c r="O38" s="416"/>
      <c r="P38" s="468"/>
      <c r="Q38" s="417"/>
    </row>
    <row r="39" spans="1:17" ht="14.4" customHeight="1" thickBot="1" x14ac:dyDescent="0.35">
      <c r="A39" s="418" t="s">
        <v>558</v>
      </c>
      <c r="B39" s="419" t="s">
        <v>524</v>
      </c>
      <c r="C39" s="419" t="s">
        <v>490</v>
      </c>
      <c r="D39" s="419" t="s">
        <v>527</v>
      </c>
      <c r="E39" s="419" t="s">
        <v>528</v>
      </c>
      <c r="F39" s="422">
        <v>1</v>
      </c>
      <c r="G39" s="422">
        <v>235</v>
      </c>
      <c r="H39" s="422"/>
      <c r="I39" s="422">
        <v>235</v>
      </c>
      <c r="J39" s="422"/>
      <c r="K39" s="422"/>
      <c r="L39" s="422"/>
      <c r="M39" s="422"/>
      <c r="N39" s="422"/>
      <c r="O39" s="422"/>
      <c r="P39" s="469"/>
      <c r="Q39" s="42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72" t="s">
        <v>98</v>
      </c>
      <c r="B1" s="272"/>
      <c r="C1" s="273"/>
      <c r="D1" s="273"/>
      <c r="E1" s="273"/>
    </row>
    <row r="2" spans="1:5" ht="14.4" customHeight="1" thickBot="1" x14ac:dyDescent="0.35">
      <c r="A2" s="199" t="s">
        <v>202</v>
      </c>
      <c r="B2" s="124"/>
    </row>
    <row r="3" spans="1:5" ht="14.4" customHeight="1" thickBot="1" x14ac:dyDescent="0.35">
      <c r="A3" s="127"/>
      <c r="C3" s="128" t="s">
        <v>88</v>
      </c>
      <c r="D3" s="129" t="s">
        <v>54</v>
      </c>
      <c r="E3" s="130" t="s">
        <v>56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1154.819224456787</v>
      </c>
      <c r="D4" s="133">
        <f ca="1">IF(ISERROR(VLOOKUP("Náklady celkem",INDIRECT("HI!$A:$G"),5,0)),0,VLOOKUP("Náklady celkem",INDIRECT("HI!$A:$G"),5,0))</f>
        <v>1046.20135</v>
      </c>
      <c r="E4" s="134">
        <f ca="1">IF(C4=0,0,D4/C4)</f>
        <v>0.90594382899377224</v>
      </c>
    </row>
    <row r="5" spans="1:5" ht="14.4" customHeight="1" x14ac:dyDescent="0.3">
      <c r="A5" s="135" t="s">
        <v>112</v>
      </c>
      <c r="B5" s="136"/>
      <c r="C5" s="137"/>
      <c r="D5" s="137"/>
      <c r="E5" s="138"/>
    </row>
    <row r="6" spans="1:5" ht="14.4" customHeight="1" x14ac:dyDescent="0.3">
      <c r="A6" s="139" t="s">
        <v>117</v>
      </c>
      <c r="B6" s="140"/>
      <c r="C6" s="141"/>
      <c r="D6" s="141"/>
      <c r="E6" s="138"/>
    </row>
    <row r="7" spans="1:5" ht="14.4" customHeight="1" x14ac:dyDescent="0.3">
      <c r="A7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0</v>
      </c>
      <c r="D7" s="141">
        <f>IF(ISERROR(HI!E5),"",HI!E5)</f>
        <v>0</v>
      </c>
      <c r="E7" s="138">
        <f t="shared" ref="E7:E11" si="0">IF(C7=0,0,D7/C7)</f>
        <v>0</v>
      </c>
    </row>
    <row r="8" spans="1:5" ht="14.4" customHeight="1" x14ac:dyDescent="0.3">
      <c r="A8" s="143" t="s">
        <v>113</v>
      </c>
      <c r="B8" s="140"/>
      <c r="C8" s="141"/>
      <c r="D8" s="141"/>
      <c r="E8" s="138"/>
    </row>
    <row r="9" spans="1:5" ht="14.4" customHeight="1" x14ac:dyDescent="0.3">
      <c r="A9" s="143" t="s">
        <v>114</v>
      </c>
      <c r="B9" s="140"/>
      <c r="C9" s="141"/>
      <c r="D9" s="141"/>
      <c r="E9" s="138"/>
    </row>
    <row r="10" spans="1:5" ht="14.4" customHeight="1" x14ac:dyDescent="0.3">
      <c r="A10" s="144" t="s">
        <v>118</v>
      </c>
      <c r="B10" s="140"/>
      <c r="C10" s="137"/>
      <c r="D10" s="137"/>
      <c r="E10" s="138"/>
    </row>
    <row r="11" spans="1:5" ht="14.4" customHeight="1" x14ac:dyDescent="0.3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1087.3544921875</v>
      </c>
      <c r="D11" s="141">
        <f>IF(ISERROR(HI!E6),"",HI!E6)</f>
        <v>992.45874000000015</v>
      </c>
      <c r="E11" s="138">
        <f t="shared" si="0"/>
        <v>0.9127278611811388</v>
      </c>
    </row>
    <row r="12" spans="1:5" ht="14.4" customHeight="1" thickBot="1" x14ac:dyDescent="0.3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0</v>
      </c>
      <c r="D12" s="137">
        <f ca="1">IF(ISERROR(VLOOKUP("Osobní náklady (Kč) *",INDIRECT("HI!$A:$G"),5,0)),0,VLOOKUP("Osobní náklady (Kč) *",INDIRECT("HI!$A:$G"),5,0))</f>
        <v>0</v>
      </c>
      <c r="E12" s="138">
        <f ca="1">IF(C12=0,0,D12/C12)</f>
        <v>0</v>
      </c>
    </row>
    <row r="13" spans="1:5" ht="14.4" customHeight="1" thickBot="1" x14ac:dyDescent="0.35">
      <c r="A13" s="150"/>
      <c r="B13" s="151"/>
      <c r="C13" s="152"/>
      <c r="D13" s="152"/>
      <c r="E13" s="153"/>
    </row>
    <row r="14" spans="1:5" ht="14.4" customHeight="1" thickBot="1" x14ac:dyDescent="0.3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955.0943400000001</v>
      </c>
      <c r="D14" s="156">
        <f ca="1">IF(ISERROR(VLOOKUP("Výnosy celkem",INDIRECT("HI!$A:$G"),5,0)),0,VLOOKUP("Výnosy celkem",INDIRECT("HI!$A:$G"),5,0))</f>
        <v>2126.9983299999999</v>
      </c>
      <c r="E14" s="157">
        <f t="shared" ref="E14:E19" ca="1" si="1">IF(C14=0,0,D14/C14)</f>
        <v>2.2270033869114956</v>
      </c>
    </row>
    <row r="15" spans="1:5" ht="14.4" customHeight="1" x14ac:dyDescent="0.3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955.0943400000001</v>
      </c>
      <c r="D15" s="137">
        <f ca="1">IF(ISERROR(VLOOKUP("Ambulance *",INDIRECT("HI!$A:$G"),5,0)),0,VLOOKUP("Ambulance *",INDIRECT("HI!$A:$G"),5,0))</f>
        <v>2126.9983299999999</v>
      </c>
      <c r="E15" s="138">
        <f t="shared" ca="1" si="1"/>
        <v>2.2270033869114956</v>
      </c>
    </row>
    <row r="16" spans="1:5" ht="14.4" customHeight="1" x14ac:dyDescent="0.3">
      <c r="A16" s="220" t="str">
        <f>HYPERLINK("#'ZV Vykáz.-A'!A1","Zdravotní výkony vykázané u ambulantních pacientů (min. 100 % 2016)")</f>
        <v>Zdravotní výkony vykázané u ambulantních pacientů (min. 100 % 2016)</v>
      </c>
      <c r="B16" s="221" t="s">
        <v>100</v>
      </c>
      <c r="C16" s="142">
        <v>1</v>
      </c>
      <c r="D16" s="142">
        <f>IF(ISERROR(VLOOKUP("Celkem:",'ZV Vykáz.-A'!$A:$AB,10,0)),"",VLOOKUP("Celkem:",'ZV Vykáz.-A'!$A:$AB,10,0))</f>
        <v>2.227003386911496</v>
      </c>
      <c r="E16" s="138">
        <f t="shared" si="1"/>
        <v>2.227003386911496</v>
      </c>
    </row>
    <row r="17" spans="1:5" ht="14.4" customHeight="1" x14ac:dyDescent="0.3">
      <c r="A17" s="219" t="str">
        <f>HYPERLINK("#'ZV Vykáz.-A'!A1","Specializovaná ambulantní péče")</f>
        <v>Specializovaná ambulantní péče</v>
      </c>
      <c r="B17" s="221" t="s">
        <v>100</v>
      </c>
      <c r="C17" s="142">
        <v>1</v>
      </c>
      <c r="D17" s="213">
        <f>IF(ISERROR(VLOOKUP("Specializovaná ambulantní péče",'ZV Vykáz.-A'!$A:$AB,10,0)),"",VLOOKUP("Specializovaná ambulantní péče",'ZV Vykáz.-A'!$A:$AB,10,0))</f>
        <v>2.227003386911496</v>
      </c>
      <c r="E17" s="138">
        <f t="shared" si="1"/>
        <v>2.227003386911496</v>
      </c>
    </row>
    <row r="18" spans="1:5" ht="14.4" customHeight="1" x14ac:dyDescent="0.3">
      <c r="A18" s="219" t="str">
        <f>HYPERLINK("#'ZV Vykáz.-A'!A1","Ambulantní péče ve vyjmenovaných odbornostech (§9)")</f>
        <v>Ambulantní péče ve vyjmenovaných odbornostech (§9)</v>
      </c>
      <c r="B18" s="221" t="s">
        <v>100</v>
      </c>
      <c r="C18" s="142">
        <v>1</v>
      </c>
      <c r="D18" s="213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" customHeight="1" x14ac:dyDescent="0.3">
      <c r="A19" s="159" t="str">
        <f>HYPERLINK("#'ZV Vykáz.-H'!A1","Zdravotní výkony vykázané u hospitalizovaných pacientů (max. 85 %)")</f>
        <v>Zdravotní výkony vykázané u hospitalizovaných pacientů (max. 85 %)</v>
      </c>
      <c r="B19" s="221" t="s">
        <v>102</v>
      </c>
      <c r="C19" s="142">
        <v>0.85</v>
      </c>
      <c r="D19" s="142">
        <f>IF(ISERROR(VLOOKUP("Celkem:",'ZV Vykáz.-H'!$A:$S,7,0)),"",VLOOKUP("Celkem:",'ZV Vykáz.-H'!$A:$S,7,0))</f>
        <v>0.46145391462455365</v>
      </c>
      <c r="E19" s="138">
        <f t="shared" si="1"/>
        <v>0.54288695838182788</v>
      </c>
    </row>
    <row r="20" spans="1:5" ht="14.4" customHeight="1" x14ac:dyDescent="0.3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" customHeight="1" thickBot="1" x14ac:dyDescent="0.35">
      <c r="A21" s="161" t="s">
        <v>115</v>
      </c>
      <c r="B21" s="147"/>
      <c r="C21" s="148"/>
      <c r="D21" s="148"/>
      <c r="E21" s="149"/>
    </row>
    <row r="22" spans="1:5" ht="14.4" customHeight="1" thickBot="1" x14ac:dyDescent="0.35">
      <c r="A22" s="162"/>
      <c r="B22" s="163"/>
      <c r="C22" s="164"/>
      <c r="D22" s="164"/>
      <c r="E22" s="165"/>
    </row>
    <row r="23" spans="1:5" ht="14.4" customHeight="1" thickBot="1" x14ac:dyDescent="0.35">
      <c r="A23" s="166" t="s">
        <v>116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3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3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2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2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283" t="s">
        <v>107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0" ht="14.4" customHeight="1" thickBot="1" x14ac:dyDescent="0.35">
      <c r="A2" s="199" t="s">
        <v>202</v>
      </c>
      <c r="B2" s="86"/>
      <c r="C2" s="86"/>
      <c r="D2" s="86"/>
      <c r="E2" s="86"/>
      <c r="F2" s="86"/>
    </row>
    <row r="3" spans="1:10" ht="14.4" customHeight="1" x14ac:dyDescent="0.3">
      <c r="A3" s="274"/>
      <c r="B3" s="82">
        <v>2015</v>
      </c>
      <c r="C3" s="40">
        <v>2016</v>
      </c>
      <c r="D3" s="7"/>
      <c r="E3" s="278">
        <v>2017</v>
      </c>
      <c r="F3" s="279"/>
      <c r="G3" s="279"/>
      <c r="H3" s="280"/>
      <c r="I3" s="281">
        <v>2017</v>
      </c>
      <c r="J3" s="282"/>
    </row>
    <row r="4" spans="1:10" ht="14.4" customHeight="1" thickBot="1" x14ac:dyDescent="0.35">
      <c r="A4" s="275"/>
      <c r="B4" s="276" t="s">
        <v>54</v>
      </c>
      <c r="C4" s="277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4" t="s">
        <v>169</v>
      </c>
      <c r="J4" s="225" t="s">
        <v>170</v>
      </c>
    </row>
    <row r="5" spans="1:10" ht="14.4" customHeight="1" x14ac:dyDescent="0.3">
      <c r="A5" s="87" t="str">
        <f>HYPERLINK("#'Léky Žádanky'!A1","Léky (Kč)")</f>
        <v>Léky (Kč)</v>
      </c>
      <c r="B5" s="27">
        <v>0</v>
      </c>
      <c r="C5" s="29">
        <v>0</v>
      </c>
      <c r="D5" s="8"/>
      <c r="E5" s="92">
        <v>0</v>
      </c>
      <c r="F5" s="28">
        <v>0</v>
      </c>
      <c r="G5" s="91">
        <f>E5-F5</f>
        <v>0</v>
      </c>
      <c r="H5" s="97" t="str">
        <f>IF(F5&lt;0.00000001,"",E5/F5)</f>
        <v/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460.03839000000005</v>
      </c>
      <c r="C6" s="31">
        <v>400.76894000000004</v>
      </c>
      <c r="D6" s="8"/>
      <c r="E6" s="93">
        <v>992.45874000000015</v>
      </c>
      <c r="F6" s="30">
        <v>1087.3544921875</v>
      </c>
      <c r="G6" s="94">
        <f>E6-F6</f>
        <v>-94.895752187499852</v>
      </c>
      <c r="H6" s="98">
        <f>IF(F6&lt;0.00000001,"",E6/F6)</f>
        <v>0.9127278611811388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93">
        <v>0</v>
      </c>
      <c r="F7" s="30">
        <v>0</v>
      </c>
      <c r="G7" s="94">
        <f>E7-F7</f>
        <v>0</v>
      </c>
      <c r="H7" s="98" t="str">
        <f>IF(F7&lt;0.00000001,"",E7/F7)</f>
        <v/>
      </c>
    </row>
    <row r="8" spans="1:10" ht="14.4" customHeight="1" thickBot="1" x14ac:dyDescent="0.35">
      <c r="A8" s="1" t="s">
        <v>57</v>
      </c>
      <c r="B8" s="11">
        <v>36.445449999999994</v>
      </c>
      <c r="C8" s="33">
        <v>36.905550000000005</v>
      </c>
      <c r="D8" s="8"/>
      <c r="E8" s="95">
        <v>53.7426099999999</v>
      </c>
      <c r="F8" s="32">
        <v>67.464732269286969</v>
      </c>
      <c r="G8" s="96">
        <f>E8-F8</f>
        <v>-13.72212226928707</v>
      </c>
      <c r="H8" s="99">
        <f>IF(F8&lt;0.00000001,"",E8/F8)</f>
        <v>0.79660302786773218</v>
      </c>
    </row>
    <row r="9" spans="1:10" ht="14.4" customHeight="1" thickBot="1" x14ac:dyDescent="0.35">
      <c r="A9" s="2" t="s">
        <v>58</v>
      </c>
      <c r="B9" s="3">
        <v>496.48384000000004</v>
      </c>
      <c r="C9" s="35">
        <v>437.67449000000005</v>
      </c>
      <c r="D9" s="8"/>
      <c r="E9" s="3">
        <v>1046.20135</v>
      </c>
      <c r="F9" s="34">
        <v>1154.819224456787</v>
      </c>
      <c r="G9" s="34">
        <f>E9-F9</f>
        <v>-108.61787445678692</v>
      </c>
      <c r="H9" s="100">
        <f>IF(F9&lt;0.00000001,"",E9/F9)</f>
        <v>0.90594382899377224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1109.4066700000001</v>
      </c>
      <c r="C11" s="29">
        <f>IF(ISERROR(VLOOKUP("Celkem:",'ZV Vykáz.-A'!A:H,5,0)),0,VLOOKUP("Celkem:",'ZV Vykáz.-A'!A:H,5,0)/1000)</f>
        <v>955.0943400000001</v>
      </c>
      <c r="D11" s="8"/>
      <c r="E11" s="92">
        <f>IF(ISERROR(VLOOKUP("Celkem:",'ZV Vykáz.-A'!A:H,8,0)),0,VLOOKUP("Celkem:",'ZV Vykáz.-A'!A:H,8,0)/1000)</f>
        <v>2126.9983299999999</v>
      </c>
      <c r="F11" s="28">
        <f>C11</f>
        <v>955.0943400000001</v>
      </c>
      <c r="G11" s="91">
        <f>E11-F11</f>
        <v>1171.9039899999998</v>
      </c>
      <c r="H11" s="97">
        <f>IF(F11&lt;0.00000001,"",E11/F11)</f>
        <v>2.2270033869114956</v>
      </c>
      <c r="I11" s="91">
        <f>E11-B11</f>
        <v>1017.5916599999998</v>
      </c>
      <c r="J11" s="97">
        <f>IF(B11&lt;0.00000001,"",E11/B11)</f>
        <v>1.9172395366975752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61</v>
      </c>
      <c r="B13" s="5">
        <f>SUM(B11:B12)</f>
        <v>1109.4066700000001</v>
      </c>
      <c r="C13" s="37">
        <f>SUM(C11:C12)</f>
        <v>955.0943400000001</v>
      </c>
      <c r="D13" s="8"/>
      <c r="E13" s="5">
        <f>SUM(E11:E12)</f>
        <v>2126.9983299999999</v>
      </c>
      <c r="F13" s="36">
        <f>SUM(F11:F12)</f>
        <v>955.0943400000001</v>
      </c>
      <c r="G13" s="36">
        <f>E13-F13</f>
        <v>1171.9039899999998</v>
      </c>
      <c r="H13" s="101">
        <f>IF(F13&lt;0.00000001,"",E13/F13)</f>
        <v>2.2270033869114956</v>
      </c>
      <c r="I13" s="36">
        <f>SUM(I11:I12)</f>
        <v>1017.5916599999998</v>
      </c>
      <c r="J13" s="101">
        <f>IF(B13&lt;0.00000001,"",E13/B13)</f>
        <v>1.9172395366975752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2.2345272506754701</v>
      </c>
      <c r="C15" s="39">
        <f>IF(C9=0,"",C13/C9)</f>
        <v>2.1822024399914191</v>
      </c>
      <c r="D15" s="8"/>
      <c r="E15" s="6">
        <f>IF(E9=0,"",E13/E9)</f>
        <v>2.0330678506580018</v>
      </c>
      <c r="F15" s="38">
        <f>IF(F9=0,"",F13/F9)</f>
        <v>0.82705095288768249</v>
      </c>
      <c r="G15" s="38">
        <f>IF(ISERROR(F15-E15),"",E15-F15)</f>
        <v>1.2060168977703194</v>
      </c>
      <c r="H15" s="102">
        <f>IF(ISERROR(F15-E15),"",IF(F15&lt;0.00000001,"",E15/F15))</f>
        <v>2.4582135399995146</v>
      </c>
    </row>
    <row r="17" spans="1:8" ht="14.4" customHeight="1" x14ac:dyDescent="0.3">
      <c r="A17" s="88" t="s">
        <v>120</v>
      </c>
    </row>
    <row r="18" spans="1:8" ht="14.4" customHeight="1" x14ac:dyDescent="0.3">
      <c r="A18" s="202" t="s">
        <v>132</v>
      </c>
      <c r="B18" s="203"/>
      <c r="C18" s="203"/>
      <c r="D18" s="203"/>
      <c r="E18" s="203"/>
      <c r="F18" s="203"/>
      <c r="G18" s="203"/>
      <c r="H18" s="203"/>
    </row>
    <row r="19" spans="1:8" x14ac:dyDescent="0.3">
      <c r="A19" s="201" t="s">
        <v>131</v>
      </c>
      <c r="B19" s="203"/>
      <c r="C19" s="203"/>
      <c r="D19" s="203"/>
      <c r="E19" s="203"/>
      <c r="F19" s="203"/>
      <c r="G19" s="203"/>
      <c r="H19" s="203"/>
    </row>
    <row r="20" spans="1:8" ht="14.4" customHeight="1" x14ac:dyDescent="0.3">
      <c r="A20" s="89" t="s">
        <v>140</v>
      </c>
    </row>
    <row r="21" spans="1:8" ht="14.4" customHeight="1" x14ac:dyDescent="0.3">
      <c r="A21" s="89" t="s">
        <v>121</v>
      </c>
    </row>
    <row r="22" spans="1:8" ht="14.4" customHeight="1" x14ac:dyDescent="0.3">
      <c r="A22" s="90" t="s">
        <v>168</v>
      </c>
    </row>
    <row r="23" spans="1:8" ht="14.4" customHeight="1" x14ac:dyDescent="0.3">
      <c r="A23" s="90" t="s">
        <v>122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6" priority="8" operator="greaterThan">
      <formula>0</formula>
    </cfRule>
  </conditionalFormatting>
  <conditionalFormatting sqref="G11:G13 G15">
    <cfRule type="cellIs" dxfId="25" priority="7" operator="lessThan">
      <formula>0</formula>
    </cfRule>
  </conditionalFormatting>
  <conditionalFormatting sqref="H5:H9">
    <cfRule type="cellIs" dxfId="24" priority="6" operator="greaterThan">
      <formula>1</formula>
    </cfRule>
  </conditionalFormatting>
  <conditionalFormatting sqref="H11:H13 H15">
    <cfRule type="cellIs" dxfId="23" priority="5" operator="lessThan">
      <formula>1</formula>
    </cfRule>
  </conditionalFormatting>
  <conditionalFormatting sqref="I11:I13">
    <cfRule type="cellIs" dxfId="22" priority="4" operator="lessThan">
      <formula>0</formula>
    </cfRule>
  </conditionalFormatting>
  <conditionalFormatting sqref="J11:J13">
    <cfRule type="cellIs" dxfId="2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72" t="s">
        <v>85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ht="14.4" customHeight="1" x14ac:dyDescent="0.3">
      <c r="A2" s="199" t="s">
        <v>202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" customHeight="1" x14ac:dyDescent="0.3">
      <c r="A4" s="171" t="s">
        <v>62</v>
      </c>
      <c r="B4" s="174">
        <f>(B10+B8)/B6</f>
        <v>2.5138676654716621</v>
      </c>
      <c r="C4" s="174">
        <f t="shared" ref="C4:M4" si="0">(C10+C8)/C6</f>
        <v>3.3809966448100899</v>
      </c>
      <c r="D4" s="174">
        <f t="shared" si="0"/>
        <v>3.0337717645853077</v>
      </c>
      <c r="E4" s="174">
        <f t="shared" si="0"/>
        <v>2.9567428304850933</v>
      </c>
      <c r="F4" s="174">
        <f t="shared" si="0"/>
        <v>2.8448351808538788</v>
      </c>
      <c r="G4" s="174">
        <f t="shared" si="0"/>
        <v>2.3181183084978265</v>
      </c>
      <c r="H4" s="174">
        <f t="shared" si="0"/>
        <v>2.2974561532789983</v>
      </c>
      <c r="I4" s="174">
        <f t="shared" si="0"/>
        <v>2.3148156494187848</v>
      </c>
      <c r="J4" s="174">
        <f t="shared" si="0"/>
        <v>2.3657295460187222</v>
      </c>
      <c r="K4" s="174">
        <f t="shared" si="0"/>
        <v>2.1460535405300498</v>
      </c>
      <c r="L4" s="174">
        <f t="shared" si="0"/>
        <v>2.0330678506580018</v>
      </c>
      <c r="M4" s="174">
        <f t="shared" si="0"/>
        <v>2.0330678506580018</v>
      </c>
    </row>
    <row r="5" spans="1:13" ht="14.4" customHeight="1" x14ac:dyDescent="0.3">
      <c r="A5" s="175" t="s">
        <v>35</v>
      </c>
      <c r="B5" s="174">
        <f>IF(ISERROR(VLOOKUP($A5,'Man Tab'!$A:$Q,COLUMN()+2,0)),0,VLOOKUP($A5,'Man Tab'!$A:$Q,COLUMN()+2,0))</f>
        <v>72.895110000000003</v>
      </c>
      <c r="C5" s="174">
        <f>IF(ISERROR(VLOOKUP($A5,'Man Tab'!$A:$Q,COLUMN()+2,0)),0,VLOOKUP($A5,'Man Tab'!$A:$Q,COLUMN()+2,0))</f>
        <v>35.90052</v>
      </c>
      <c r="D5" s="174">
        <f>IF(ISERROR(VLOOKUP($A5,'Man Tab'!$A:$Q,COLUMN()+2,0)),0,VLOOKUP($A5,'Man Tab'!$A:$Q,COLUMN()+2,0))</f>
        <v>83.031480000000002</v>
      </c>
      <c r="E5" s="174">
        <f>IF(ISERROR(VLOOKUP($A5,'Man Tab'!$A:$Q,COLUMN()+2,0)),0,VLOOKUP($A5,'Man Tab'!$A:$Q,COLUMN()+2,0))</f>
        <v>79.249110000000002</v>
      </c>
      <c r="F5" s="174">
        <f>IF(ISERROR(VLOOKUP($A5,'Man Tab'!$A:$Q,COLUMN()+2,0)),0,VLOOKUP($A5,'Man Tab'!$A:$Q,COLUMN()+2,0))</f>
        <v>87.570220000000006</v>
      </c>
      <c r="G5" s="174">
        <f>IF(ISERROR(VLOOKUP($A5,'Man Tab'!$A:$Q,COLUMN()+2,0)),0,VLOOKUP($A5,'Man Tab'!$A:$Q,COLUMN()+2,0))</f>
        <v>162.63412</v>
      </c>
      <c r="H5" s="174">
        <f>IF(ISERROR(VLOOKUP($A5,'Man Tab'!$A:$Q,COLUMN()+2,0)),0,VLOOKUP($A5,'Man Tab'!$A:$Q,COLUMN()+2,0))</f>
        <v>80.359070000000003</v>
      </c>
      <c r="I5" s="174">
        <f>IF(ISERROR(VLOOKUP($A5,'Man Tab'!$A:$Q,COLUMN()+2,0)),0,VLOOKUP($A5,'Man Tab'!$A:$Q,COLUMN()+2,0))</f>
        <v>75.106269999999995</v>
      </c>
      <c r="J5" s="174">
        <f>IF(ISERROR(VLOOKUP($A5,'Man Tab'!$A:$Q,COLUMN()+2,0)),0,VLOOKUP($A5,'Man Tab'!$A:$Q,COLUMN()+2,0))</f>
        <v>58.798310000000001</v>
      </c>
      <c r="K5" s="174">
        <f>IF(ISERROR(VLOOKUP($A5,'Man Tab'!$A:$Q,COLUMN()+2,0)),0,VLOOKUP($A5,'Man Tab'!$A:$Q,COLUMN()+2,0))</f>
        <v>172.28355999999999</v>
      </c>
      <c r="L5" s="174">
        <f>IF(ISERROR(VLOOKUP($A5,'Man Tab'!$A:$Q,COLUMN()+2,0)),0,VLOOKUP($A5,'Man Tab'!$A:$Q,COLUMN()+2,0))</f>
        <v>138.37358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58</v>
      </c>
      <c r="B6" s="176">
        <f>B5</f>
        <v>72.895110000000003</v>
      </c>
      <c r="C6" s="176">
        <f t="shared" ref="C6:M6" si="1">C5+B6</f>
        <v>108.79563</v>
      </c>
      <c r="D6" s="176">
        <f t="shared" si="1"/>
        <v>191.82711</v>
      </c>
      <c r="E6" s="176">
        <f t="shared" si="1"/>
        <v>271.07622000000003</v>
      </c>
      <c r="F6" s="176">
        <f t="shared" si="1"/>
        <v>358.64644000000004</v>
      </c>
      <c r="G6" s="176">
        <f t="shared" si="1"/>
        <v>521.28056000000004</v>
      </c>
      <c r="H6" s="176">
        <f t="shared" si="1"/>
        <v>601.63963000000001</v>
      </c>
      <c r="I6" s="176">
        <f t="shared" si="1"/>
        <v>676.74590000000001</v>
      </c>
      <c r="J6" s="176">
        <f t="shared" si="1"/>
        <v>735.54421000000002</v>
      </c>
      <c r="K6" s="176">
        <f t="shared" si="1"/>
        <v>907.82776999999999</v>
      </c>
      <c r="L6" s="176">
        <f t="shared" si="1"/>
        <v>1046.20135</v>
      </c>
      <c r="M6" s="176">
        <f t="shared" si="1"/>
        <v>1046.20135</v>
      </c>
    </row>
    <row r="7" spans="1:13" ht="14.4" customHeight="1" x14ac:dyDescent="0.3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84</v>
      </c>
      <c r="B9" s="175">
        <v>183248.66</v>
      </c>
      <c r="C9" s="175">
        <v>184588.99999999997</v>
      </c>
      <c r="D9" s="175">
        <v>214122.01</v>
      </c>
      <c r="E9" s="175">
        <v>219543</v>
      </c>
      <c r="F9" s="175">
        <v>218787.34</v>
      </c>
      <c r="G9" s="175">
        <v>188100</v>
      </c>
      <c r="H9" s="175">
        <v>173850.66</v>
      </c>
      <c r="I9" s="175">
        <v>184301.33000000002</v>
      </c>
      <c r="J9" s="175">
        <v>173556.66999999998</v>
      </c>
      <c r="K9" s="175">
        <v>208148.33000000002</v>
      </c>
      <c r="L9" s="175">
        <v>178751.33000000002</v>
      </c>
      <c r="M9" s="175">
        <v>0</v>
      </c>
    </row>
    <row r="10" spans="1:13" ht="14.4" customHeight="1" x14ac:dyDescent="0.3">
      <c r="A10" s="175" t="s">
        <v>60</v>
      </c>
      <c r="B10" s="176">
        <f>B9/1000</f>
        <v>183.24866</v>
      </c>
      <c r="C10" s="176">
        <f t="shared" ref="C10:M10" si="3">C9/1000+B10</f>
        <v>367.83765999999997</v>
      </c>
      <c r="D10" s="176">
        <f t="shared" si="3"/>
        <v>581.95966999999996</v>
      </c>
      <c r="E10" s="176">
        <f t="shared" si="3"/>
        <v>801.50266999999997</v>
      </c>
      <c r="F10" s="176">
        <f t="shared" si="3"/>
        <v>1020.2900099999999</v>
      </c>
      <c r="G10" s="176">
        <f t="shared" si="3"/>
        <v>1208.3900099999998</v>
      </c>
      <c r="H10" s="176">
        <f t="shared" si="3"/>
        <v>1382.2406699999999</v>
      </c>
      <c r="I10" s="176">
        <f t="shared" si="3"/>
        <v>1566.5419999999999</v>
      </c>
      <c r="J10" s="176">
        <f t="shared" si="3"/>
        <v>1740.0986699999999</v>
      </c>
      <c r="K10" s="176">
        <f t="shared" si="3"/>
        <v>1948.2469999999998</v>
      </c>
      <c r="L10" s="176">
        <f t="shared" si="3"/>
        <v>2126.9983299999999</v>
      </c>
      <c r="M10" s="176">
        <f t="shared" si="3"/>
        <v>2126.9983299999999</v>
      </c>
    </row>
    <row r="11" spans="1:13" ht="14.4" customHeight="1" x14ac:dyDescent="0.3">
      <c r="A11" s="171"/>
      <c r="B11" s="171" t="s">
        <v>75</v>
      </c>
      <c r="C11" s="171">
        <f ca="1">IF(MONTH(TODAY())=1,12,MONTH(TODAY())-1)</f>
        <v>11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0.82705095288768249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0.82705095288768249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284" t="s">
        <v>204</v>
      </c>
      <c r="B1" s="284"/>
      <c r="C1" s="284"/>
      <c r="D1" s="284"/>
      <c r="E1" s="284"/>
      <c r="F1" s="284"/>
      <c r="G1" s="284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s="177" customFormat="1" ht="14.4" customHeight="1" thickBot="1" x14ac:dyDescent="0.3">
      <c r="A2" s="199" t="s">
        <v>202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285" t="s">
        <v>11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112"/>
      <c r="Q3" s="114"/>
    </row>
    <row r="4" spans="1:17" ht="14.4" customHeight="1" x14ac:dyDescent="0.3">
      <c r="A4" s="61"/>
      <c r="B4" s="20">
        <v>2017</v>
      </c>
      <c r="C4" s="113" t="s">
        <v>12</v>
      </c>
      <c r="D4" s="218" t="s">
        <v>144</v>
      </c>
      <c r="E4" s="218" t="s">
        <v>145</v>
      </c>
      <c r="F4" s="218" t="s">
        <v>146</v>
      </c>
      <c r="G4" s="218" t="s">
        <v>147</v>
      </c>
      <c r="H4" s="218" t="s">
        <v>148</v>
      </c>
      <c r="I4" s="218" t="s">
        <v>149</v>
      </c>
      <c r="J4" s="218" t="s">
        <v>150</v>
      </c>
      <c r="K4" s="218" t="s">
        <v>151</v>
      </c>
      <c r="L4" s="218" t="s">
        <v>152</v>
      </c>
      <c r="M4" s="218" t="s">
        <v>153</v>
      </c>
      <c r="N4" s="218" t="s">
        <v>154</v>
      </c>
      <c r="O4" s="218" t="s">
        <v>155</v>
      </c>
      <c r="P4" s="287" t="s">
        <v>3</v>
      </c>
      <c r="Q4" s="288"/>
    </row>
    <row r="5" spans="1:17" ht="14.4" customHeight="1" thickBot="1" x14ac:dyDescent="0.3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" customHeight="1" x14ac:dyDescent="0.3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203</v>
      </c>
    </row>
    <row r="7" spans="1:17" ht="14.4" customHeight="1" x14ac:dyDescent="0.3">
      <c r="A7" s="15" t="s">
        <v>17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 t="s">
        <v>203</v>
      </c>
    </row>
    <row r="8" spans="1:17" ht="14.4" customHeight="1" x14ac:dyDescent="0.3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203</v>
      </c>
    </row>
    <row r="9" spans="1:17" ht="14.4" customHeight="1" x14ac:dyDescent="0.3">
      <c r="A9" s="15" t="s">
        <v>19</v>
      </c>
      <c r="B9" s="46">
        <v>1186.20491285866</v>
      </c>
      <c r="C9" s="47">
        <v>98.850409404887998</v>
      </c>
      <c r="D9" s="47">
        <v>68.720330000000004</v>
      </c>
      <c r="E9" s="47">
        <v>32.641840000000002</v>
      </c>
      <c r="F9" s="47">
        <v>80.113699999999994</v>
      </c>
      <c r="G9" s="47">
        <v>75.969480000000004</v>
      </c>
      <c r="H9" s="47">
        <v>72.575749999999999</v>
      </c>
      <c r="I9" s="47">
        <v>151.62932000000001</v>
      </c>
      <c r="J9" s="47">
        <v>78.140990000000002</v>
      </c>
      <c r="K9" s="47">
        <v>72.91404</v>
      </c>
      <c r="L9" s="47">
        <v>56.38449</v>
      </c>
      <c r="M9" s="47">
        <v>168.59710999999999</v>
      </c>
      <c r="N9" s="47">
        <v>134.77169000000001</v>
      </c>
      <c r="O9" s="47">
        <v>0</v>
      </c>
      <c r="P9" s="48">
        <v>992.45874000000003</v>
      </c>
      <c r="Q9" s="71">
        <v>0.91272785172399995</v>
      </c>
    </row>
    <row r="10" spans="1:17" ht="14.4" customHeight="1" x14ac:dyDescent="0.3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203</v>
      </c>
    </row>
    <row r="11" spans="1:17" ht="14.4" customHeight="1" x14ac:dyDescent="0.3">
      <c r="A11" s="15" t="s">
        <v>21</v>
      </c>
      <c r="B11" s="46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12.44364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12.44364</v>
      </c>
      <c r="Q11" s="71" t="s">
        <v>203</v>
      </c>
    </row>
    <row r="12" spans="1:17" ht="14.4" customHeight="1" x14ac:dyDescent="0.3">
      <c r="A12" s="15" t="s">
        <v>22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 t="s">
        <v>203</v>
      </c>
    </row>
    <row r="13" spans="1:17" ht="14.4" customHeight="1" x14ac:dyDescent="0.3">
      <c r="A13" s="15" t="s">
        <v>23</v>
      </c>
      <c r="B13" s="46">
        <v>4.8627718474510004</v>
      </c>
      <c r="C13" s="47">
        <v>0.40523098728700002</v>
      </c>
      <c r="D13" s="47">
        <v>0.23377999999999999</v>
      </c>
      <c r="E13" s="47">
        <v>0.12867999999999999</v>
      </c>
      <c r="F13" s="47">
        <v>0.17158000000000001</v>
      </c>
      <c r="G13" s="47">
        <v>0.87263000000000002</v>
      </c>
      <c r="H13" s="47">
        <v>0.61982999999999999</v>
      </c>
      <c r="I13" s="47">
        <v>0</v>
      </c>
      <c r="J13" s="47">
        <v>0.76607999999999998</v>
      </c>
      <c r="K13" s="47">
        <v>0.57693000000000005</v>
      </c>
      <c r="L13" s="47">
        <v>0.61982000000000004</v>
      </c>
      <c r="M13" s="47">
        <v>1.25895</v>
      </c>
      <c r="N13" s="47">
        <v>0.77208999999899997</v>
      </c>
      <c r="O13" s="47">
        <v>0</v>
      </c>
      <c r="P13" s="48">
        <v>6.0203699999999998</v>
      </c>
      <c r="Q13" s="71">
        <v>1.3506034355850001</v>
      </c>
    </row>
    <row r="14" spans="1:17" ht="14.4" customHeight="1" x14ac:dyDescent="0.3">
      <c r="A14" s="15" t="s">
        <v>24</v>
      </c>
      <c r="B14" s="46">
        <v>28.999999999999002</v>
      </c>
      <c r="C14" s="47">
        <v>2.4166666666659999</v>
      </c>
      <c r="D14" s="47">
        <v>3.9409999999999998</v>
      </c>
      <c r="E14" s="47">
        <v>3.13</v>
      </c>
      <c r="F14" s="47">
        <v>2.746</v>
      </c>
      <c r="G14" s="47">
        <v>2.407</v>
      </c>
      <c r="H14" s="47">
        <v>1.931</v>
      </c>
      <c r="I14" s="47">
        <v>1.56</v>
      </c>
      <c r="J14" s="47">
        <v>1.452</v>
      </c>
      <c r="K14" s="47">
        <v>1.615</v>
      </c>
      <c r="L14" s="47">
        <v>1.794</v>
      </c>
      <c r="M14" s="47">
        <v>2.427</v>
      </c>
      <c r="N14" s="47">
        <v>2.829999999999</v>
      </c>
      <c r="O14" s="47">
        <v>0</v>
      </c>
      <c r="P14" s="48">
        <v>25.832999999999998</v>
      </c>
      <c r="Q14" s="71">
        <v>0.97177429466999998</v>
      </c>
    </row>
    <row r="15" spans="1:17" ht="14.4" customHeight="1" x14ac:dyDescent="0.3">
      <c r="A15" s="15" t="s">
        <v>25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203</v>
      </c>
    </row>
    <row r="16" spans="1:17" ht="14.4" customHeight="1" x14ac:dyDescent="0.3">
      <c r="A16" s="15" t="s">
        <v>26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203</v>
      </c>
    </row>
    <row r="17" spans="1:17" ht="14.4" customHeight="1" x14ac:dyDescent="0.3">
      <c r="A17" s="15" t="s">
        <v>27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2.3353000000000002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2.3353000000000002</v>
      </c>
      <c r="Q17" s="71" t="s">
        <v>203</v>
      </c>
    </row>
    <row r="18" spans="1:17" ht="14.4" customHeight="1" x14ac:dyDescent="0.3">
      <c r="A18" s="15" t="s">
        <v>28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1" t="s">
        <v>203</v>
      </c>
    </row>
    <row r="19" spans="1:17" ht="14.4" customHeight="1" x14ac:dyDescent="0.3">
      <c r="A19" s="15" t="s">
        <v>29</v>
      </c>
      <c r="B19" s="46">
        <v>6.7351172822879999</v>
      </c>
      <c r="C19" s="47">
        <v>0.56125977352400003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7.1094999999999997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7.1094999999999997</v>
      </c>
      <c r="Q19" s="71">
        <v>1.151549090646</v>
      </c>
    </row>
    <row r="20" spans="1:17" ht="14.4" customHeight="1" x14ac:dyDescent="0.3">
      <c r="A20" s="15" t="s">
        <v>30</v>
      </c>
      <c r="B20" s="46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0</v>
      </c>
      <c r="Q20" s="71" t="s">
        <v>203</v>
      </c>
    </row>
    <row r="21" spans="1:17" ht="14.4" customHeight="1" x14ac:dyDescent="0.3">
      <c r="A21" s="16" t="s">
        <v>31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71" t="s">
        <v>203</v>
      </c>
    </row>
    <row r="22" spans="1:17" ht="14.4" customHeight="1" x14ac:dyDescent="0.3">
      <c r="A22" s="15" t="s">
        <v>32</v>
      </c>
      <c r="B22" s="46">
        <v>13</v>
      </c>
      <c r="C22" s="47">
        <v>1.083333333333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>
        <v>0</v>
      </c>
    </row>
    <row r="23" spans="1:17" ht="14.4" customHeight="1" x14ac:dyDescent="0.3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203</v>
      </c>
    </row>
    <row r="24" spans="1:17" ht="14.4" customHeight="1" x14ac:dyDescent="0.3">
      <c r="A24" s="16" t="s">
        <v>34</v>
      </c>
      <c r="B24" s="46">
        <v>4.5474735088646402E-13</v>
      </c>
      <c r="C24" s="47">
        <v>2.8421709430404001E-14</v>
      </c>
      <c r="D24" s="47">
        <v>1.4210854715202001E-14</v>
      </c>
      <c r="E24" s="47">
        <v>-7.1054273576010003E-15</v>
      </c>
      <c r="F24" s="47">
        <v>2.0000000000000001E-4</v>
      </c>
      <c r="G24" s="47">
        <v>0</v>
      </c>
      <c r="H24" s="47">
        <v>2.8421709430404001E-14</v>
      </c>
      <c r="I24" s="47">
        <v>0</v>
      </c>
      <c r="J24" s="47">
        <v>0</v>
      </c>
      <c r="K24" s="47">
        <v>2.9999999899999998E-4</v>
      </c>
      <c r="L24" s="47">
        <v>0</v>
      </c>
      <c r="M24" s="47">
        <v>5.0000000000000001E-4</v>
      </c>
      <c r="N24" s="47">
        <v>-1.9999999899999999E-4</v>
      </c>
      <c r="O24" s="47">
        <v>0</v>
      </c>
      <c r="P24" s="48">
        <v>8.0000000000000004E-4</v>
      </c>
      <c r="Q24" s="71"/>
    </row>
    <row r="25" spans="1:17" ht="14.4" customHeight="1" x14ac:dyDescent="0.3">
      <c r="A25" s="17" t="s">
        <v>35</v>
      </c>
      <c r="B25" s="49">
        <v>1239.8028019884</v>
      </c>
      <c r="C25" s="50">
        <v>103.31690016570001</v>
      </c>
      <c r="D25" s="50">
        <v>72.895110000000003</v>
      </c>
      <c r="E25" s="50">
        <v>35.90052</v>
      </c>
      <c r="F25" s="50">
        <v>83.031480000000002</v>
      </c>
      <c r="G25" s="50">
        <v>79.249110000000002</v>
      </c>
      <c r="H25" s="50">
        <v>87.570220000000006</v>
      </c>
      <c r="I25" s="50">
        <v>162.63412</v>
      </c>
      <c r="J25" s="50">
        <v>80.359070000000003</v>
      </c>
      <c r="K25" s="50">
        <v>75.106269999999995</v>
      </c>
      <c r="L25" s="50">
        <v>58.798310000000001</v>
      </c>
      <c r="M25" s="50">
        <v>172.28355999999999</v>
      </c>
      <c r="N25" s="50">
        <v>138.37358</v>
      </c>
      <c r="O25" s="50">
        <v>0</v>
      </c>
      <c r="P25" s="51">
        <v>1046.20135</v>
      </c>
      <c r="Q25" s="72">
        <v>0.92055814183100004</v>
      </c>
    </row>
    <row r="26" spans="1:17" ht="14.4" customHeight="1" x14ac:dyDescent="0.3">
      <c r="A26" s="15" t="s">
        <v>36</v>
      </c>
      <c r="B26" s="46">
        <v>1.586127332987</v>
      </c>
      <c r="C26" s="47">
        <v>0.132177277748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0</v>
      </c>
      <c r="Q26" s="71">
        <v>0</v>
      </c>
    </row>
    <row r="27" spans="1:17" ht="14.4" customHeight="1" x14ac:dyDescent="0.3">
      <c r="A27" s="18" t="s">
        <v>37</v>
      </c>
      <c r="B27" s="49">
        <v>1241.3889293213899</v>
      </c>
      <c r="C27" s="50">
        <v>103.449077443449</v>
      </c>
      <c r="D27" s="50">
        <v>72.895110000000003</v>
      </c>
      <c r="E27" s="50">
        <v>35.90052</v>
      </c>
      <c r="F27" s="50">
        <v>83.031480000000002</v>
      </c>
      <c r="G27" s="50">
        <v>79.249110000000002</v>
      </c>
      <c r="H27" s="50">
        <v>87.570220000000006</v>
      </c>
      <c r="I27" s="50">
        <v>162.63412</v>
      </c>
      <c r="J27" s="50">
        <v>80.359070000000003</v>
      </c>
      <c r="K27" s="50">
        <v>75.106269999999995</v>
      </c>
      <c r="L27" s="50">
        <v>58.798310000000001</v>
      </c>
      <c r="M27" s="50">
        <v>172.28355999999999</v>
      </c>
      <c r="N27" s="50">
        <v>138.37358</v>
      </c>
      <c r="O27" s="50">
        <v>0</v>
      </c>
      <c r="P27" s="51">
        <v>1046.20135</v>
      </c>
      <c r="Q27" s="72">
        <v>0.91938194121000005</v>
      </c>
    </row>
    <row r="28" spans="1:17" ht="14.4" customHeight="1" x14ac:dyDescent="0.3">
      <c r="A28" s="16" t="s">
        <v>38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1">
        <v>0</v>
      </c>
    </row>
    <row r="29" spans="1:17" ht="14.4" customHeight="1" x14ac:dyDescent="0.3">
      <c r="A29" s="16" t="s">
        <v>39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203</v>
      </c>
    </row>
    <row r="30" spans="1:17" ht="14.4" customHeight="1" x14ac:dyDescent="0.3">
      <c r="A30" s="16" t="s">
        <v>40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203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120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156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284" t="s">
        <v>43</v>
      </c>
      <c r="B1" s="284"/>
      <c r="C1" s="284"/>
      <c r="D1" s="284"/>
      <c r="E1" s="284"/>
      <c r="F1" s="284"/>
      <c r="G1" s="284"/>
      <c r="H1" s="289"/>
      <c r="I1" s="289"/>
      <c r="J1" s="289"/>
      <c r="K1" s="289"/>
    </row>
    <row r="2" spans="1:11" s="55" customFormat="1" ht="14.4" customHeight="1" thickBot="1" x14ac:dyDescent="0.35">
      <c r="A2" s="199" t="s">
        <v>202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85" t="s">
        <v>44</v>
      </c>
      <c r="C3" s="286"/>
      <c r="D3" s="286"/>
      <c r="E3" s="286"/>
      <c r="F3" s="292" t="s">
        <v>45</v>
      </c>
      <c r="G3" s="286"/>
      <c r="H3" s="286"/>
      <c r="I3" s="286"/>
      <c r="J3" s="286"/>
      <c r="K3" s="293"/>
    </row>
    <row r="4" spans="1:11" ht="14.4" customHeight="1" x14ac:dyDescent="0.3">
      <c r="A4" s="61"/>
      <c r="B4" s="290"/>
      <c r="C4" s="291"/>
      <c r="D4" s="291"/>
      <c r="E4" s="291"/>
      <c r="F4" s="294" t="s">
        <v>157</v>
      </c>
      <c r="G4" s="296" t="s">
        <v>46</v>
      </c>
      <c r="H4" s="115" t="s">
        <v>110</v>
      </c>
      <c r="I4" s="294" t="s">
        <v>47</v>
      </c>
      <c r="J4" s="296" t="s">
        <v>164</v>
      </c>
      <c r="K4" s="297" t="s">
        <v>158</v>
      </c>
    </row>
    <row r="5" spans="1:11" ht="42" thickBot="1" x14ac:dyDescent="0.35">
      <c r="A5" s="62"/>
      <c r="B5" s="24" t="s">
        <v>160</v>
      </c>
      <c r="C5" s="25" t="s">
        <v>161</v>
      </c>
      <c r="D5" s="26" t="s">
        <v>162</v>
      </c>
      <c r="E5" s="26" t="s">
        <v>163</v>
      </c>
      <c r="F5" s="295"/>
      <c r="G5" s="295"/>
      <c r="H5" s="25" t="s">
        <v>159</v>
      </c>
      <c r="I5" s="295"/>
      <c r="J5" s="295"/>
      <c r="K5" s="298"/>
    </row>
    <row r="6" spans="1:11" ht="14.4" customHeight="1" thickBot="1" x14ac:dyDescent="0.35">
      <c r="A6" s="386" t="s">
        <v>205</v>
      </c>
      <c r="B6" s="368">
        <v>553.85591339607095</v>
      </c>
      <c r="C6" s="368">
        <v>492.54966999999999</v>
      </c>
      <c r="D6" s="369">
        <v>-61.306243396070002</v>
      </c>
      <c r="E6" s="370">
        <v>0.889310122157</v>
      </c>
      <c r="F6" s="368">
        <v>1239.8028019884</v>
      </c>
      <c r="G6" s="369">
        <v>1136.4859018227</v>
      </c>
      <c r="H6" s="371">
        <v>138.37358</v>
      </c>
      <c r="I6" s="368">
        <v>1046.20135</v>
      </c>
      <c r="J6" s="369">
        <v>-90.284551822699001</v>
      </c>
      <c r="K6" s="372">
        <v>0.84384496334500003</v>
      </c>
    </row>
    <row r="7" spans="1:11" ht="14.4" customHeight="1" thickBot="1" x14ac:dyDescent="0.35">
      <c r="A7" s="387" t="s">
        <v>206</v>
      </c>
      <c r="B7" s="368">
        <v>549.59921112023903</v>
      </c>
      <c r="C7" s="368">
        <v>485.90262000000001</v>
      </c>
      <c r="D7" s="369">
        <v>-63.696591120237997</v>
      </c>
      <c r="E7" s="370">
        <v>0.88410356159199999</v>
      </c>
      <c r="F7" s="368">
        <v>1220.06768470611</v>
      </c>
      <c r="G7" s="369">
        <v>1118.3953776472699</v>
      </c>
      <c r="H7" s="371">
        <v>138.37358</v>
      </c>
      <c r="I7" s="368">
        <v>1036.7565500000001</v>
      </c>
      <c r="J7" s="369">
        <v>-81.638827647266993</v>
      </c>
      <c r="K7" s="372">
        <v>0.84975330712800001</v>
      </c>
    </row>
    <row r="8" spans="1:11" ht="14.4" customHeight="1" thickBot="1" x14ac:dyDescent="0.35">
      <c r="A8" s="388" t="s">
        <v>207</v>
      </c>
      <c r="B8" s="368">
        <v>523.98011195758897</v>
      </c>
      <c r="C8" s="368">
        <v>456.65661999999998</v>
      </c>
      <c r="D8" s="369">
        <v>-67.323491957588999</v>
      </c>
      <c r="E8" s="370">
        <v>0.87151517696699998</v>
      </c>
      <c r="F8" s="368">
        <v>1191.06768470611</v>
      </c>
      <c r="G8" s="369">
        <v>1091.8120443139301</v>
      </c>
      <c r="H8" s="371">
        <v>135.54357999999999</v>
      </c>
      <c r="I8" s="368">
        <v>1010.92355</v>
      </c>
      <c r="J8" s="369">
        <v>-80.888494313934004</v>
      </c>
      <c r="K8" s="372">
        <v>0.84875407416399995</v>
      </c>
    </row>
    <row r="9" spans="1:11" ht="14.4" customHeight="1" thickBot="1" x14ac:dyDescent="0.35">
      <c r="A9" s="389" t="s">
        <v>208</v>
      </c>
      <c r="B9" s="373">
        <v>0</v>
      </c>
      <c r="C9" s="373">
        <v>-9.2000000000000003E-4</v>
      </c>
      <c r="D9" s="374">
        <v>-9.2000000000000003E-4</v>
      </c>
      <c r="E9" s="375" t="s">
        <v>203</v>
      </c>
      <c r="F9" s="373">
        <v>0</v>
      </c>
      <c r="G9" s="374">
        <v>0</v>
      </c>
      <c r="H9" s="376">
        <v>-2.0000000000000001E-4</v>
      </c>
      <c r="I9" s="373">
        <v>8.0000000000000004E-4</v>
      </c>
      <c r="J9" s="374">
        <v>8.0000000000000004E-4</v>
      </c>
      <c r="K9" s="377" t="s">
        <v>203</v>
      </c>
    </row>
    <row r="10" spans="1:11" ht="14.4" customHeight="1" thickBot="1" x14ac:dyDescent="0.35">
      <c r="A10" s="390" t="s">
        <v>209</v>
      </c>
      <c r="B10" s="368">
        <v>0</v>
      </c>
      <c r="C10" s="368">
        <v>-9.2000000000000003E-4</v>
      </c>
      <c r="D10" s="369">
        <v>-9.2000000000000003E-4</v>
      </c>
      <c r="E10" s="378" t="s">
        <v>203</v>
      </c>
      <c r="F10" s="368">
        <v>0</v>
      </c>
      <c r="G10" s="369">
        <v>0</v>
      </c>
      <c r="H10" s="371">
        <v>-2.0000000000000001E-4</v>
      </c>
      <c r="I10" s="368">
        <v>8.0000000000000004E-4</v>
      </c>
      <c r="J10" s="369">
        <v>8.0000000000000004E-4</v>
      </c>
      <c r="K10" s="379" t="s">
        <v>203</v>
      </c>
    </row>
    <row r="11" spans="1:11" ht="14.4" customHeight="1" thickBot="1" x14ac:dyDescent="0.35">
      <c r="A11" s="389" t="s">
        <v>210</v>
      </c>
      <c r="B11" s="373">
        <v>521.00004703561103</v>
      </c>
      <c r="C11" s="373">
        <v>451.85942</v>
      </c>
      <c r="D11" s="374">
        <v>-69.140627035611004</v>
      </c>
      <c r="E11" s="380">
        <v>0.86729247448400004</v>
      </c>
      <c r="F11" s="373">
        <v>1186.20491285866</v>
      </c>
      <c r="G11" s="374">
        <v>1087.3545034537699</v>
      </c>
      <c r="H11" s="376">
        <v>134.77169000000001</v>
      </c>
      <c r="I11" s="373">
        <v>992.45874000000003</v>
      </c>
      <c r="J11" s="374">
        <v>-94.895763453770002</v>
      </c>
      <c r="K11" s="381">
        <v>0.836667197413</v>
      </c>
    </row>
    <row r="12" spans="1:11" ht="14.4" customHeight="1" thickBot="1" x14ac:dyDescent="0.35">
      <c r="A12" s="390" t="s">
        <v>211</v>
      </c>
      <c r="B12" s="368">
        <v>30.000002708383999</v>
      </c>
      <c r="C12" s="368">
        <v>91.612620000000007</v>
      </c>
      <c r="D12" s="369">
        <v>61.612617291615003</v>
      </c>
      <c r="E12" s="370">
        <v>3.0537537243080002</v>
      </c>
      <c r="F12" s="368">
        <v>117.70841314159</v>
      </c>
      <c r="G12" s="369">
        <v>107.89937871312399</v>
      </c>
      <c r="H12" s="371">
        <v>9.6957199999989996</v>
      </c>
      <c r="I12" s="368">
        <v>105.24979999999999</v>
      </c>
      <c r="J12" s="369">
        <v>-2.6495787131239998</v>
      </c>
      <c r="K12" s="372">
        <v>0.89415698666599996</v>
      </c>
    </row>
    <row r="13" spans="1:11" ht="14.4" customHeight="1" thickBot="1" x14ac:dyDescent="0.35">
      <c r="A13" s="390" t="s">
        <v>212</v>
      </c>
      <c r="B13" s="368">
        <v>370.00003340340902</v>
      </c>
      <c r="C13" s="368">
        <v>230.59182000000001</v>
      </c>
      <c r="D13" s="369">
        <v>-139.40821340340901</v>
      </c>
      <c r="E13" s="370">
        <v>0.62322107887099998</v>
      </c>
      <c r="F13" s="368">
        <v>449.89742712201399</v>
      </c>
      <c r="G13" s="369">
        <v>412.405974861846</v>
      </c>
      <c r="H13" s="371">
        <v>65.691779999999</v>
      </c>
      <c r="I13" s="368">
        <v>473.52003999999999</v>
      </c>
      <c r="J13" s="369">
        <v>61.114065138153002</v>
      </c>
      <c r="K13" s="372">
        <v>1.0525066636389999</v>
      </c>
    </row>
    <row r="14" spans="1:11" ht="14.4" customHeight="1" thickBot="1" x14ac:dyDescent="0.35">
      <c r="A14" s="390" t="s">
        <v>213</v>
      </c>
      <c r="B14" s="368">
        <v>70.000006319562999</v>
      </c>
      <c r="C14" s="368">
        <v>72.808300000000003</v>
      </c>
      <c r="D14" s="369">
        <v>2.8082936804359999</v>
      </c>
      <c r="E14" s="370">
        <v>1.040118477527</v>
      </c>
      <c r="F14" s="368">
        <v>348.27670943943099</v>
      </c>
      <c r="G14" s="369">
        <v>319.25365031947803</v>
      </c>
      <c r="H14" s="371">
        <v>11.07765</v>
      </c>
      <c r="I14" s="368">
        <v>234.83201</v>
      </c>
      <c r="J14" s="369">
        <v>-84.421640319478001</v>
      </c>
      <c r="K14" s="372">
        <v>0.67426848719700005</v>
      </c>
    </row>
    <row r="15" spans="1:11" ht="14.4" customHeight="1" thickBot="1" x14ac:dyDescent="0.35">
      <c r="A15" s="390" t="s">
        <v>214</v>
      </c>
      <c r="B15" s="368">
        <v>17.000001534751</v>
      </c>
      <c r="C15" s="368">
        <v>16.741399999999999</v>
      </c>
      <c r="D15" s="369">
        <v>-0.25860153475100001</v>
      </c>
      <c r="E15" s="370">
        <v>0.98478814638699996</v>
      </c>
      <c r="F15" s="368">
        <v>20</v>
      </c>
      <c r="G15" s="369">
        <v>18.333333333333002</v>
      </c>
      <c r="H15" s="371">
        <v>1.8267</v>
      </c>
      <c r="I15" s="368">
        <v>16.503869999999999</v>
      </c>
      <c r="J15" s="369">
        <v>-1.8294633333329999</v>
      </c>
      <c r="K15" s="372">
        <v>0.82519350000000002</v>
      </c>
    </row>
    <row r="16" spans="1:11" ht="14.4" customHeight="1" thickBot="1" x14ac:dyDescent="0.35">
      <c r="A16" s="390" t="s">
        <v>215</v>
      </c>
      <c r="B16" s="368">
        <v>15.000001354191999</v>
      </c>
      <c r="C16" s="368">
        <v>24.488720000000001</v>
      </c>
      <c r="D16" s="369">
        <v>9.4887186458069994</v>
      </c>
      <c r="E16" s="370">
        <v>1.632581185944</v>
      </c>
      <c r="F16" s="368">
        <v>35.322363155623002</v>
      </c>
      <c r="G16" s="369">
        <v>32.378832892654003</v>
      </c>
      <c r="H16" s="371">
        <v>3.063599999999</v>
      </c>
      <c r="I16" s="368">
        <v>33.905799999999999</v>
      </c>
      <c r="J16" s="369">
        <v>1.526967107345</v>
      </c>
      <c r="K16" s="372">
        <v>0.95989613861900003</v>
      </c>
    </row>
    <row r="17" spans="1:11" ht="14.4" customHeight="1" thickBot="1" x14ac:dyDescent="0.35">
      <c r="A17" s="390" t="s">
        <v>216</v>
      </c>
      <c r="B17" s="368">
        <v>19.000001715309999</v>
      </c>
      <c r="C17" s="368">
        <v>15.61656</v>
      </c>
      <c r="D17" s="369">
        <v>-3.38344171531</v>
      </c>
      <c r="E17" s="370">
        <v>0.82192413632299999</v>
      </c>
      <c r="F17" s="368">
        <v>215</v>
      </c>
      <c r="G17" s="369">
        <v>197.083333333333</v>
      </c>
      <c r="H17" s="371">
        <v>43.416239999999</v>
      </c>
      <c r="I17" s="368">
        <v>128.44721999999999</v>
      </c>
      <c r="J17" s="369">
        <v>-68.636113333333</v>
      </c>
      <c r="K17" s="372">
        <v>0.59742893023200005</v>
      </c>
    </row>
    <row r="18" spans="1:11" ht="14.4" customHeight="1" thickBot="1" x14ac:dyDescent="0.35">
      <c r="A18" s="389" t="s">
        <v>217</v>
      </c>
      <c r="B18" s="373">
        <v>0</v>
      </c>
      <c r="C18" s="373">
        <v>1.2099999999999999E-3</v>
      </c>
      <c r="D18" s="374">
        <v>1.2099999999999999E-3</v>
      </c>
      <c r="E18" s="375" t="s">
        <v>218</v>
      </c>
      <c r="F18" s="373">
        <v>0</v>
      </c>
      <c r="G18" s="374">
        <v>0</v>
      </c>
      <c r="H18" s="376">
        <v>0</v>
      </c>
      <c r="I18" s="373">
        <v>12.44364</v>
      </c>
      <c r="J18" s="374">
        <v>12.44364</v>
      </c>
      <c r="K18" s="377" t="s">
        <v>203</v>
      </c>
    </row>
    <row r="19" spans="1:11" ht="14.4" customHeight="1" thickBot="1" x14ac:dyDescent="0.35">
      <c r="A19" s="390" t="s">
        <v>219</v>
      </c>
      <c r="B19" s="368">
        <v>0</v>
      </c>
      <c r="C19" s="368">
        <v>1.2099999999999999E-3</v>
      </c>
      <c r="D19" s="369">
        <v>1.2099999999999999E-3</v>
      </c>
      <c r="E19" s="378" t="s">
        <v>218</v>
      </c>
      <c r="F19" s="368">
        <v>0</v>
      </c>
      <c r="G19" s="369">
        <v>0</v>
      </c>
      <c r="H19" s="371">
        <v>0</v>
      </c>
      <c r="I19" s="368">
        <v>12.44364</v>
      </c>
      <c r="J19" s="369">
        <v>12.44364</v>
      </c>
      <c r="K19" s="379" t="s">
        <v>203</v>
      </c>
    </row>
    <row r="20" spans="1:11" ht="14.4" customHeight="1" thickBot="1" x14ac:dyDescent="0.35">
      <c r="A20" s="389" t="s">
        <v>220</v>
      </c>
      <c r="B20" s="373">
        <v>2.9800649219770001</v>
      </c>
      <c r="C20" s="373">
        <v>4.7969099999999996</v>
      </c>
      <c r="D20" s="374">
        <v>1.816845078022</v>
      </c>
      <c r="E20" s="380">
        <v>1.6096662742550001</v>
      </c>
      <c r="F20" s="373">
        <v>4.8627718474510004</v>
      </c>
      <c r="G20" s="374">
        <v>4.4575408601640003</v>
      </c>
      <c r="H20" s="376">
        <v>0.77208999999899997</v>
      </c>
      <c r="I20" s="373">
        <v>6.0203699999999998</v>
      </c>
      <c r="J20" s="374">
        <v>1.562829139835</v>
      </c>
      <c r="K20" s="381">
        <v>1.2380531492860001</v>
      </c>
    </row>
    <row r="21" spans="1:11" ht="14.4" customHeight="1" thickBot="1" x14ac:dyDescent="0.35">
      <c r="A21" s="390" t="s">
        <v>221</v>
      </c>
      <c r="B21" s="368">
        <v>0</v>
      </c>
      <c r="C21" s="368">
        <v>0.18659999999999999</v>
      </c>
      <c r="D21" s="369">
        <v>0.18659999999999999</v>
      </c>
      <c r="E21" s="378" t="s">
        <v>218</v>
      </c>
      <c r="F21" s="368">
        <v>0.25260600713100001</v>
      </c>
      <c r="G21" s="369">
        <v>0.23155550653599999</v>
      </c>
      <c r="H21" s="371">
        <v>0</v>
      </c>
      <c r="I21" s="368">
        <v>0.49759999999999999</v>
      </c>
      <c r="J21" s="369">
        <v>0.26604449346300002</v>
      </c>
      <c r="K21" s="372">
        <v>1.96986606</v>
      </c>
    </row>
    <row r="22" spans="1:11" ht="14.4" customHeight="1" thickBot="1" x14ac:dyDescent="0.35">
      <c r="A22" s="390" t="s">
        <v>222</v>
      </c>
      <c r="B22" s="368">
        <v>2.9800649219770001</v>
      </c>
      <c r="C22" s="368">
        <v>4.6103100000000001</v>
      </c>
      <c r="D22" s="369">
        <v>1.6302450780219999</v>
      </c>
      <c r="E22" s="370">
        <v>1.5470501887379999</v>
      </c>
      <c r="F22" s="368">
        <v>4.6101658403199997</v>
      </c>
      <c r="G22" s="369">
        <v>4.2259853536270002</v>
      </c>
      <c r="H22" s="371">
        <v>0.77208999999899997</v>
      </c>
      <c r="I22" s="368">
        <v>5.5227700000000004</v>
      </c>
      <c r="J22" s="369">
        <v>1.2967846463720001</v>
      </c>
      <c r="K22" s="372">
        <v>1.1979547355319999</v>
      </c>
    </row>
    <row r="23" spans="1:11" ht="14.4" customHeight="1" thickBot="1" x14ac:dyDescent="0.35">
      <c r="A23" s="388" t="s">
        <v>24</v>
      </c>
      <c r="B23" s="368">
        <v>25.619099162649</v>
      </c>
      <c r="C23" s="368">
        <v>29.245999999999999</v>
      </c>
      <c r="D23" s="369">
        <v>3.62690083735</v>
      </c>
      <c r="E23" s="370">
        <v>1.141570193952</v>
      </c>
      <c r="F23" s="368">
        <v>28.999999999999002</v>
      </c>
      <c r="G23" s="369">
        <v>26.583333333333002</v>
      </c>
      <c r="H23" s="371">
        <v>2.829999999999</v>
      </c>
      <c r="I23" s="368">
        <v>25.832999999999998</v>
      </c>
      <c r="J23" s="369">
        <v>-0.75033333333300001</v>
      </c>
      <c r="K23" s="372">
        <v>0.890793103448</v>
      </c>
    </row>
    <row r="24" spans="1:11" ht="14.4" customHeight="1" thickBot="1" x14ac:dyDescent="0.35">
      <c r="A24" s="389" t="s">
        <v>223</v>
      </c>
      <c r="B24" s="373">
        <v>25.619099162649</v>
      </c>
      <c r="C24" s="373">
        <v>29.245999999999999</v>
      </c>
      <c r="D24" s="374">
        <v>3.62690083735</v>
      </c>
      <c r="E24" s="380">
        <v>1.141570193952</v>
      </c>
      <c r="F24" s="373">
        <v>28.999999999999002</v>
      </c>
      <c r="G24" s="374">
        <v>26.583333333333002</v>
      </c>
      <c r="H24" s="376">
        <v>2.829999999999</v>
      </c>
      <c r="I24" s="373">
        <v>25.832999999999998</v>
      </c>
      <c r="J24" s="374">
        <v>-0.75033333333300001</v>
      </c>
      <c r="K24" s="381">
        <v>0.890793103448</v>
      </c>
    </row>
    <row r="25" spans="1:11" ht="14.4" customHeight="1" thickBot="1" x14ac:dyDescent="0.35">
      <c r="A25" s="390" t="s">
        <v>224</v>
      </c>
      <c r="B25" s="368">
        <v>10.999477962368999</v>
      </c>
      <c r="C25" s="368">
        <v>10.157999999999999</v>
      </c>
      <c r="D25" s="369">
        <v>-0.84147796236899997</v>
      </c>
      <c r="E25" s="370">
        <v>0.92349837280900005</v>
      </c>
      <c r="F25" s="368">
        <v>9.9999999999989999</v>
      </c>
      <c r="G25" s="369">
        <v>9.1666666666659999</v>
      </c>
      <c r="H25" s="371">
        <v>0.87999999999900003</v>
      </c>
      <c r="I25" s="368">
        <v>9.7490000000000006</v>
      </c>
      <c r="J25" s="369">
        <v>0.58233333333299997</v>
      </c>
      <c r="K25" s="372">
        <v>0.97489999999999999</v>
      </c>
    </row>
    <row r="26" spans="1:11" ht="14.4" customHeight="1" thickBot="1" x14ac:dyDescent="0.35">
      <c r="A26" s="390" t="s">
        <v>225</v>
      </c>
      <c r="B26" s="368">
        <v>14.619621200279999</v>
      </c>
      <c r="C26" s="368">
        <v>19.088000000000001</v>
      </c>
      <c r="D26" s="369">
        <v>4.4683787997189999</v>
      </c>
      <c r="E26" s="370">
        <v>1.305642583929</v>
      </c>
      <c r="F26" s="368">
        <v>18.999999999999002</v>
      </c>
      <c r="G26" s="369">
        <v>17.416666666666</v>
      </c>
      <c r="H26" s="371">
        <v>1.95</v>
      </c>
      <c r="I26" s="368">
        <v>16.084</v>
      </c>
      <c r="J26" s="369">
        <v>-1.3326666666660001</v>
      </c>
      <c r="K26" s="372">
        <v>0.84652631578899995</v>
      </c>
    </row>
    <row r="27" spans="1:11" ht="14.4" customHeight="1" thickBot="1" x14ac:dyDescent="0.35">
      <c r="A27" s="391" t="s">
        <v>226</v>
      </c>
      <c r="B27" s="373">
        <v>4.2567022758319997</v>
      </c>
      <c r="C27" s="373">
        <v>6.6470500000000001</v>
      </c>
      <c r="D27" s="374">
        <v>2.3903477241669999</v>
      </c>
      <c r="E27" s="380">
        <v>1.561549192138</v>
      </c>
      <c r="F27" s="373">
        <v>6.7351172822879999</v>
      </c>
      <c r="G27" s="374">
        <v>6.1738575087639997</v>
      </c>
      <c r="H27" s="376">
        <v>0</v>
      </c>
      <c r="I27" s="373">
        <v>9.4448000000000008</v>
      </c>
      <c r="J27" s="374">
        <v>3.270942491235</v>
      </c>
      <c r="K27" s="381">
        <v>1.402321534153</v>
      </c>
    </row>
    <row r="28" spans="1:11" ht="14.4" customHeight="1" thickBot="1" x14ac:dyDescent="0.35">
      <c r="A28" s="388" t="s">
        <v>27</v>
      </c>
      <c r="B28" s="368">
        <v>0</v>
      </c>
      <c r="C28" s="368">
        <v>0</v>
      </c>
      <c r="D28" s="369">
        <v>0</v>
      </c>
      <c r="E28" s="370">
        <v>1</v>
      </c>
      <c r="F28" s="368">
        <v>0</v>
      </c>
      <c r="G28" s="369">
        <v>0</v>
      </c>
      <c r="H28" s="371">
        <v>0</v>
      </c>
      <c r="I28" s="368">
        <v>2.3353000000000002</v>
      </c>
      <c r="J28" s="369">
        <v>2.3353000000000002</v>
      </c>
      <c r="K28" s="379" t="s">
        <v>218</v>
      </c>
    </row>
    <row r="29" spans="1:11" ht="14.4" customHeight="1" thickBot="1" x14ac:dyDescent="0.35">
      <c r="A29" s="392" t="s">
        <v>227</v>
      </c>
      <c r="B29" s="368">
        <v>0</v>
      </c>
      <c r="C29" s="368">
        <v>0</v>
      </c>
      <c r="D29" s="369">
        <v>0</v>
      </c>
      <c r="E29" s="370">
        <v>1</v>
      </c>
      <c r="F29" s="368">
        <v>0</v>
      </c>
      <c r="G29" s="369">
        <v>0</v>
      </c>
      <c r="H29" s="371">
        <v>0</v>
      </c>
      <c r="I29" s="368">
        <v>2.3353000000000002</v>
      </c>
      <c r="J29" s="369">
        <v>2.3353000000000002</v>
      </c>
      <c r="K29" s="379" t="s">
        <v>218</v>
      </c>
    </row>
    <row r="30" spans="1:11" ht="14.4" customHeight="1" thickBot="1" x14ac:dyDescent="0.35">
      <c r="A30" s="390" t="s">
        <v>228</v>
      </c>
      <c r="B30" s="368">
        <v>0</v>
      </c>
      <c r="C30" s="368">
        <v>0</v>
      </c>
      <c r="D30" s="369">
        <v>0</v>
      </c>
      <c r="E30" s="370">
        <v>1</v>
      </c>
      <c r="F30" s="368">
        <v>0</v>
      </c>
      <c r="G30" s="369">
        <v>0</v>
      </c>
      <c r="H30" s="371">
        <v>0</v>
      </c>
      <c r="I30" s="368">
        <v>2.3353000000000002</v>
      </c>
      <c r="J30" s="369">
        <v>2.3353000000000002</v>
      </c>
      <c r="K30" s="379" t="s">
        <v>218</v>
      </c>
    </row>
    <row r="31" spans="1:11" ht="14.4" customHeight="1" thickBot="1" x14ac:dyDescent="0.35">
      <c r="A31" s="388" t="s">
        <v>29</v>
      </c>
      <c r="B31" s="368">
        <v>4.2567022758319997</v>
      </c>
      <c r="C31" s="368">
        <v>6.6470500000000001</v>
      </c>
      <c r="D31" s="369">
        <v>2.3903477241669999</v>
      </c>
      <c r="E31" s="370">
        <v>1.561549192138</v>
      </c>
      <c r="F31" s="368">
        <v>6.7351172822879999</v>
      </c>
      <c r="G31" s="369">
        <v>6.1738575087639997</v>
      </c>
      <c r="H31" s="371">
        <v>0</v>
      </c>
      <c r="I31" s="368">
        <v>7.1094999999999997</v>
      </c>
      <c r="J31" s="369">
        <v>0.93564249123499998</v>
      </c>
      <c r="K31" s="372">
        <v>1.0555866664260001</v>
      </c>
    </row>
    <row r="32" spans="1:11" ht="14.4" customHeight="1" thickBot="1" x14ac:dyDescent="0.35">
      <c r="A32" s="389" t="s">
        <v>229</v>
      </c>
      <c r="B32" s="373">
        <v>4.2567022758319997</v>
      </c>
      <c r="C32" s="373">
        <v>6.6470500000000001</v>
      </c>
      <c r="D32" s="374">
        <v>2.3903477241669999</v>
      </c>
      <c r="E32" s="380">
        <v>1.561549192138</v>
      </c>
      <c r="F32" s="373">
        <v>6.7351172822879999</v>
      </c>
      <c r="G32" s="374">
        <v>6.1738575087639997</v>
      </c>
      <c r="H32" s="376">
        <v>0</v>
      </c>
      <c r="I32" s="373">
        <v>7.1094999999999997</v>
      </c>
      <c r="J32" s="374">
        <v>0.93564249123499998</v>
      </c>
      <c r="K32" s="381">
        <v>1.0555866664260001</v>
      </c>
    </row>
    <row r="33" spans="1:11" ht="14.4" customHeight="1" thickBot="1" x14ac:dyDescent="0.35">
      <c r="A33" s="390" t="s">
        <v>230</v>
      </c>
      <c r="B33" s="368">
        <v>4.2567022758319997</v>
      </c>
      <c r="C33" s="368">
        <v>6.6470500000000001</v>
      </c>
      <c r="D33" s="369">
        <v>2.3903477241669999</v>
      </c>
      <c r="E33" s="370">
        <v>1.561549192138</v>
      </c>
      <c r="F33" s="368">
        <v>6.7351172822879999</v>
      </c>
      <c r="G33" s="369">
        <v>6.1738575087639997</v>
      </c>
      <c r="H33" s="371">
        <v>0</v>
      </c>
      <c r="I33" s="368">
        <v>7.1094999999999997</v>
      </c>
      <c r="J33" s="369">
        <v>0.93564249123499998</v>
      </c>
      <c r="K33" s="372">
        <v>1.0555866664260001</v>
      </c>
    </row>
    <row r="34" spans="1:11" ht="14.4" customHeight="1" thickBot="1" x14ac:dyDescent="0.35">
      <c r="A34" s="387" t="s">
        <v>231</v>
      </c>
      <c r="B34" s="368">
        <v>0</v>
      </c>
      <c r="C34" s="368">
        <v>0</v>
      </c>
      <c r="D34" s="369">
        <v>0</v>
      </c>
      <c r="E34" s="378" t="s">
        <v>203</v>
      </c>
      <c r="F34" s="368">
        <v>13</v>
      </c>
      <c r="G34" s="369">
        <v>11.916666666666</v>
      </c>
      <c r="H34" s="371">
        <v>0</v>
      </c>
      <c r="I34" s="368">
        <v>0</v>
      </c>
      <c r="J34" s="369">
        <v>-11.916666666666</v>
      </c>
      <c r="K34" s="372">
        <v>0</v>
      </c>
    </row>
    <row r="35" spans="1:11" ht="14.4" customHeight="1" thickBot="1" x14ac:dyDescent="0.35">
      <c r="A35" s="388" t="s">
        <v>232</v>
      </c>
      <c r="B35" s="368">
        <v>0</v>
      </c>
      <c r="C35" s="368">
        <v>0</v>
      </c>
      <c r="D35" s="369">
        <v>0</v>
      </c>
      <c r="E35" s="370">
        <v>1</v>
      </c>
      <c r="F35" s="368">
        <v>13</v>
      </c>
      <c r="G35" s="369">
        <v>11.916666666666</v>
      </c>
      <c r="H35" s="371">
        <v>0</v>
      </c>
      <c r="I35" s="368">
        <v>0</v>
      </c>
      <c r="J35" s="369">
        <v>-11.916666666666</v>
      </c>
      <c r="K35" s="372">
        <v>0</v>
      </c>
    </row>
    <row r="36" spans="1:11" ht="14.4" customHeight="1" thickBot="1" x14ac:dyDescent="0.35">
      <c r="A36" s="389" t="s">
        <v>233</v>
      </c>
      <c r="B36" s="373">
        <v>0</v>
      </c>
      <c r="C36" s="373">
        <v>0</v>
      </c>
      <c r="D36" s="374">
        <v>0</v>
      </c>
      <c r="E36" s="380">
        <v>1</v>
      </c>
      <c r="F36" s="373">
        <v>13</v>
      </c>
      <c r="G36" s="374">
        <v>11.916666666666</v>
      </c>
      <c r="H36" s="376">
        <v>0</v>
      </c>
      <c r="I36" s="373">
        <v>0</v>
      </c>
      <c r="J36" s="374">
        <v>-11.916666666666</v>
      </c>
      <c r="K36" s="381">
        <v>0</v>
      </c>
    </row>
    <row r="37" spans="1:11" ht="14.4" customHeight="1" thickBot="1" x14ac:dyDescent="0.35">
      <c r="A37" s="390" t="s">
        <v>234</v>
      </c>
      <c r="B37" s="368">
        <v>0</v>
      </c>
      <c r="C37" s="368">
        <v>0</v>
      </c>
      <c r="D37" s="369">
        <v>0</v>
      </c>
      <c r="E37" s="370">
        <v>1</v>
      </c>
      <c r="F37" s="368">
        <v>13</v>
      </c>
      <c r="G37" s="369">
        <v>11.916666666666</v>
      </c>
      <c r="H37" s="371">
        <v>0</v>
      </c>
      <c r="I37" s="368">
        <v>0</v>
      </c>
      <c r="J37" s="369">
        <v>-11.916666666666</v>
      </c>
      <c r="K37" s="372">
        <v>0</v>
      </c>
    </row>
    <row r="38" spans="1:11" ht="14.4" customHeight="1" thickBot="1" x14ac:dyDescent="0.35">
      <c r="A38" s="386" t="s">
        <v>235</v>
      </c>
      <c r="B38" s="368">
        <v>1323.70863475077</v>
      </c>
      <c r="C38" s="368">
        <v>1176.8206700000001</v>
      </c>
      <c r="D38" s="369">
        <v>-146.88796475076501</v>
      </c>
      <c r="E38" s="370">
        <v>0.88903300855199996</v>
      </c>
      <c r="F38" s="368">
        <v>1425.41570264905</v>
      </c>
      <c r="G38" s="369">
        <v>1306.6310607616299</v>
      </c>
      <c r="H38" s="371">
        <v>561.01833000000101</v>
      </c>
      <c r="I38" s="368">
        <v>2629.9850799999999</v>
      </c>
      <c r="J38" s="369">
        <v>1323.35401923838</v>
      </c>
      <c r="K38" s="372">
        <v>1.8450653203209999</v>
      </c>
    </row>
    <row r="39" spans="1:11" ht="14.4" customHeight="1" thickBot="1" x14ac:dyDescent="0.35">
      <c r="A39" s="387" t="s">
        <v>236</v>
      </c>
      <c r="B39" s="368">
        <v>1323.70863475077</v>
      </c>
      <c r="C39" s="368">
        <v>1176.8206700000001</v>
      </c>
      <c r="D39" s="369">
        <v>-146.88796475076501</v>
      </c>
      <c r="E39" s="370">
        <v>0.88903300855199996</v>
      </c>
      <c r="F39" s="368">
        <v>1425.41570264905</v>
      </c>
      <c r="G39" s="369">
        <v>1306.6310607616299</v>
      </c>
      <c r="H39" s="371">
        <v>561.01833000000101</v>
      </c>
      <c r="I39" s="368">
        <v>2629.9850799999999</v>
      </c>
      <c r="J39" s="369">
        <v>1323.35401923838</v>
      </c>
      <c r="K39" s="372">
        <v>1.8450653203209999</v>
      </c>
    </row>
    <row r="40" spans="1:11" ht="14.4" customHeight="1" thickBot="1" x14ac:dyDescent="0.35">
      <c r="A40" s="388" t="s">
        <v>237</v>
      </c>
      <c r="B40" s="368">
        <v>1323.70863475077</v>
      </c>
      <c r="C40" s="368">
        <v>1176.8206700000001</v>
      </c>
      <c r="D40" s="369">
        <v>-146.88796475076501</v>
      </c>
      <c r="E40" s="370">
        <v>0.88903300855199996</v>
      </c>
      <c r="F40" s="368">
        <v>1425.41570264905</v>
      </c>
      <c r="G40" s="369">
        <v>1306.6310607616299</v>
      </c>
      <c r="H40" s="371">
        <v>561.01833000000101</v>
      </c>
      <c r="I40" s="368">
        <v>2629.9850799999999</v>
      </c>
      <c r="J40" s="369">
        <v>1323.35401923838</v>
      </c>
      <c r="K40" s="372">
        <v>1.8450653203209999</v>
      </c>
    </row>
    <row r="41" spans="1:11" ht="14.4" customHeight="1" thickBot="1" x14ac:dyDescent="0.35">
      <c r="A41" s="389" t="s">
        <v>238</v>
      </c>
      <c r="B41" s="373">
        <v>1.7085021955999999</v>
      </c>
      <c r="C41" s="373">
        <v>0.4788</v>
      </c>
      <c r="D41" s="374">
        <v>-1.2297021956</v>
      </c>
      <c r="E41" s="380">
        <v>0.28024546953000001</v>
      </c>
      <c r="F41" s="373">
        <v>2.4157026490460001</v>
      </c>
      <c r="G41" s="374">
        <v>2.2143940949580001</v>
      </c>
      <c r="H41" s="376">
        <v>16.621680000000001</v>
      </c>
      <c r="I41" s="373">
        <v>129.87880000000001</v>
      </c>
      <c r="J41" s="374">
        <v>127.66440590504099</v>
      </c>
      <c r="K41" s="381">
        <v>53.764398549333997</v>
      </c>
    </row>
    <row r="42" spans="1:11" ht="14.4" customHeight="1" thickBot="1" x14ac:dyDescent="0.35">
      <c r="A42" s="390" t="s">
        <v>239</v>
      </c>
      <c r="B42" s="368">
        <v>1.0000001002679999</v>
      </c>
      <c r="C42" s="368">
        <v>0.4788</v>
      </c>
      <c r="D42" s="369">
        <v>-0.52120010026800001</v>
      </c>
      <c r="E42" s="370">
        <v>0.47879995199100001</v>
      </c>
      <c r="F42" s="368">
        <v>2.4157026490460001</v>
      </c>
      <c r="G42" s="369">
        <v>2.2143940949580001</v>
      </c>
      <c r="H42" s="371">
        <v>16.621680000000001</v>
      </c>
      <c r="I42" s="368">
        <v>129.87880000000001</v>
      </c>
      <c r="J42" s="369">
        <v>127.66440590504099</v>
      </c>
      <c r="K42" s="372">
        <v>53.764398549333997</v>
      </c>
    </row>
    <row r="43" spans="1:11" ht="14.4" customHeight="1" thickBot="1" x14ac:dyDescent="0.35">
      <c r="A43" s="390" t="s">
        <v>240</v>
      </c>
      <c r="B43" s="368">
        <v>0.70850209533200004</v>
      </c>
      <c r="C43" s="368">
        <v>0</v>
      </c>
      <c r="D43" s="369">
        <v>-0.70850209533200004</v>
      </c>
      <c r="E43" s="370">
        <v>0</v>
      </c>
      <c r="F43" s="368">
        <v>0</v>
      </c>
      <c r="G43" s="369">
        <v>0</v>
      </c>
      <c r="H43" s="371">
        <v>0</v>
      </c>
      <c r="I43" s="368">
        <v>0</v>
      </c>
      <c r="J43" s="369">
        <v>0</v>
      </c>
      <c r="K43" s="372">
        <v>0</v>
      </c>
    </row>
    <row r="44" spans="1:11" ht="14.4" customHeight="1" thickBot="1" x14ac:dyDescent="0.35">
      <c r="A44" s="389" t="s">
        <v>241</v>
      </c>
      <c r="B44" s="373">
        <v>0</v>
      </c>
      <c r="C44" s="373">
        <v>0</v>
      </c>
      <c r="D44" s="374">
        <v>0</v>
      </c>
      <c r="E44" s="375" t="s">
        <v>203</v>
      </c>
      <c r="F44" s="373">
        <v>0</v>
      </c>
      <c r="G44" s="374">
        <v>0</v>
      </c>
      <c r="H44" s="376">
        <v>0</v>
      </c>
      <c r="I44" s="373">
        <v>7.9439999999999997E-2</v>
      </c>
      <c r="J44" s="374">
        <v>7.9439999999999997E-2</v>
      </c>
      <c r="K44" s="377" t="s">
        <v>218</v>
      </c>
    </row>
    <row r="45" spans="1:11" ht="14.4" customHeight="1" thickBot="1" x14ac:dyDescent="0.35">
      <c r="A45" s="390" t="s">
        <v>242</v>
      </c>
      <c r="B45" s="368">
        <v>0</v>
      </c>
      <c r="C45" s="368">
        <v>0</v>
      </c>
      <c r="D45" s="369">
        <v>0</v>
      </c>
      <c r="E45" s="378" t="s">
        <v>203</v>
      </c>
      <c r="F45" s="368">
        <v>0</v>
      </c>
      <c r="G45" s="369">
        <v>0</v>
      </c>
      <c r="H45" s="371">
        <v>0</v>
      </c>
      <c r="I45" s="368">
        <v>7.9439999999999997E-2</v>
      </c>
      <c r="J45" s="369">
        <v>7.9439999999999997E-2</v>
      </c>
      <c r="K45" s="379" t="s">
        <v>218</v>
      </c>
    </row>
    <row r="46" spans="1:11" ht="14.4" customHeight="1" thickBot="1" x14ac:dyDescent="0.35">
      <c r="A46" s="389" t="s">
        <v>243</v>
      </c>
      <c r="B46" s="373">
        <v>1322.00013255516</v>
      </c>
      <c r="C46" s="373">
        <v>1077.7545600000001</v>
      </c>
      <c r="D46" s="374">
        <v>-244.24557255516501</v>
      </c>
      <c r="E46" s="380">
        <v>0.815245425064</v>
      </c>
      <c r="F46" s="373">
        <v>1423</v>
      </c>
      <c r="G46" s="374">
        <v>1304.4166666666699</v>
      </c>
      <c r="H46" s="376">
        <v>544.29695000000004</v>
      </c>
      <c r="I46" s="373">
        <v>2467.1599299999998</v>
      </c>
      <c r="J46" s="374">
        <v>1162.7432633333301</v>
      </c>
      <c r="K46" s="381">
        <v>1.7337736683060001</v>
      </c>
    </row>
    <row r="47" spans="1:11" ht="14.4" customHeight="1" thickBot="1" x14ac:dyDescent="0.35">
      <c r="A47" s="390" t="s">
        <v>244</v>
      </c>
      <c r="B47" s="368">
        <v>524.00005254077598</v>
      </c>
      <c r="C47" s="368">
        <v>510.81576000000001</v>
      </c>
      <c r="D47" s="369">
        <v>-13.184292540775999</v>
      </c>
      <c r="E47" s="370">
        <v>0.97483913889499996</v>
      </c>
      <c r="F47" s="368">
        <v>554</v>
      </c>
      <c r="G47" s="369">
        <v>507.83333333333297</v>
      </c>
      <c r="H47" s="371">
        <v>466.78100999999998</v>
      </c>
      <c r="I47" s="368">
        <v>1302.9092000000001</v>
      </c>
      <c r="J47" s="369">
        <v>795.07586666666703</v>
      </c>
      <c r="K47" s="372">
        <v>2.3518216606490001</v>
      </c>
    </row>
    <row r="48" spans="1:11" ht="14.4" customHeight="1" thickBot="1" x14ac:dyDescent="0.35">
      <c r="A48" s="390" t="s">
        <v>245</v>
      </c>
      <c r="B48" s="368">
        <v>798.000080014388</v>
      </c>
      <c r="C48" s="368">
        <v>566.93880000000001</v>
      </c>
      <c r="D48" s="369">
        <v>-231.06128001438799</v>
      </c>
      <c r="E48" s="370">
        <v>0.71044955282400002</v>
      </c>
      <c r="F48" s="368">
        <v>869</v>
      </c>
      <c r="G48" s="369">
        <v>796.58333333333303</v>
      </c>
      <c r="H48" s="371">
        <v>77.515940000000001</v>
      </c>
      <c r="I48" s="368">
        <v>1164.25073</v>
      </c>
      <c r="J48" s="369">
        <v>367.667396666667</v>
      </c>
      <c r="K48" s="372">
        <v>1.339759182968</v>
      </c>
    </row>
    <row r="49" spans="1:11" ht="14.4" customHeight="1" thickBot="1" x14ac:dyDescent="0.35">
      <c r="A49" s="389" t="s">
        <v>246</v>
      </c>
      <c r="B49" s="373">
        <v>0</v>
      </c>
      <c r="C49" s="373">
        <v>98.587310000000002</v>
      </c>
      <c r="D49" s="374">
        <v>98.587310000000002</v>
      </c>
      <c r="E49" s="375" t="s">
        <v>203</v>
      </c>
      <c r="F49" s="373">
        <v>0</v>
      </c>
      <c r="G49" s="374">
        <v>0</v>
      </c>
      <c r="H49" s="376">
        <v>9.9699999999999997E-2</v>
      </c>
      <c r="I49" s="373">
        <v>32.866909999999997</v>
      </c>
      <c r="J49" s="374">
        <v>32.866909999999997</v>
      </c>
      <c r="K49" s="377" t="s">
        <v>203</v>
      </c>
    </row>
    <row r="50" spans="1:11" ht="14.4" customHeight="1" thickBot="1" x14ac:dyDescent="0.35">
      <c r="A50" s="390" t="s">
        <v>247</v>
      </c>
      <c r="B50" s="368">
        <v>0</v>
      </c>
      <c r="C50" s="368">
        <v>8.0187500000000007</v>
      </c>
      <c r="D50" s="369">
        <v>8.0187500000000007</v>
      </c>
      <c r="E50" s="378" t="s">
        <v>203</v>
      </c>
      <c r="F50" s="368">
        <v>0</v>
      </c>
      <c r="G50" s="369">
        <v>0</v>
      </c>
      <c r="H50" s="371">
        <v>0</v>
      </c>
      <c r="I50" s="368">
        <v>28.51042</v>
      </c>
      <c r="J50" s="369">
        <v>28.51042</v>
      </c>
      <c r="K50" s="379" t="s">
        <v>203</v>
      </c>
    </row>
    <row r="51" spans="1:11" ht="14.4" customHeight="1" thickBot="1" x14ac:dyDescent="0.35">
      <c r="A51" s="390" t="s">
        <v>248</v>
      </c>
      <c r="B51" s="368">
        <v>0</v>
      </c>
      <c r="C51" s="368">
        <v>90.568560000000005</v>
      </c>
      <c r="D51" s="369">
        <v>90.568560000000005</v>
      </c>
      <c r="E51" s="378" t="s">
        <v>203</v>
      </c>
      <c r="F51" s="368">
        <v>0</v>
      </c>
      <c r="G51" s="369">
        <v>0</v>
      </c>
      <c r="H51" s="371">
        <v>9.9699999999999997E-2</v>
      </c>
      <c r="I51" s="368">
        <v>4.35649</v>
      </c>
      <c r="J51" s="369">
        <v>4.35649</v>
      </c>
      <c r="K51" s="379" t="s">
        <v>203</v>
      </c>
    </row>
    <row r="52" spans="1:11" ht="14.4" customHeight="1" thickBot="1" x14ac:dyDescent="0.35">
      <c r="A52" s="386" t="s">
        <v>249</v>
      </c>
      <c r="B52" s="368">
        <v>0</v>
      </c>
      <c r="C52" s="368">
        <v>1.76217</v>
      </c>
      <c r="D52" s="369">
        <v>1.76217</v>
      </c>
      <c r="E52" s="378" t="s">
        <v>218</v>
      </c>
      <c r="F52" s="368">
        <v>1.586127332987</v>
      </c>
      <c r="G52" s="369">
        <v>1.453950055238</v>
      </c>
      <c r="H52" s="371">
        <v>0</v>
      </c>
      <c r="I52" s="368">
        <v>0</v>
      </c>
      <c r="J52" s="369">
        <v>-1.453950055238</v>
      </c>
      <c r="K52" s="372">
        <v>0</v>
      </c>
    </row>
    <row r="53" spans="1:11" ht="14.4" customHeight="1" thickBot="1" x14ac:dyDescent="0.35">
      <c r="A53" s="391" t="s">
        <v>250</v>
      </c>
      <c r="B53" s="373">
        <v>0</v>
      </c>
      <c r="C53" s="373">
        <v>1.76217</v>
      </c>
      <c r="D53" s="374">
        <v>1.76217</v>
      </c>
      <c r="E53" s="375" t="s">
        <v>218</v>
      </c>
      <c r="F53" s="373">
        <v>1.586127332987</v>
      </c>
      <c r="G53" s="374">
        <v>1.453950055238</v>
      </c>
      <c r="H53" s="376">
        <v>0</v>
      </c>
      <c r="I53" s="373">
        <v>0</v>
      </c>
      <c r="J53" s="374">
        <v>-1.453950055238</v>
      </c>
      <c r="K53" s="381">
        <v>0</v>
      </c>
    </row>
    <row r="54" spans="1:11" ht="14.4" customHeight="1" thickBot="1" x14ac:dyDescent="0.35">
      <c r="A54" s="393" t="s">
        <v>36</v>
      </c>
      <c r="B54" s="373">
        <v>0</v>
      </c>
      <c r="C54" s="373">
        <v>1.76217</v>
      </c>
      <c r="D54" s="374">
        <v>1.76217</v>
      </c>
      <c r="E54" s="375" t="s">
        <v>218</v>
      </c>
      <c r="F54" s="373">
        <v>1.586127332987</v>
      </c>
      <c r="G54" s="374">
        <v>1.453950055238</v>
      </c>
      <c r="H54" s="376">
        <v>0</v>
      </c>
      <c r="I54" s="373">
        <v>0</v>
      </c>
      <c r="J54" s="374">
        <v>-1.453950055238</v>
      </c>
      <c r="K54" s="381">
        <v>0</v>
      </c>
    </row>
    <row r="55" spans="1:11" ht="14.4" customHeight="1" thickBot="1" x14ac:dyDescent="0.35">
      <c r="A55" s="389" t="s">
        <v>251</v>
      </c>
      <c r="B55" s="373">
        <v>0</v>
      </c>
      <c r="C55" s="373">
        <v>1.62094</v>
      </c>
      <c r="D55" s="374">
        <v>1.62094</v>
      </c>
      <c r="E55" s="375" t="s">
        <v>218</v>
      </c>
      <c r="F55" s="373">
        <v>1.586127332987</v>
      </c>
      <c r="G55" s="374">
        <v>1.453950055238</v>
      </c>
      <c r="H55" s="376">
        <v>0</v>
      </c>
      <c r="I55" s="373">
        <v>0</v>
      </c>
      <c r="J55" s="374">
        <v>-1.453950055238</v>
      </c>
      <c r="K55" s="381">
        <v>0</v>
      </c>
    </row>
    <row r="56" spans="1:11" ht="14.4" customHeight="1" thickBot="1" x14ac:dyDescent="0.35">
      <c r="A56" s="390" t="s">
        <v>252</v>
      </c>
      <c r="B56" s="368">
        <v>0</v>
      </c>
      <c r="C56" s="368">
        <v>1.62094</v>
      </c>
      <c r="D56" s="369">
        <v>1.62094</v>
      </c>
      <c r="E56" s="378" t="s">
        <v>218</v>
      </c>
      <c r="F56" s="368">
        <v>1.586127332987</v>
      </c>
      <c r="G56" s="369">
        <v>1.453950055238</v>
      </c>
      <c r="H56" s="371">
        <v>0</v>
      </c>
      <c r="I56" s="368">
        <v>0</v>
      </c>
      <c r="J56" s="369">
        <v>-1.453950055238</v>
      </c>
      <c r="K56" s="372">
        <v>0</v>
      </c>
    </row>
    <row r="57" spans="1:11" ht="14.4" customHeight="1" thickBot="1" x14ac:dyDescent="0.35">
      <c r="A57" s="389" t="s">
        <v>253</v>
      </c>
      <c r="B57" s="373">
        <v>0</v>
      </c>
      <c r="C57" s="373">
        <v>0.14122999999999999</v>
      </c>
      <c r="D57" s="374">
        <v>0.14122999999999999</v>
      </c>
      <c r="E57" s="375" t="s">
        <v>218</v>
      </c>
      <c r="F57" s="373">
        <v>0</v>
      </c>
      <c r="G57" s="374">
        <v>0</v>
      </c>
      <c r="H57" s="376">
        <v>0</v>
      </c>
      <c r="I57" s="373">
        <v>0</v>
      </c>
      <c r="J57" s="374">
        <v>0</v>
      </c>
      <c r="K57" s="381">
        <v>0</v>
      </c>
    </row>
    <row r="58" spans="1:11" ht="14.4" customHeight="1" thickBot="1" x14ac:dyDescent="0.35">
      <c r="A58" s="390" t="s">
        <v>254</v>
      </c>
      <c r="B58" s="368">
        <v>0</v>
      </c>
      <c r="C58" s="368">
        <v>0.14122999999999999</v>
      </c>
      <c r="D58" s="369">
        <v>0.14122999999999999</v>
      </c>
      <c r="E58" s="378" t="s">
        <v>218</v>
      </c>
      <c r="F58" s="368">
        <v>0</v>
      </c>
      <c r="G58" s="369">
        <v>0</v>
      </c>
      <c r="H58" s="371">
        <v>0</v>
      </c>
      <c r="I58" s="368">
        <v>0</v>
      </c>
      <c r="J58" s="369">
        <v>0</v>
      </c>
      <c r="K58" s="372">
        <v>0</v>
      </c>
    </row>
    <row r="59" spans="1:11" ht="14.4" customHeight="1" thickBot="1" x14ac:dyDescent="0.35">
      <c r="A59" s="386" t="s">
        <v>255</v>
      </c>
      <c r="B59" s="368">
        <v>0</v>
      </c>
      <c r="C59" s="368">
        <v>0.47064</v>
      </c>
      <c r="D59" s="369">
        <v>0.47064</v>
      </c>
      <c r="E59" s="378" t="s">
        <v>218</v>
      </c>
      <c r="F59" s="368">
        <v>0</v>
      </c>
      <c r="G59" s="369">
        <v>0</v>
      </c>
      <c r="H59" s="371">
        <v>0</v>
      </c>
      <c r="I59" s="368">
        <v>4.5987499999999999</v>
      </c>
      <c r="J59" s="369">
        <v>4.5987499999999999</v>
      </c>
      <c r="K59" s="379" t="s">
        <v>218</v>
      </c>
    </row>
    <row r="60" spans="1:11" ht="14.4" customHeight="1" thickBot="1" x14ac:dyDescent="0.35">
      <c r="A60" s="391" t="s">
        <v>256</v>
      </c>
      <c r="B60" s="373">
        <v>0</v>
      </c>
      <c r="C60" s="373">
        <v>0.47064</v>
      </c>
      <c r="D60" s="374">
        <v>0.47064</v>
      </c>
      <c r="E60" s="375" t="s">
        <v>218</v>
      </c>
      <c r="F60" s="373">
        <v>0</v>
      </c>
      <c r="G60" s="374">
        <v>0</v>
      </c>
      <c r="H60" s="376">
        <v>0</v>
      </c>
      <c r="I60" s="373">
        <v>4.5987499999999999</v>
      </c>
      <c r="J60" s="374">
        <v>4.5987499999999999</v>
      </c>
      <c r="K60" s="377" t="s">
        <v>218</v>
      </c>
    </row>
    <row r="61" spans="1:11" ht="14.4" customHeight="1" thickBot="1" x14ac:dyDescent="0.35">
      <c r="A61" s="393" t="s">
        <v>257</v>
      </c>
      <c r="B61" s="373">
        <v>0</v>
      </c>
      <c r="C61" s="373">
        <v>0.47064</v>
      </c>
      <c r="D61" s="374">
        <v>0.47064</v>
      </c>
      <c r="E61" s="375" t="s">
        <v>218</v>
      </c>
      <c r="F61" s="373">
        <v>0</v>
      </c>
      <c r="G61" s="374">
        <v>0</v>
      </c>
      <c r="H61" s="376">
        <v>0</v>
      </c>
      <c r="I61" s="373">
        <v>4.5987499999999999</v>
      </c>
      <c r="J61" s="374">
        <v>4.5987499999999999</v>
      </c>
      <c r="K61" s="377" t="s">
        <v>218</v>
      </c>
    </row>
    <row r="62" spans="1:11" ht="14.4" customHeight="1" thickBot="1" x14ac:dyDescent="0.35">
      <c r="A62" s="389" t="s">
        <v>258</v>
      </c>
      <c r="B62" s="373">
        <v>0</v>
      </c>
      <c r="C62" s="373">
        <v>0.47064</v>
      </c>
      <c r="D62" s="374">
        <v>0.47064</v>
      </c>
      <c r="E62" s="375" t="s">
        <v>218</v>
      </c>
      <c r="F62" s="373">
        <v>0</v>
      </c>
      <c r="G62" s="374">
        <v>0</v>
      </c>
      <c r="H62" s="376">
        <v>0</v>
      </c>
      <c r="I62" s="373">
        <v>4.5987499999999999</v>
      </c>
      <c r="J62" s="374">
        <v>4.5987499999999999</v>
      </c>
      <c r="K62" s="377" t="s">
        <v>218</v>
      </c>
    </row>
    <row r="63" spans="1:11" ht="14.4" customHeight="1" thickBot="1" x14ac:dyDescent="0.35">
      <c r="A63" s="390" t="s">
        <v>259</v>
      </c>
      <c r="B63" s="368">
        <v>0</v>
      </c>
      <c r="C63" s="368">
        <v>0.47064</v>
      </c>
      <c r="D63" s="369">
        <v>0.47064</v>
      </c>
      <c r="E63" s="378" t="s">
        <v>218</v>
      </c>
      <c r="F63" s="368">
        <v>0</v>
      </c>
      <c r="G63" s="369">
        <v>0</v>
      </c>
      <c r="H63" s="371">
        <v>0</v>
      </c>
      <c r="I63" s="368">
        <v>4.5987499999999999</v>
      </c>
      <c r="J63" s="369">
        <v>4.5987499999999999</v>
      </c>
      <c r="K63" s="379" t="s">
        <v>218</v>
      </c>
    </row>
    <row r="64" spans="1:11" ht="14.4" customHeight="1" thickBot="1" x14ac:dyDescent="0.35">
      <c r="A64" s="394"/>
      <c r="B64" s="368">
        <v>769.85272135469404</v>
      </c>
      <c r="C64" s="368">
        <v>682.97946999999999</v>
      </c>
      <c r="D64" s="369">
        <v>-86.873251354694005</v>
      </c>
      <c r="E64" s="370">
        <v>0.88715601186399995</v>
      </c>
      <c r="F64" s="368">
        <v>184.02677332765899</v>
      </c>
      <c r="G64" s="369">
        <v>168.69120888368801</v>
      </c>
      <c r="H64" s="371">
        <v>422.64475000000101</v>
      </c>
      <c r="I64" s="368">
        <v>1588.38248</v>
      </c>
      <c r="J64" s="369">
        <v>1419.69127111631</v>
      </c>
      <c r="K64" s="372">
        <v>8.6312575680049992</v>
      </c>
    </row>
    <row r="65" spans="1:11" ht="14.4" customHeight="1" thickBot="1" x14ac:dyDescent="0.35">
      <c r="A65" s="395" t="s">
        <v>48</v>
      </c>
      <c r="B65" s="382">
        <v>769.85272135469404</v>
      </c>
      <c r="C65" s="382">
        <v>682.97946999999999</v>
      </c>
      <c r="D65" s="383">
        <v>-86.873251354694005</v>
      </c>
      <c r="E65" s="384" t="s">
        <v>218</v>
      </c>
      <c r="F65" s="382">
        <v>184.02677332765899</v>
      </c>
      <c r="G65" s="383">
        <v>168.69120888368801</v>
      </c>
      <c r="H65" s="382">
        <v>422.64475000000101</v>
      </c>
      <c r="I65" s="382">
        <v>1588.38248</v>
      </c>
      <c r="J65" s="383">
        <v>1419.69127111631</v>
      </c>
      <c r="K65" s="385">
        <v>8.6312575680049992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02" t="s">
        <v>108</v>
      </c>
      <c r="B1" s="303"/>
      <c r="C1" s="303"/>
      <c r="D1" s="303"/>
      <c r="E1" s="303"/>
      <c r="F1" s="303"/>
      <c r="G1" s="273"/>
      <c r="H1" s="304"/>
      <c r="I1" s="304"/>
    </row>
    <row r="2" spans="1:10" ht="14.4" customHeight="1" thickBot="1" x14ac:dyDescent="0.35">
      <c r="A2" s="199" t="s">
        <v>202</v>
      </c>
      <c r="B2" s="179"/>
      <c r="C2" s="179"/>
      <c r="D2" s="179"/>
      <c r="E2" s="179"/>
      <c r="F2" s="179"/>
    </row>
    <row r="3" spans="1:10" ht="14.4" customHeight="1" thickBot="1" x14ac:dyDescent="0.35">
      <c r="A3" s="199"/>
      <c r="B3" s="226"/>
      <c r="C3" s="205">
        <v>2015</v>
      </c>
      <c r="D3" s="206">
        <v>2016</v>
      </c>
      <c r="E3" s="7"/>
      <c r="F3" s="281">
        <v>2017</v>
      </c>
      <c r="G3" s="299"/>
      <c r="H3" s="299"/>
      <c r="I3" s="282"/>
    </row>
    <row r="4" spans="1:10" ht="14.4" customHeight="1" thickBot="1" x14ac:dyDescent="0.35">
      <c r="A4" s="210" t="s">
        <v>0</v>
      </c>
      <c r="B4" s="211" t="s">
        <v>139</v>
      </c>
      <c r="C4" s="300" t="s">
        <v>54</v>
      </c>
      <c r="D4" s="301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" customHeight="1" x14ac:dyDescent="0.3">
      <c r="A5" s="396" t="s">
        <v>260</v>
      </c>
      <c r="B5" s="397" t="s">
        <v>261</v>
      </c>
      <c r="C5" s="398" t="s">
        <v>262</v>
      </c>
      <c r="D5" s="398" t="s">
        <v>262</v>
      </c>
      <c r="E5" s="398"/>
      <c r="F5" s="398" t="s">
        <v>262</v>
      </c>
      <c r="G5" s="398" t="s">
        <v>262</v>
      </c>
      <c r="H5" s="398" t="s">
        <v>262</v>
      </c>
      <c r="I5" s="399" t="s">
        <v>262</v>
      </c>
      <c r="J5" s="400" t="s">
        <v>50</v>
      </c>
    </row>
    <row r="6" spans="1:10" ht="14.4" customHeight="1" x14ac:dyDescent="0.3">
      <c r="A6" s="396" t="s">
        <v>260</v>
      </c>
      <c r="B6" s="397" t="s">
        <v>263</v>
      </c>
      <c r="C6" s="398">
        <v>27.0763</v>
      </c>
      <c r="D6" s="398">
        <v>61.188369999999992</v>
      </c>
      <c r="E6" s="398"/>
      <c r="F6" s="398">
        <v>105.24980000000004</v>
      </c>
      <c r="G6" s="398">
        <v>107.89937500000001</v>
      </c>
      <c r="H6" s="398">
        <v>-2.6495749999999703</v>
      </c>
      <c r="I6" s="399">
        <v>0.97544401902235323</v>
      </c>
      <c r="J6" s="400" t="s">
        <v>1</v>
      </c>
    </row>
    <row r="7" spans="1:10" ht="14.4" customHeight="1" x14ac:dyDescent="0.3">
      <c r="A7" s="396" t="s">
        <v>260</v>
      </c>
      <c r="B7" s="397" t="s">
        <v>264</v>
      </c>
      <c r="C7" s="398">
        <v>335.46576000000005</v>
      </c>
      <c r="D7" s="398">
        <v>223.48732000000007</v>
      </c>
      <c r="E7" s="398"/>
      <c r="F7" s="398">
        <v>473.52004000000017</v>
      </c>
      <c r="G7" s="398">
        <v>412.40600000000001</v>
      </c>
      <c r="H7" s="398">
        <v>61.114040000000159</v>
      </c>
      <c r="I7" s="399">
        <v>1.1481890176185607</v>
      </c>
      <c r="J7" s="400" t="s">
        <v>1</v>
      </c>
    </row>
    <row r="8" spans="1:10" ht="14.4" customHeight="1" x14ac:dyDescent="0.3">
      <c r="A8" s="396" t="s">
        <v>260</v>
      </c>
      <c r="B8" s="397" t="s">
        <v>265</v>
      </c>
      <c r="C8" s="398">
        <v>62.76697999999999</v>
      </c>
      <c r="D8" s="398">
        <v>65.316829999999982</v>
      </c>
      <c r="E8" s="398"/>
      <c r="F8" s="398">
        <v>234.83200999999997</v>
      </c>
      <c r="G8" s="398">
        <v>319.253625</v>
      </c>
      <c r="H8" s="398">
        <v>-84.421615000000031</v>
      </c>
      <c r="I8" s="399">
        <v>0.73556568073424367</v>
      </c>
      <c r="J8" s="400" t="s">
        <v>1</v>
      </c>
    </row>
    <row r="9" spans="1:10" ht="14.4" customHeight="1" x14ac:dyDescent="0.3">
      <c r="A9" s="396" t="s">
        <v>260</v>
      </c>
      <c r="B9" s="397" t="s">
        <v>266</v>
      </c>
      <c r="C9" s="398">
        <v>9.8905799999999999</v>
      </c>
      <c r="D9" s="398">
        <v>14.947640000000002</v>
      </c>
      <c r="E9" s="398"/>
      <c r="F9" s="398">
        <v>16.503869999999999</v>
      </c>
      <c r="G9" s="398">
        <v>18.333332031249999</v>
      </c>
      <c r="H9" s="398">
        <v>-1.8294620312499994</v>
      </c>
      <c r="I9" s="399">
        <v>0.90021115484454228</v>
      </c>
      <c r="J9" s="400" t="s">
        <v>1</v>
      </c>
    </row>
    <row r="10" spans="1:10" ht="14.4" customHeight="1" x14ac:dyDescent="0.3">
      <c r="A10" s="396" t="s">
        <v>260</v>
      </c>
      <c r="B10" s="397" t="s">
        <v>267</v>
      </c>
      <c r="C10" s="398">
        <v>10.951000000000001</v>
      </c>
      <c r="D10" s="398">
        <v>20.212220000000002</v>
      </c>
      <c r="E10" s="398"/>
      <c r="F10" s="398">
        <v>33.905799999999992</v>
      </c>
      <c r="G10" s="398">
        <v>32.378832031249999</v>
      </c>
      <c r="H10" s="398">
        <v>1.5269679687499931</v>
      </c>
      <c r="I10" s="399">
        <v>1.0471594518071641</v>
      </c>
      <c r="J10" s="400" t="s">
        <v>1</v>
      </c>
    </row>
    <row r="11" spans="1:10" ht="14.4" customHeight="1" x14ac:dyDescent="0.3">
      <c r="A11" s="396" t="s">
        <v>260</v>
      </c>
      <c r="B11" s="397" t="s">
        <v>268</v>
      </c>
      <c r="C11" s="398">
        <v>13.88777</v>
      </c>
      <c r="D11" s="398">
        <v>15.616560000000002</v>
      </c>
      <c r="E11" s="398"/>
      <c r="F11" s="398">
        <v>128.44721999999999</v>
      </c>
      <c r="G11" s="398">
        <v>197.08332812500001</v>
      </c>
      <c r="H11" s="398">
        <v>-68.636108125000021</v>
      </c>
      <c r="I11" s="399">
        <v>0.65174066838638123</v>
      </c>
      <c r="J11" s="400" t="s">
        <v>1</v>
      </c>
    </row>
    <row r="12" spans="1:10" ht="14.4" customHeight="1" x14ac:dyDescent="0.3">
      <c r="A12" s="396" t="s">
        <v>260</v>
      </c>
      <c r="B12" s="397" t="s">
        <v>269</v>
      </c>
      <c r="C12" s="398">
        <v>460.03839000000005</v>
      </c>
      <c r="D12" s="398">
        <v>400.76893999999999</v>
      </c>
      <c r="E12" s="398"/>
      <c r="F12" s="398">
        <v>992.45874000000015</v>
      </c>
      <c r="G12" s="398">
        <v>1087.3544921875</v>
      </c>
      <c r="H12" s="398">
        <v>-94.895752187499852</v>
      </c>
      <c r="I12" s="399">
        <v>0.9127278611811388</v>
      </c>
      <c r="J12" s="400" t="s">
        <v>270</v>
      </c>
    </row>
    <row r="14" spans="1:10" ht="14.4" customHeight="1" x14ac:dyDescent="0.3">
      <c r="A14" s="396" t="s">
        <v>260</v>
      </c>
      <c r="B14" s="397" t="s">
        <v>261</v>
      </c>
      <c r="C14" s="398" t="s">
        <v>262</v>
      </c>
      <c r="D14" s="398" t="s">
        <v>262</v>
      </c>
      <c r="E14" s="398"/>
      <c r="F14" s="398" t="s">
        <v>262</v>
      </c>
      <c r="G14" s="398" t="s">
        <v>262</v>
      </c>
      <c r="H14" s="398" t="s">
        <v>262</v>
      </c>
      <c r="I14" s="399" t="s">
        <v>262</v>
      </c>
      <c r="J14" s="400" t="s">
        <v>50</v>
      </c>
    </row>
    <row r="15" spans="1:10" ht="14.4" customHeight="1" x14ac:dyDescent="0.3">
      <c r="A15" s="396" t="s">
        <v>271</v>
      </c>
      <c r="B15" s="397" t="s">
        <v>272</v>
      </c>
      <c r="C15" s="398" t="s">
        <v>262</v>
      </c>
      <c r="D15" s="398" t="s">
        <v>262</v>
      </c>
      <c r="E15" s="398"/>
      <c r="F15" s="398" t="s">
        <v>262</v>
      </c>
      <c r="G15" s="398" t="s">
        <v>262</v>
      </c>
      <c r="H15" s="398" t="s">
        <v>262</v>
      </c>
      <c r="I15" s="399" t="s">
        <v>262</v>
      </c>
      <c r="J15" s="400" t="s">
        <v>0</v>
      </c>
    </row>
    <row r="16" spans="1:10" ht="14.4" customHeight="1" x14ac:dyDescent="0.3">
      <c r="A16" s="396" t="s">
        <v>271</v>
      </c>
      <c r="B16" s="397" t="s">
        <v>263</v>
      </c>
      <c r="C16" s="398">
        <v>27.0763</v>
      </c>
      <c r="D16" s="398">
        <v>61.188369999999992</v>
      </c>
      <c r="E16" s="398"/>
      <c r="F16" s="398">
        <v>105.24980000000004</v>
      </c>
      <c r="G16" s="398">
        <v>108</v>
      </c>
      <c r="H16" s="398">
        <v>-2.750199999999964</v>
      </c>
      <c r="I16" s="399">
        <v>0.97453518518518556</v>
      </c>
      <c r="J16" s="400" t="s">
        <v>1</v>
      </c>
    </row>
    <row r="17" spans="1:10" ht="14.4" customHeight="1" x14ac:dyDescent="0.3">
      <c r="A17" s="396" t="s">
        <v>271</v>
      </c>
      <c r="B17" s="397" t="s">
        <v>264</v>
      </c>
      <c r="C17" s="398">
        <v>335.46576000000005</v>
      </c>
      <c r="D17" s="398">
        <v>223.48732000000007</v>
      </c>
      <c r="E17" s="398"/>
      <c r="F17" s="398">
        <v>473.52004000000017</v>
      </c>
      <c r="G17" s="398">
        <v>412</v>
      </c>
      <c r="H17" s="398">
        <v>61.520040000000165</v>
      </c>
      <c r="I17" s="399">
        <v>1.1493204854368937</v>
      </c>
      <c r="J17" s="400" t="s">
        <v>1</v>
      </c>
    </row>
    <row r="18" spans="1:10" ht="14.4" customHeight="1" x14ac:dyDescent="0.3">
      <c r="A18" s="396" t="s">
        <v>271</v>
      </c>
      <c r="B18" s="397" t="s">
        <v>265</v>
      </c>
      <c r="C18" s="398">
        <v>62.76697999999999</v>
      </c>
      <c r="D18" s="398">
        <v>65.316829999999982</v>
      </c>
      <c r="E18" s="398"/>
      <c r="F18" s="398">
        <v>234.83200999999997</v>
      </c>
      <c r="G18" s="398">
        <v>319</v>
      </c>
      <c r="H18" s="398">
        <v>-84.167990000000032</v>
      </c>
      <c r="I18" s="399">
        <v>0.73615050156739803</v>
      </c>
      <c r="J18" s="400" t="s">
        <v>1</v>
      </c>
    </row>
    <row r="19" spans="1:10" ht="14.4" customHeight="1" x14ac:dyDescent="0.3">
      <c r="A19" s="396" t="s">
        <v>271</v>
      </c>
      <c r="B19" s="397" t="s">
        <v>266</v>
      </c>
      <c r="C19" s="398">
        <v>9.8905799999999999</v>
      </c>
      <c r="D19" s="398">
        <v>14.947640000000002</v>
      </c>
      <c r="E19" s="398"/>
      <c r="F19" s="398">
        <v>16.503869999999999</v>
      </c>
      <c r="G19" s="398">
        <v>18</v>
      </c>
      <c r="H19" s="398">
        <v>-1.4961300000000008</v>
      </c>
      <c r="I19" s="399">
        <v>0.91688166666666659</v>
      </c>
      <c r="J19" s="400" t="s">
        <v>1</v>
      </c>
    </row>
    <row r="20" spans="1:10" ht="14.4" customHeight="1" x14ac:dyDescent="0.3">
      <c r="A20" s="396" t="s">
        <v>271</v>
      </c>
      <c r="B20" s="397" t="s">
        <v>267</v>
      </c>
      <c r="C20" s="398">
        <v>10.951000000000001</v>
      </c>
      <c r="D20" s="398">
        <v>20.212220000000002</v>
      </c>
      <c r="E20" s="398"/>
      <c r="F20" s="398">
        <v>33.905799999999992</v>
      </c>
      <c r="G20" s="398">
        <v>32</v>
      </c>
      <c r="H20" s="398">
        <v>1.9057999999999922</v>
      </c>
      <c r="I20" s="399">
        <v>1.0595562499999998</v>
      </c>
      <c r="J20" s="400" t="s">
        <v>1</v>
      </c>
    </row>
    <row r="21" spans="1:10" ht="14.4" customHeight="1" x14ac:dyDescent="0.3">
      <c r="A21" s="396" t="s">
        <v>271</v>
      </c>
      <c r="B21" s="397" t="s">
        <v>268</v>
      </c>
      <c r="C21" s="398">
        <v>13.88777</v>
      </c>
      <c r="D21" s="398">
        <v>15.616560000000002</v>
      </c>
      <c r="E21" s="398"/>
      <c r="F21" s="398">
        <v>128.44721999999999</v>
      </c>
      <c r="G21" s="398">
        <v>197</v>
      </c>
      <c r="H21" s="398">
        <v>-68.552780000000013</v>
      </c>
      <c r="I21" s="399">
        <v>0.65201634517766494</v>
      </c>
      <c r="J21" s="400" t="s">
        <v>1</v>
      </c>
    </row>
    <row r="22" spans="1:10" ht="14.4" customHeight="1" x14ac:dyDescent="0.3">
      <c r="A22" s="396" t="s">
        <v>271</v>
      </c>
      <c r="B22" s="397" t="s">
        <v>273</v>
      </c>
      <c r="C22" s="398">
        <v>460.03839000000005</v>
      </c>
      <c r="D22" s="398">
        <v>400.76893999999999</v>
      </c>
      <c r="E22" s="398"/>
      <c r="F22" s="398">
        <v>992.45874000000015</v>
      </c>
      <c r="G22" s="398">
        <v>1087</v>
      </c>
      <c r="H22" s="398">
        <v>-94.541259999999852</v>
      </c>
      <c r="I22" s="399">
        <v>0.91302551977920898</v>
      </c>
      <c r="J22" s="400" t="s">
        <v>274</v>
      </c>
    </row>
    <row r="23" spans="1:10" ht="14.4" customHeight="1" x14ac:dyDescent="0.3">
      <c r="A23" s="396" t="s">
        <v>262</v>
      </c>
      <c r="B23" s="397" t="s">
        <v>262</v>
      </c>
      <c r="C23" s="398" t="s">
        <v>262</v>
      </c>
      <c r="D23" s="398" t="s">
        <v>262</v>
      </c>
      <c r="E23" s="398"/>
      <c r="F23" s="398" t="s">
        <v>262</v>
      </c>
      <c r="G23" s="398" t="s">
        <v>262</v>
      </c>
      <c r="H23" s="398" t="s">
        <v>262</v>
      </c>
      <c r="I23" s="399" t="s">
        <v>262</v>
      </c>
      <c r="J23" s="400" t="s">
        <v>275</v>
      </c>
    </row>
    <row r="24" spans="1:10" ht="14.4" customHeight="1" x14ac:dyDescent="0.3">
      <c r="A24" s="396" t="s">
        <v>260</v>
      </c>
      <c r="B24" s="397" t="s">
        <v>269</v>
      </c>
      <c r="C24" s="398">
        <v>460.03839000000005</v>
      </c>
      <c r="D24" s="398">
        <v>400.76893999999999</v>
      </c>
      <c r="E24" s="398"/>
      <c r="F24" s="398">
        <v>992.45874000000015</v>
      </c>
      <c r="G24" s="398">
        <v>1087</v>
      </c>
      <c r="H24" s="398">
        <v>-94.541259999999852</v>
      </c>
      <c r="I24" s="399">
        <v>0.91302551977920898</v>
      </c>
      <c r="J24" s="400" t="s">
        <v>270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07" t="s">
        <v>431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4" customHeight="1" thickBot="1" x14ac:dyDescent="0.35">
      <c r="A2" s="199" t="s">
        <v>202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05"/>
      <c r="D3" s="306"/>
      <c r="E3" s="306"/>
      <c r="F3" s="306"/>
      <c r="G3" s="306"/>
      <c r="H3" s="116" t="s">
        <v>105</v>
      </c>
      <c r="I3" s="74">
        <f>IF(J3&lt;&gt;0,K3/J3,0)</f>
        <v>17.500244148600654</v>
      </c>
      <c r="J3" s="74">
        <f>SUBTOTAL(9,J5:J1048576)</f>
        <v>52246</v>
      </c>
      <c r="K3" s="75">
        <f>SUBTOTAL(9,K5:K1048576)</f>
        <v>914317.75578778982</v>
      </c>
    </row>
    <row r="4" spans="1:11" s="181" customFormat="1" ht="14.4" customHeight="1" thickBot="1" x14ac:dyDescent="0.35">
      <c r="A4" s="401" t="s">
        <v>4</v>
      </c>
      <c r="B4" s="402" t="s">
        <v>5</v>
      </c>
      <c r="C4" s="402" t="s">
        <v>0</v>
      </c>
      <c r="D4" s="402" t="s">
        <v>6</v>
      </c>
      <c r="E4" s="402" t="s">
        <v>7</v>
      </c>
      <c r="F4" s="402" t="s">
        <v>1</v>
      </c>
      <c r="G4" s="402" t="s">
        <v>52</v>
      </c>
      <c r="H4" s="403" t="s">
        <v>8</v>
      </c>
      <c r="I4" s="404" t="s">
        <v>111</v>
      </c>
      <c r="J4" s="404" t="s">
        <v>9</v>
      </c>
      <c r="K4" s="405" t="s">
        <v>119</v>
      </c>
    </row>
    <row r="5" spans="1:11" ht="14.4" customHeight="1" x14ac:dyDescent="0.3">
      <c r="A5" s="406" t="s">
        <v>260</v>
      </c>
      <c r="B5" s="407" t="s">
        <v>261</v>
      </c>
      <c r="C5" s="408" t="s">
        <v>271</v>
      </c>
      <c r="D5" s="409" t="s">
        <v>272</v>
      </c>
      <c r="E5" s="408" t="s">
        <v>276</v>
      </c>
      <c r="F5" s="409" t="s">
        <v>277</v>
      </c>
      <c r="G5" s="408" t="s">
        <v>278</v>
      </c>
      <c r="H5" s="408" t="s">
        <v>279</v>
      </c>
      <c r="I5" s="410">
        <v>0.41999998688697815</v>
      </c>
      <c r="J5" s="410">
        <v>3000</v>
      </c>
      <c r="K5" s="411">
        <v>1259.25</v>
      </c>
    </row>
    <row r="6" spans="1:11" ht="14.4" customHeight="1" x14ac:dyDescent="0.3">
      <c r="A6" s="412" t="s">
        <v>260</v>
      </c>
      <c r="B6" s="413" t="s">
        <v>261</v>
      </c>
      <c r="C6" s="414" t="s">
        <v>271</v>
      </c>
      <c r="D6" s="415" t="s">
        <v>272</v>
      </c>
      <c r="E6" s="414" t="s">
        <v>276</v>
      </c>
      <c r="F6" s="415" t="s">
        <v>277</v>
      </c>
      <c r="G6" s="414" t="s">
        <v>280</v>
      </c>
      <c r="H6" s="414" t="s">
        <v>281</v>
      </c>
      <c r="I6" s="416">
        <v>0.5899999737739563</v>
      </c>
      <c r="J6" s="416">
        <v>2900</v>
      </c>
      <c r="K6" s="417">
        <v>1711</v>
      </c>
    </row>
    <row r="7" spans="1:11" ht="14.4" customHeight="1" x14ac:dyDescent="0.3">
      <c r="A7" s="412" t="s">
        <v>260</v>
      </c>
      <c r="B7" s="413" t="s">
        <v>261</v>
      </c>
      <c r="C7" s="414" t="s">
        <v>271</v>
      </c>
      <c r="D7" s="415" t="s">
        <v>272</v>
      </c>
      <c r="E7" s="414" t="s">
        <v>276</v>
      </c>
      <c r="F7" s="415" t="s">
        <v>277</v>
      </c>
      <c r="G7" s="414" t="s">
        <v>282</v>
      </c>
      <c r="H7" s="414" t="s">
        <v>283</v>
      </c>
      <c r="I7" s="416">
        <v>0.87999999523162842</v>
      </c>
      <c r="J7" s="416">
        <v>600</v>
      </c>
      <c r="K7" s="417">
        <v>528</v>
      </c>
    </row>
    <row r="8" spans="1:11" ht="14.4" customHeight="1" x14ac:dyDescent="0.3">
      <c r="A8" s="412" t="s">
        <v>260</v>
      </c>
      <c r="B8" s="413" t="s">
        <v>261</v>
      </c>
      <c r="C8" s="414" t="s">
        <v>271</v>
      </c>
      <c r="D8" s="415" t="s">
        <v>272</v>
      </c>
      <c r="E8" s="414" t="s">
        <v>276</v>
      </c>
      <c r="F8" s="415" t="s">
        <v>277</v>
      </c>
      <c r="G8" s="414" t="s">
        <v>284</v>
      </c>
      <c r="H8" s="414" t="s">
        <v>285</v>
      </c>
      <c r="I8" s="416">
        <v>0.4699999988079071</v>
      </c>
      <c r="J8" s="416">
        <v>1000</v>
      </c>
      <c r="K8" s="417">
        <v>470</v>
      </c>
    </row>
    <row r="9" spans="1:11" ht="14.4" customHeight="1" x14ac:dyDescent="0.3">
      <c r="A9" s="412" t="s">
        <v>260</v>
      </c>
      <c r="B9" s="413" t="s">
        <v>261</v>
      </c>
      <c r="C9" s="414" t="s">
        <v>271</v>
      </c>
      <c r="D9" s="415" t="s">
        <v>272</v>
      </c>
      <c r="E9" s="414" t="s">
        <v>276</v>
      </c>
      <c r="F9" s="415" t="s">
        <v>277</v>
      </c>
      <c r="G9" s="414" t="s">
        <v>286</v>
      </c>
      <c r="H9" s="414" t="s">
        <v>287</v>
      </c>
      <c r="I9" s="416">
        <v>1.1733332872390747</v>
      </c>
      <c r="J9" s="416">
        <v>2000</v>
      </c>
      <c r="K9" s="417">
        <v>2348</v>
      </c>
    </row>
    <row r="10" spans="1:11" ht="14.4" customHeight="1" x14ac:dyDescent="0.3">
      <c r="A10" s="412" t="s">
        <v>260</v>
      </c>
      <c r="B10" s="413" t="s">
        <v>261</v>
      </c>
      <c r="C10" s="414" t="s">
        <v>271</v>
      </c>
      <c r="D10" s="415" t="s">
        <v>272</v>
      </c>
      <c r="E10" s="414" t="s">
        <v>276</v>
      </c>
      <c r="F10" s="415" t="s">
        <v>277</v>
      </c>
      <c r="G10" s="414" t="s">
        <v>288</v>
      </c>
      <c r="H10" s="414" t="s">
        <v>289</v>
      </c>
      <c r="I10" s="416">
        <v>2.7549999952316284</v>
      </c>
      <c r="J10" s="416">
        <v>140</v>
      </c>
      <c r="K10" s="417">
        <v>385.72000122070312</v>
      </c>
    </row>
    <row r="11" spans="1:11" ht="14.4" customHeight="1" x14ac:dyDescent="0.3">
      <c r="A11" s="412" t="s">
        <v>260</v>
      </c>
      <c r="B11" s="413" t="s">
        <v>261</v>
      </c>
      <c r="C11" s="414" t="s">
        <v>271</v>
      </c>
      <c r="D11" s="415" t="s">
        <v>272</v>
      </c>
      <c r="E11" s="414" t="s">
        <v>276</v>
      </c>
      <c r="F11" s="415" t="s">
        <v>277</v>
      </c>
      <c r="G11" s="414" t="s">
        <v>290</v>
      </c>
      <c r="H11" s="414" t="s">
        <v>291</v>
      </c>
      <c r="I11" s="416">
        <v>43.860000610351563</v>
      </c>
      <c r="J11" s="416">
        <v>550</v>
      </c>
      <c r="K11" s="417">
        <v>24123.580322265625</v>
      </c>
    </row>
    <row r="12" spans="1:11" ht="14.4" customHeight="1" x14ac:dyDescent="0.3">
      <c r="A12" s="412" t="s">
        <v>260</v>
      </c>
      <c r="B12" s="413" t="s">
        <v>261</v>
      </c>
      <c r="C12" s="414" t="s">
        <v>271</v>
      </c>
      <c r="D12" s="415" t="s">
        <v>272</v>
      </c>
      <c r="E12" s="414" t="s">
        <v>276</v>
      </c>
      <c r="F12" s="415" t="s">
        <v>277</v>
      </c>
      <c r="G12" s="414" t="s">
        <v>292</v>
      </c>
      <c r="H12" s="414" t="s">
        <v>293</v>
      </c>
      <c r="I12" s="416">
        <v>4.8400001525878906</v>
      </c>
      <c r="J12" s="416">
        <v>50</v>
      </c>
      <c r="K12" s="417">
        <v>242</v>
      </c>
    </row>
    <row r="13" spans="1:11" ht="14.4" customHeight="1" x14ac:dyDescent="0.3">
      <c r="A13" s="412" t="s">
        <v>260</v>
      </c>
      <c r="B13" s="413" t="s">
        <v>261</v>
      </c>
      <c r="C13" s="414" t="s">
        <v>271</v>
      </c>
      <c r="D13" s="415" t="s">
        <v>272</v>
      </c>
      <c r="E13" s="414" t="s">
        <v>276</v>
      </c>
      <c r="F13" s="415" t="s">
        <v>277</v>
      </c>
      <c r="G13" s="414" t="s">
        <v>294</v>
      </c>
      <c r="H13" s="414" t="s">
        <v>295</v>
      </c>
      <c r="I13" s="416">
        <v>257.05999755859375</v>
      </c>
      <c r="J13" s="416">
        <v>75</v>
      </c>
      <c r="K13" s="417">
        <v>19279.470703125</v>
      </c>
    </row>
    <row r="14" spans="1:11" ht="14.4" customHeight="1" x14ac:dyDescent="0.3">
      <c r="A14" s="412" t="s">
        <v>260</v>
      </c>
      <c r="B14" s="413" t="s">
        <v>261</v>
      </c>
      <c r="C14" s="414" t="s">
        <v>271</v>
      </c>
      <c r="D14" s="415" t="s">
        <v>272</v>
      </c>
      <c r="E14" s="414" t="s">
        <v>276</v>
      </c>
      <c r="F14" s="415" t="s">
        <v>277</v>
      </c>
      <c r="G14" s="414" t="s">
        <v>296</v>
      </c>
      <c r="H14" s="414" t="s">
        <v>297</v>
      </c>
      <c r="I14" s="416">
        <v>217.80999755859375</v>
      </c>
      <c r="J14" s="416">
        <v>175</v>
      </c>
      <c r="K14" s="417">
        <v>38116.75</v>
      </c>
    </row>
    <row r="15" spans="1:11" ht="14.4" customHeight="1" x14ac:dyDescent="0.3">
      <c r="A15" s="412" t="s">
        <v>260</v>
      </c>
      <c r="B15" s="413" t="s">
        <v>261</v>
      </c>
      <c r="C15" s="414" t="s">
        <v>271</v>
      </c>
      <c r="D15" s="415" t="s">
        <v>272</v>
      </c>
      <c r="E15" s="414" t="s">
        <v>276</v>
      </c>
      <c r="F15" s="415" t="s">
        <v>277</v>
      </c>
      <c r="G15" s="414" t="s">
        <v>298</v>
      </c>
      <c r="H15" s="414" t="s">
        <v>299</v>
      </c>
      <c r="I15" s="416">
        <v>45.889999389648437</v>
      </c>
      <c r="J15" s="416">
        <v>50</v>
      </c>
      <c r="K15" s="417">
        <v>2294.25</v>
      </c>
    </row>
    <row r="16" spans="1:11" ht="14.4" customHeight="1" x14ac:dyDescent="0.3">
      <c r="A16" s="412" t="s">
        <v>260</v>
      </c>
      <c r="B16" s="413" t="s">
        <v>261</v>
      </c>
      <c r="C16" s="414" t="s">
        <v>271</v>
      </c>
      <c r="D16" s="415" t="s">
        <v>272</v>
      </c>
      <c r="E16" s="414" t="s">
        <v>276</v>
      </c>
      <c r="F16" s="415" t="s">
        <v>277</v>
      </c>
      <c r="G16" s="414" t="s">
        <v>300</v>
      </c>
      <c r="H16" s="414" t="s">
        <v>301</v>
      </c>
      <c r="I16" s="416">
        <v>0.8566666841506958</v>
      </c>
      <c r="J16" s="416">
        <v>120</v>
      </c>
      <c r="K16" s="417">
        <v>102.20000076293945</v>
      </c>
    </row>
    <row r="17" spans="1:11" ht="14.4" customHeight="1" x14ac:dyDescent="0.3">
      <c r="A17" s="412" t="s">
        <v>260</v>
      </c>
      <c r="B17" s="413" t="s">
        <v>261</v>
      </c>
      <c r="C17" s="414" t="s">
        <v>271</v>
      </c>
      <c r="D17" s="415" t="s">
        <v>272</v>
      </c>
      <c r="E17" s="414" t="s">
        <v>276</v>
      </c>
      <c r="F17" s="415" t="s">
        <v>277</v>
      </c>
      <c r="G17" s="414" t="s">
        <v>302</v>
      </c>
      <c r="H17" s="414" t="s">
        <v>303</v>
      </c>
      <c r="I17" s="416">
        <v>1.5171428407941545</v>
      </c>
      <c r="J17" s="416">
        <v>565</v>
      </c>
      <c r="K17" s="417">
        <v>856.67000770568848</v>
      </c>
    </row>
    <row r="18" spans="1:11" ht="14.4" customHeight="1" x14ac:dyDescent="0.3">
      <c r="A18" s="412" t="s">
        <v>260</v>
      </c>
      <c r="B18" s="413" t="s">
        <v>261</v>
      </c>
      <c r="C18" s="414" t="s">
        <v>271</v>
      </c>
      <c r="D18" s="415" t="s">
        <v>272</v>
      </c>
      <c r="E18" s="414" t="s">
        <v>276</v>
      </c>
      <c r="F18" s="415" t="s">
        <v>277</v>
      </c>
      <c r="G18" s="414" t="s">
        <v>304</v>
      </c>
      <c r="H18" s="414" t="s">
        <v>305</v>
      </c>
      <c r="I18" s="416">
        <v>2.0639999389648436</v>
      </c>
      <c r="J18" s="416">
        <v>90</v>
      </c>
      <c r="K18" s="417">
        <v>185.84999656677246</v>
      </c>
    </row>
    <row r="19" spans="1:11" ht="14.4" customHeight="1" x14ac:dyDescent="0.3">
      <c r="A19" s="412" t="s">
        <v>260</v>
      </c>
      <c r="B19" s="413" t="s">
        <v>261</v>
      </c>
      <c r="C19" s="414" t="s">
        <v>271</v>
      </c>
      <c r="D19" s="415" t="s">
        <v>272</v>
      </c>
      <c r="E19" s="414" t="s">
        <v>276</v>
      </c>
      <c r="F19" s="415" t="s">
        <v>277</v>
      </c>
      <c r="G19" s="414" t="s">
        <v>306</v>
      </c>
      <c r="H19" s="414" t="s">
        <v>307</v>
      </c>
      <c r="I19" s="416">
        <v>7.726666609446208</v>
      </c>
      <c r="J19" s="416">
        <v>8</v>
      </c>
      <c r="K19" s="417">
        <v>61.810000419616699</v>
      </c>
    </row>
    <row r="20" spans="1:11" ht="14.4" customHeight="1" x14ac:dyDescent="0.3">
      <c r="A20" s="412" t="s">
        <v>260</v>
      </c>
      <c r="B20" s="413" t="s">
        <v>261</v>
      </c>
      <c r="C20" s="414" t="s">
        <v>271</v>
      </c>
      <c r="D20" s="415" t="s">
        <v>272</v>
      </c>
      <c r="E20" s="414" t="s">
        <v>276</v>
      </c>
      <c r="F20" s="415" t="s">
        <v>277</v>
      </c>
      <c r="G20" s="414" t="s">
        <v>308</v>
      </c>
      <c r="H20" s="414" t="s">
        <v>309</v>
      </c>
      <c r="I20" s="416">
        <v>13.159999847412109</v>
      </c>
      <c r="J20" s="416">
        <v>24</v>
      </c>
      <c r="K20" s="417">
        <v>315.739990234375</v>
      </c>
    </row>
    <row r="21" spans="1:11" ht="14.4" customHeight="1" x14ac:dyDescent="0.3">
      <c r="A21" s="412" t="s">
        <v>260</v>
      </c>
      <c r="B21" s="413" t="s">
        <v>261</v>
      </c>
      <c r="C21" s="414" t="s">
        <v>271</v>
      </c>
      <c r="D21" s="415" t="s">
        <v>272</v>
      </c>
      <c r="E21" s="414" t="s">
        <v>276</v>
      </c>
      <c r="F21" s="415" t="s">
        <v>277</v>
      </c>
      <c r="G21" s="414" t="s">
        <v>310</v>
      </c>
      <c r="H21" s="414" t="s">
        <v>311</v>
      </c>
      <c r="I21" s="416">
        <v>42.445454337380149</v>
      </c>
      <c r="J21" s="416">
        <v>34</v>
      </c>
      <c r="K21" s="417">
        <v>1443.1699981689453</v>
      </c>
    </row>
    <row r="22" spans="1:11" ht="14.4" customHeight="1" x14ac:dyDescent="0.3">
      <c r="A22" s="412" t="s">
        <v>260</v>
      </c>
      <c r="B22" s="413" t="s">
        <v>261</v>
      </c>
      <c r="C22" s="414" t="s">
        <v>271</v>
      </c>
      <c r="D22" s="415" t="s">
        <v>272</v>
      </c>
      <c r="E22" s="414" t="s">
        <v>276</v>
      </c>
      <c r="F22" s="415" t="s">
        <v>277</v>
      </c>
      <c r="G22" s="414" t="s">
        <v>312</v>
      </c>
      <c r="H22" s="414" t="s">
        <v>313</v>
      </c>
      <c r="I22" s="416">
        <v>85.279998779296875</v>
      </c>
      <c r="J22" s="416">
        <v>1</v>
      </c>
      <c r="K22" s="417">
        <v>85.279998779296875</v>
      </c>
    </row>
    <row r="23" spans="1:11" ht="14.4" customHeight="1" x14ac:dyDescent="0.3">
      <c r="A23" s="412" t="s">
        <v>260</v>
      </c>
      <c r="B23" s="413" t="s">
        <v>261</v>
      </c>
      <c r="C23" s="414" t="s">
        <v>271</v>
      </c>
      <c r="D23" s="415" t="s">
        <v>272</v>
      </c>
      <c r="E23" s="414" t="s">
        <v>276</v>
      </c>
      <c r="F23" s="415" t="s">
        <v>277</v>
      </c>
      <c r="G23" s="414" t="s">
        <v>314</v>
      </c>
      <c r="H23" s="414" t="s">
        <v>315</v>
      </c>
      <c r="I23" s="416">
        <v>120</v>
      </c>
      <c r="J23" s="416">
        <v>2</v>
      </c>
      <c r="K23" s="417">
        <v>240</v>
      </c>
    </row>
    <row r="24" spans="1:11" ht="14.4" customHeight="1" x14ac:dyDescent="0.3">
      <c r="A24" s="412" t="s">
        <v>260</v>
      </c>
      <c r="B24" s="413" t="s">
        <v>261</v>
      </c>
      <c r="C24" s="414" t="s">
        <v>271</v>
      </c>
      <c r="D24" s="415" t="s">
        <v>272</v>
      </c>
      <c r="E24" s="414" t="s">
        <v>276</v>
      </c>
      <c r="F24" s="415" t="s">
        <v>277</v>
      </c>
      <c r="G24" s="414" t="s">
        <v>316</v>
      </c>
      <c r="H24" s="414" t="s">
        <v>317</v>
      </c>
      <c r="I24" s="416">
        <v>72.220001220703125</v>
      </c>
      <c r="J24" s="416">
        <v>11</v>
      </c>
      <c r="K24" s="417">
        <v>794.42001342773437</v>
      </c>
    </row>
    <row r="25" spans="1:11" ht="14.4" customHeight="1" x14ac:dyDescent="0.3">
      <c r="A25" s="412" t="s">
        <v>260</v>
      </c>
      <c r="B25" s="413" t="s">
        <v>261</v>
      </c>
      <c r="C25" s="414" t="s">
        <v>271</v>
      </c>
      <c r="D25" s="415" t="s">
        <v>272</v>
      </c>
      <c r="E25" s="414" t="s">
        <v>276</v>
      </c>
      <c r="F25" s="415" t="s">
        <v>277</v>
      </c>
      <c r="G25" s="414" t="s">
        <v>318</v>
      </c>
      <c r="H25" s="414" t="s">
        <v>319</v>
      </c>
      <c r="I25" s="416">
        <v>35.392499923706055</v>
      </c>
      <c r="J25" s="416">
        <v>125</v>
      </c>
      <c r="K25" s="417">
        <v>4423.6600341796875</v>
      </c>
    </row>
    <row r="26" spans="1:11" ht="14.4" customHeight="1" x14ac:dyDescent="0.3">
      <c r="A26" s="412" t="s">
        <v>260</v>
      </c>
      <c r="B26" s="413" t="s">
        <v>261</v>
      </c>
      <c r="C26" s="414" t="s">
        <v>271</v>
      </c>
      <c r="D26" s="415" t="s">
        <v>272</v>
      </c>
      <c r="E26" s="414" t="s">
        <v>276</v>
      </c>
      <c r="F26" s="415" t="s">
        <v>277</v>
      </c>
      <c r="G26" s="414" t="s">
        <v>320</v>
      </c>
      <c r="H26" s="414" t="s">
        <v>321</v>
      </c>
      <c r="I26" s="416">
        <v>0.66772729158401489</v>
      </c>
      <c r="J26" s="416">
        <v>3300</v>
      </c>
      <c r="K26" s="417">
        <v>2202.5</v>
      </c>
    </row>
    <row r="27" spans="1:11" ht="14.4" customHeight="1" x14ac:dyDescent="0.3">
      <c r="A27" s="412" t="s">
        <v>260</v>
      </c>
      <c r="B27" s="413" t="s">
        <v>261</v>
      </c>
      <c r="C27" s="414" t="s">
        <v>271</v>
      </c>
      <c r="D27" s="415" t="s">
        <v>272</v>
      </c>
      <c r="E27" s="414" t="s">
        <v>322</v>
      </c>
      <c r="F27" s="415" t="s">
        <v>323</v>
      </c>
      <c r="G27" s="414" t="s">
        <v>324</v>
      </c>
      <c r="H27" s="414" t="s">
        <v>325</v>
      </c>
      <c r="I27" s="416">
        <v>12.340000152587891</v>
      </c>
      <c r="J27" s="416">
        <v>40</v>
      </c>
      <c r="K27" s="417">
        <v>493.60000610351562</v>
      </c>
    </row>
    <row r="28" spans="1:11" ht="14.4" customHeight="1" x14ac:dyDescent="0.3">
      <c r="A28" s="412" t="s">
        <v>260</v>
      </c>
      <c r="B28" s="413" t="s">
        <v>261</v>
      </c>
      <c r="C28" s="414" t="s">
        <v>271</v>
      </c>
      <c r="D28" s="415" t="s">
        <v>272</v>
      </c>
      <c r="E28" s="414" t="s">
        <v>322</v>
      </c>
      <c r="F28" s="415" t="s">
        <v>323</v>
      </c>
      <c r="G28" s="414" t="s">
        <v>326</v>
      </c>
      <c r="H28" s="414" t="s">
        <v>327</v>
      </c>
      <c r="I28" s="416">
        <v>11.146666526794434</v>
      </c>
      <c r="J28" s="416">
        <v>200</v>
      </c>
      <c r="K28" s="417">
        <v>2229</v>
      </c>
    </row>
    <row r="29" spans="1:11" ht="14.4" customHeight="1" x14ac:dyDescent="0.3">
      <c r="A29" s="412" t="s">
        <v>260</v>
      </c>
      <c r="B29" s="413" t="s">
        <v>261</v>
      </c>
      <c r="C29" s="414" t="s">
        <v>271</v>
      </c>
      <c r="D29" s="415" t="s">
        <v>272</v>
      </c>
      <c r="E29" s="414" t="s">
        <v>322</v>
      </c>
      <c r="F29" s="415" t="s">
        <v>323</v>
      </c>
      <c r="G29" s="414" t="s">
        <v>328</v>
      </c>
      <c r="H29" s="414" t="s">
        <v>329</v>
      </c>
      <c r="I29" s="416">
        <v>6.13883330821991</v>
      </c>
      <c r="J29" s="416">
        <v>2480</v>
      </c>
      <c r="K29" s="417">
        <v>15219.699981689453</v>
      </c>
    </row>
    <row r="30" spans="1:11" ht="14.4" customHeight="1" x14ac:dyDescent="0.3">
      <c r="A30" s="412" t="s">
        <v>260</v>
      </c>
      <c r="B30" s="413" t="s">
        <v>261</v>
      </c>
      <c r="C30" s="414" t="s">
        <v>271</v>
      </c>
      <c r="D30" s="415" t="s">
        <v>272</v>
      </c>
      <c r="E30" s="414" t="s">
        <v>322</v>
      </c>
      <c r="F30" s="415" t="s">
        <v>323</v>
      </c>
      <c r="G30" s="414" t="s">
        <v>330</v>
      </c>
      <c r="H30" s="414" t="s">
        <v>331</v>
      </c>
      <c r="I30" s="416">
        <v>3.4508333802223206</v>
      </c>
      <c r="J30" s="416">
        <v>590</v>
      </c>
      <c r="K30" s="417">
        <v>2037.4999847412109</v>
      </c>
    </row>
    <row r="31" spans="1:11" ht="14.4" customHeight="1" x14ac:dyDescent="0.3">
      <c r="A31" s="412" t="s">
        <v>260</v>
      </c>
      <c r="B31" s="413" t="s">
        <v>261</v>
      </c>
      <c r="C31" s="414" t="s">
        <v>271</v>
      </c>
      <c r="D31" s="415" t="s">
        <v>272</v>
      </c>
      <c r="E31" s="414" t="s">
        <v>322</v>
      </c>
      <c r="F31" s="415" t="s">
        <v>323</v>
      </c>
      <c r="G31" s="414" t="s">
        <v>328</v>
      </c>
      <c r="H31" s="414" t="s">
        <v>332</v>
      </c>
      <c r="I31" s="416">
        <v>6.1566665967305498</v>
      </c>
      <c r="J31" s="416">
        <v>250</v>
      </c>
      <c r="K31" s="417">
        <v>1539.1999816894531</v>
      </c>
    </row>
    <row r="32" spans="1:11" ht="14.4" customHeight="1" x14ac:dyDescent="0.3">
      <c r="A32" s="412" t="s">
        <v>260</v>
      </c>
      <c r="B32" s="413" t="s">
        <v>261</v>
      </c>
      <c r="C32" s="414" t="s">
        <v>271</v>
      </c>
      <c r="D32" s="415" t="s">
        <v>272</v>
      </c>
      <c r="E32" s="414" t="s">
        <v>322</v>
      </c>
      <c r="F32" s="415" t="s">
        <v>323</v>
      </c>
      <c r="G32" s="414" t="s">
        <v>330</v>
      </c>
      <c r="H32" s="414" t="s">
        <v>333</v>
      </c>
      <c r="I32" s="416">
        <v>3.4600000381469727</v>
      </c>
      <c r="J32" s="416">
        <v>60</v>
      </c>
      <c r="K32" s="417">
        <v>207.60000610351562</v>
      </c>
    </row>
    <row r="33" spans="1:11" ht="14.4" customHeight="1" x14ac:dyDescent="0.3">
      <c r="A33" s="412" t="s">
        <v>260</v>
      </c>
      <c r="B33" s="413" t="s">
        <v>261</v>
      </c>
      <c r="C33" s="414" t="s">
        <v>271</v>
      </c>
      <c r="D33" s="415" t="s">
        <v>272</v>
      </c>
      <c r="E33" s="414" t="s">
        <v>322</v>
      </c>
      <c r="F33" s="415" t="s">
        <v>323</v>
      </c>
      <c r="G33" s="414" t="s">
        <v>334</v>
      </c>
      <c r="H33" s="414" t="s">
        <v>335</v>
      </c>
      <c r="I33" s="416">
        <v>37.752499580383301</v>
      </c>
      <c r="J33" s="416">
        <v>320</v>
      </c>
      <c r="K33" s="417">
        <v>12080.7998046875</v>
      </c>
    </row>
    <row r="34" spans="1:11" ht="14.4" customHeight="1" x14ac:dyDescent="0.3">
      <c r="A34" s="412" t="s">
        <v>260</v>
      </c>
      <c r="B34" s="413" t="s">
        <v>261</v>
      </c>
      <c r="C34" s="414" t="s">
        <v>271</v>
      </c>
      <c r="D34" s="415" t="s">
        <v>272</v>
      </c>
      <c r="E34" s="414" t="s">
        <v>322</v>
      </c>
      <c r="F34" s="415" t="s">
        <v>323</v>
      </c>
      <c r="G34" s="414" t="s">
        <v>336</v>
      </c>
      <c r="H34" s="414" t="s">
        <v>337</v>
      </c>
      <c r="I34" s="416">
        <v>4.0300002098083496</v>
      </c>
      <c r="J34" s="416">
        <v>690</v>
      </c>
      <c r="K34" s="417">
        <v>2780.7000122070313</v>
      </c>
    </row>
    <row r="35" spans="1:11" ht="14.4" customHeight="1" x14ac:dyDescent="0.3">
      <c r="A35" s="412" t="s">
        <v>260</v>
      </c>
      <c r="B35" s="413" t="s">
        <v>261</v>
      </c>
      <c r="C35" s="414" t="s">
        <v>271</v>
      </c>
      <c r="D35" s="415" t="s">
        <v>272</v>
      </c>
      <c r="E35" s="414" t="s">
        <v>322</v>
      </c>
      <c r="F35" s="415" t="s">
        <v>323</v>
      </c>
      <c r="G35" s="414" t="s">
        <v>338</v>
      </c>
      <c r="H35" s="414" t="s">
        <v>339</v>
      </c>
      <c r="I35" s="416">
        <v>9.6800003051757812</v>
      </c>
      <c r="J35" s="416">
        <v>1550</v>
      </c>
      <c r="K35" s="417">
        <v>15003.999923706055</v>
      </c>
    </row>
    <row r="36" spans="1:11" ht="14.4" customHeight="1" x14ac:dyDescent="0.3">
      <c r="A36" s="412" t="s">
        <v>260</v>
      </c>
      <c r="B36" s="413" t="s">
        <v>261</v>
      </c>
      <c r="C36" s="414" t="s">
        <v>271</v>
      </c>
      <c r="D36" s="415" t="s">
        <v>272</v>
      </c>
      <c r="E36" s="414" t="s">
        <v>322</v>
      </c>
      <c r="F36" s="415" t="s">
        <v>323</v>
      </c>
      <c r="G36" s="414" t="s">
        <v>340</v>
      </c>
      <c r="H36" s="414" t="s">
        <v>341</v>
      </c>
      <c r="I36" s="416">
        <v>10.077142715454102</v>
      </c>
      <c r="J36" s="416">
        <v>210</v>
      </c>
      <c r="K36" s="417">
        <v>2115.9390258789062</v>
      </c>
    </row>
    <row r="37" spans="1:11" ht="14.4" customHeight="1" x14ac:dyDescent="0.3">
      <c r="A37" s="412" t="s">
        <v>260</v>
      </c>
      <c r="B37" s="413" t="s">
        <v>261</v>
      </c>
      <c r="C37" s="414" t="s">
        <v>271</v>
      </c>
      <c r="D37" s="415" t="s">
        <v>272</v>
      </c>
      <c r="E37" s="414" t="s">
        <v>322</v>
      </c>
      <c r="F37" s="415" t="s">
        <v>323</v>
      </c>
      <c r="G37" s="414" t="s">
        <v>342</v>
      </c>
      <c r="H37" s="414" t="s">
        <v>343</v>
      </c>
      <c r="I37" s="416">
        <v>10.075293933644014</v>
      </c>
      <c r="J37" s="416">
        <v>1140</v>
      </c>
      <c r="K37" s="417">
        <v>11485.410095214844</v>
      </c>
    </row>
    <row r="38" spans="1:11" ht="14.4" customHeight="1" x14ac:dyDescent="0.3">
      <c r="A38" s="412" t="s">
        <v>260</v>
      </c>
      <c r="B38" s="413" t="s">
        <v>261</v>
      </c>
      <c r="C38" s="414" t="s">
        <v>271</v>
      </c>
      <c r="D38" s="415" t="s">
        <v>272</v>
      </c>
      <c r="E38" s="414" t="s">
        <v>322</v>
      </c>
      <c r="F38" s="415" t="s">
        <v>323</v>
      </c>
      <c r="G38" s="414" t="s">
        <v>344</v>
      </c>
      <c r="H38" s="414" t="s">
        <v>345</v>
      </c>
      <c r="I38" s="416">
        <v>10.076666514078775</v>
      </c>
      <c r="J38" s="416">
        <v>450</v>
      </c>
      <c r="K38" s="417">
        <v>4533.9000244140625</v>
      </c>
    </row>
    <row r="39" spans="1:11" ht="14.4" customHeight="1" x14ac:dyDescent="0.3">
      <c r="A39" s="412" t="s">
        <v>260</v>
      </c>
      <c r="B39" s="413" t="s">
        <v>261</v>
      </c>
      <c r="C39" s="414" t="s">
        <v>271</v>
      </c>
      <c r="D39" s="415" t="s">
        <v>272</v>
      </c>
      <c r="E39" s="414" t="s">
        <v>322</v>
      </c>
      <c r="F39" s="415" t="s">
        <v>323</v>
      </c>
      <c r="G39" s="414" t="s">
        <v>344</v>
      </c>
      <c r="H39" s="414" t="s">
        <v>346</v>
      </c>
      <c r="I39" s="416">
        <v>10.074444346957737</v>
      </c>
      <c r="J39" s="416">
        <v>360</v>
      </c>
      <c r="K39" s="417">
        <v>3627.0899658203125</v>
      </c>
    </row>
    <row r="40" spans="1:11" ht="14.4" customHeight="1" x14ac:dyDescent="0.3">
      <c r="A40" s="412" t="s">
        <v>260</v>
      </c>
      <c r="B40" s="413" t="s">
        <v>261</v>
      </c>
      <c r="C40" s="414" t="s">
        <v>271</v>
      </c>
      <c r="D40" s="415" t="s">
        <v>272</v>
      </c>
      <c r="E40" s="414" t="s">
        <v>322</v>
      </c>
      <c r="F40" s="415" t="s">
        <v>323</v>
      </c>
      <c r="G40" s="414" t="s">
        <v>347</v>
      </c>
      <c r="H40" s="414" t="s">
        <v>348</v>
      </c>
      <c r="I40" s="416">
        <v>3.1475000977516174</v>
      </c>
      <c r="J40" s="416">
        <v>41</v>
      </c>
      <c r="K40" s="417">
        <v>129.04999971389771</v>
      </c>
    </row>
    <row r="41" spans="1:11" ht="14.4" customHeight="1" x14ac:dyDescent="0.3">
      <c r="A41" s="412" t="s">
        <v>260</v>
      </c>
      <c r="B41" s="413" t="s">
        <v>261</v>
      </c>
      <c r="C41" s="414" t="s">
        <v>271</v>
      </c>
      <c r="D41" s="415" t="s">
        <v>272</v>
      </c>
      <c r="E41" s="414" t="s">
        <v>322</v>
      </c>
      <c r="F41" s="415" t="s">
        <v>323</v>
      </c>
      <c r="G41" s="414" t="s">
        <v>349</v>
      </c>
      <c r="H41" s="414" t="s">
        <v>350</v>
      </c>
      <c r="I41" s="416">
        <v>11.738999748229981</v>
      </c>
      <c r="J41" s="416">
        <v>50</v>
      </c>
      <c r="K41" s="417">
        <v>586.92999839782715</v>
      </c>
    </row>
    <row r="42" spans="1:11" ht="14.4" customHeight="1" x14ac:dyDescent="0.3">
      <c r="A42" s="412" t="s">
        <v>260</v>
      </c>
      <c r="B42" s="413" t="s">
        <v>261</v>
      </c>
      <c r="C42" s="414" t="s">
        <v>271</v>
      </c>
      <c r="D42" s="415" t="s">
        <v>272</v>
      </c>
      <c r="E42" s="414" t="s">
        <v>322</v>
      </c>
      <c r="F42" s="415" t="s">
        <v>323</v>
      </c>
      <c r="G42" s="414" t="s">
        <v>351</v>
      </c>
      <c r="H42" s="414" t="s">
        <v>352</v>
      </c>
      <c r="I42" s="416">
        <v>2.6350001096725464</v>
      </c>
      <c r="J42" s="416">
        <v>80</v>
      </c>
      <c r="K42" s="417">
        <v>210.89999580383301</v>
      </c>
    </row>
    <row r="43" spans="1:11" ht="14.4" customHeight="1" x14ac:dyDescent="0.3">
      <c r="A43" s="412" t="s">
        <v>260</v>
      </c>
      <c r="B43" s="413" t="s">
        <v>261</v>
      </c>
      <c r="C43" s="414" t="s">
        <v>271</v>
      </c>
      <c r="D43" s="415" t="s">
        <v>272</v>
      </c>
      <c r="E43" s="414" t="s">
        <v>322</v>
      </c>
      <c r="F43" s="415" t="s">
        <v>323</v>
      </c>
      <c r="G43" s="414" t="s">
        <v>353</v>
      </c>
      <c r="H43" s="414" t="s">
        <v>354</v>
      </c>
      <c r="I43" s="416">
        <v>217.43785749162947</v>
      </c>
      <c r="J43" s="416">
        <v>1406</v>
      </c>
      <c r="K43" s="417">
        <v>305717.65625</v>
      </c>
    </row>
    <row r="44" spans="1:11" ht="14.4" customHeight="1" x14ac:dyDescent="0.3">
      <c r="A44" s="412" t="s">
        <v>260</v>
      </c>
      <c r="B44" s="413" t="s">
        <v>261</v>
      </c>
      <c r="C44" s="414" t="s">
        <v>271</v>
      </c>
      <c r="D44" s="415" t="s">
        <v>272</v>
      </c>
      <c r="E44" s="414" t="s">
        <v>322</v>
      </c>
      <c r="F44" s="415" t="s">
        <v>323</v>
      </c>
      <c r="G44" s="414" t="s">
        <v>355</v>
      </c>
      <c r="H44" s="414" t="s">
        <v>356</v>
      </c>
      <c r="I44" s="416">
        <v>217.44000244140625</v>
      </c>
      <c r="J44" s="416">
        <v>60</v>
      </c>
      <c r="K44" s="417">
        <v>13046.400390625</v>
      </c>
    </row>
    <row r="45" spans="1:11" ht="14.4" customHeight="1" x14ac:dyDescent="0.3">
      <c r="A45" s="412" t="s">
        <v>260</v>
      </c>
      <c r="B45" s="413" t="s">
        <v>261</v>
      </c>
      <c r="C45" s="414" t="s">
        <v>271</v>
      </c>
      <c r="D45" s="415" t="s">
        <v>272</v>
      </c>
      <c r="E45" s="414" t="s">
        <v>322</v>
      </c>
      <c r="F45" s="415" t="s">
        <v>323</v>
      </c>
      <c r="G45" s="414" t="s">
        <v>355</v>
      </c>
      <c r="H45" s="414" t="s">
        <v>357</v>
      </c>
      <c r="I45" s="416">
        <v>217.43499755859375</v>
      </c>
      <c r="J45" s="416">
        <v>67</v>
      </c>
      <c r="K45" s="417">
        <v>14568.1298828125</v>
      </c>
    </row>
    <row r="46" spans="1:11" ht="14.4" customHeight="1" x14ac:dyDescent="0.3">
      <c r="A46" s="412" t="s">
        <v>260</v>
      </c>
      <c r="B46" s="413" t="s">
        <v>261</v>
      </c>
      <c r="C46" s="414" t="s">
        <v>271</v>
      </c>
      <c r="D46" s="415" t="s">
        <v>272</v>
      </c>
      <c r="E46" s="414" t="s">
        <v>322</v>
      </c>
      <c r="F46" s="415" t="s">
        <v>323</v>
      </c>
      <c r="G46" s="414" t="s">
        <v>358</v>
      </c>
      <c r="H46" s="414" t="s">
        <v>359</v>
      </c>
      <c r="I46" s="416">
        <v>18.149999618530273</v>
      </c>
      <c r="J46" s="416">
        <v>30</v>
      </c>
      <c r="K46" s="417">
        <v>544.5</v>
      </c>
    </row>
    <row r="47" spans="1:11" ht="14.4" customHeight="1" x14ac:dyDescent="0.3">
      <c r="A47" s="412" t="s">
        <v>260</v>
      </c>
      <c r="B47" s="413" t="s">
        <v>261</v>
      </c>
      <c r="C47" s="414" t="s">
        <v>271</v>
      </c>
      <c r="D47" s="415" t="s">
        <v>272</v>
      </c>
      <c r="E47" s="414" t="s">
        <v>322</v>
      </c>
      <c r="F47" s="415" t="s">
        <v>323</v>
      </c>
      <c r="G47" s="414" t="s">
        <v>360</v>
      </c>
      <c r="H47" s="414" t="s">
        <v>361</v>
      </c>
      <c r="I47" s="416">
        <v>1.09032790191838</v>
      </c>
      <c r="J47" s="416">
        <v>6200</v>
      </c>
      <c r="K47" s="417">
        <v>6759.5</v>
      </c>
    </row>
    <row r="48" spans="1:11" ht="14.4" customHeight="1" x14ac:dyDescent="0.3">
      <c r="A48" s="412" t="s">
        <v>260</v>
      </c>
      <c r="B48" s="413" t="s">
        <v>261</v>
      </c>
      <c r="C48" s="414" t="s">
        <v>271</v>
      </c>
      <c r="D48" s="415" t="s">
        <v>272</v>
      </c>
      <c r="E48" s="414" t="s">
        <v>322</v>
      </c>
      <c r="F48" s="415" t="s">
        <v>323</v>
      </c>
      <c r="G48" s="414" t="s">
        <v>362</v>
      </c>
      <c r="H48" s="414" t="s">
        <v>363</v>
      </c>
      <c r="I48" s="416">
        <v>1.6749999523162842</v>
      </c>
      <c r="J48" s="416">
        <v>1600</v>
      </c>
      <c r="K48" s="417">
        <v>2680.5</v>
      </c>
    </row>
    <row r="49" spans="1:11" ht="14.4" customHeight="1" x14ac:dyDescent="0.3">
      <c r="A49" s="412" t="s">
        <v>260</v>
      </c>
      <c r="B49" s="413" t="s">
        <v>261</v>
      </c>
      <c r="C49" s="414" t="s">
        <v>271</v>
      </c>
      <c r="D49" s="415" t="s">
        <v>272</v>
      </c>
      <c r="E49" s="414" t="s">
        <v>322</v>
      </c>
      <c r="F49" s="415" t="s">
        <v>323</v>
      </c>
      <c r="G49" s="414" t="s">
        <v>364</v>
      </c>
      <c r="H49" s="414" t="s">
        <v>365</v>
      </c>
      <c r="I49" s="416">
        <v>0.67000001668930054</v>
      </c>
      <c r="J49" s="416">
        <v>160</v>
      </c>
      <c r="K49" s="417">
        <v>107.19999980926514</v>
      </c>
    </row>
    <row r="50" spans="1:11" ht="14.4" customHeight="1" x14ac:dyDescent="0.3">
      <c r="A50" s="412" t="s">
        <v>260</v>
      </c>
      <c r="B50" s="413" t="s">
        <v>261</v>
      </c>
      <c r="C50" s="414" t="s">
        <v>271</v>
      </c>
      <c r="D50" s="415" t="s">
        <v>272</v>
      </c>
      <c r="E50" s="414" t="s">
        <v>322</v>
      </c>
      <c r="F50" s="415" t="s">
        <v>323</v>
      </c>
      <c r="G50" s="414" t="s">
        <v>366</v>
      </c>
      <c r="H50" s="414" t="s">
        <v>367</v>
      </c>
      <c r="I50" s="416">
        <v>1.6750000268220901</v>
      </c>
      <c r="J50" s="416">
        <v>260</v>
      </c>
      <c r="K50" s="417">
        <v>432</v>
      </c>
    </row>
    <row r="51" spans="1:11" ht="14.4" customHeight="1" x14ac:dyDescent="0.3">
      <c r="A51" s="412" t="s">
        <v>260</v>
      </c>
      <c r="B51" s="413" t="s">
        <v>261</v>
      </c>
      <c r="C51" s="414" t="s">
        <v>271</v>
      </c>
      <c r="D51" s="415" t="s">
        <v>272</v>
      </c>
      <c r="E51" s="414" t="s">
        <v>322</v>
      </c>
      <c r="F51" s="415" t="s">
        <v>323</v>
      </c>
      <c r="G51" s="414" t="s">
        <v>368</v>
      </c>
      <c r="H51" s="414" t="s">
        <v>369</v>
      </c>
      <c r="I51" s="416">
        <v>5.2033331394195557</v>
      </c>
      <c r="J51" s="416">
        <v>630</v>
      </c>
      <c r="K51" s="417">
        <v>3277</v>
      </c>
    </row>
    <row r="52" spans="1:11" ht="14.4" customHeight="1" x14ac:dyDescent="0.3">
      <c r="A52" s="412" t="s">
        <v>260</v>
      </c>
      <c r="B52" s="413" t="s">
        <v>261</v>
      </c>
      <c r="C52" s="414" t="s">
        <v>271</v>
      </c>
      <c r="D52" s="415" t="s">
        <v>272</v>
      </c>
      <c r="E52" s="414" t="s">
        <v>322</v>
      </c>
      <c r="F52" s="415" t="s">
        <v>323</v>
      </c>
      <c r="G52" s="414" t="s">
        <v>370</v>
      </c>
      <c r="H52" s="414" t="s">
        <v>371</v>
      </c>
      <c r="I52" s="416">
        <v>3.6600000858306885</v>
      </c>
      <c r="J52" s="416">
        <v>500</v>
      </c>
      <c r="K52" s="417">
        <v>1830</v>
      </c>
    </row>
    <row r="53" spans="1:11" ht="14.4" customHeight="1" x14ac:dyDescent="0.3">
      <c r="A53" s="412" t="s">
        <v>260</v>
      </c>
      <c r="B53" s="413" t="s">
        <v>261</v>
      </c>
      <c r="C53" s="414" t="s">
        <v>271</v>
      </c>
      <c r="D53" s="415" t="s">
        <v>272</v>
      </c>
      <c r="E53" s="414" t="s">
        <v>322</v>
      </c>
      <c r="F53" s="415" t="s">
        <v>323</v>
      </c>
      <c r="G53" s="414" t="s">
        <v>372</v>
      </c>
      <c r="H53" s="414" t="s">
        <v>373</v>
      </c>
      <c r="I53" s="416">
        <v>7.380000114440918</v>
      </c>
      <c r="J53" s="416">
        <v>1000</v>
      </c>
      <c r="K53" s="417">
        <v>7380.999755859375</v>
      </c>
    </row>
    <row r="54" spans="1:11" ht="14.4" customHeight="1" x14ac:dyDescent="0.3">
      <c r="A54" s="412" t="s">
        <v>260</v>
      </c>
      <c r="B54" s="413" t="s">
        <v>261</v>
      </c>
      <c r="C54" s="414" t="s">
        <v>271</v>
      </c>
      <c r="D54" s="415" t="s">
        <v>272</v>
      </c>
      <c r="E54" s="414" t="s">
        <v>322</v>
      </c>
      <c r="F54" s="415" t="s">
        <v>323</v>
      </c>
      <c r="G54" s="414" t="s">
        <v>374</v>
      </c>
      <c r="H54" s="414" t="s">
        <v>375</v>
      </c>
      <c r="I54" s="416">
        <v>0.47499999403953552</v>
      </c>
      <c r="J54" s="416">
        <v>200</v>
      </c>
      <c r="K54" s="417">
        <v>95</v>
      </c>
    </row>
    <row r="55" spans="1:11" ht="14.4" customHeight="1" x14ac:dyDescent="0.3">
      <c r="A55" s="412" t="s">
        <v>260</v>
      </c>
      <c r="B55" s="413" t="s">
        <v>261</v>
      </c>
      <c r="C55" s="414" t="s">
        <v>271</v>
      </c>
      <c r="D55" s="415" t="s">
        <v>272</v>
      </c>
      <c r="E55" s="414" t="s">
        <v>376</v>
      </c>
      <c r="F55" s="415" t="s">
        <v>377</v>
      </c>
      <c r="G55" s="414" t="s">
        <v>378</v>
      </c>
      <c r="H55" s="414" t="s">
        <v>379</v>
      </c>
      <c r="I55" s="416">
        <v>396.57998657226562</v>
      </c>
      <c r="J55" s="416">
        <v>360</v>
      </c>
      <c r="K55" s="417">
        <v>142767.89892578125</v>
      </c>
    </row>
    <row r="56" spans="1:11" ht="14.4" customHeight="1" x14ac:dyDescent="0.3">
      <c r="A56" s="412" t="s">
        <v>260</v>
      </c>
      <c r="B56" s="413" t="s">
        <v>261</v>
      </c>
      <c r="C56" s="414" t="s">
        <v>271</v>
      </c>
      <c r="D56" s="415" t="s">
        <v>272</v>
      </c>
      <c r="E56" s="414" t="s">
        <v>376</v>
      </c>
      <c r="F56" s="415" t="s">
        <v>377</v>
      </c>
      <c r="G56" s="414" t="s">
        <v>380</v>
      </c>
      <c r="H56" s="414" t="s">
        <v>381</v>
      </c>
      <c r="I56" s="416">
        <v>10.28485320596134</v>
      </c>
      <c r="J56" s="416">
        <v>3200</v>
      </c>
      <c r="K56" s="417">
        <v>32622.300521850586</v>
      </c>
    </row>
    <row r="57" spans="1:11" ht="14.4" customHeight="1" x14ac:dyDescent="0.3">
      <c r="A57" s="412" t="s">
        <v>260</v>
      </c>
      <c r="B57" s="413" t="s">
        <v>261</v>
      </c>
      <c r="C57" s="414" t="s">
        <v>271</v>
      </c>
      <c r="D57" s="415" t="s">
        <v>272</v>
      </c>
      <c r="E57" s="414" t="s">
        <v>376</v>
      </c>
      <c r="F57" s="415" t="s">
        <v>377</v>
      </c>
      <c r="G57" s="414" t="s">
        <v>382</v>
      </c>
      <c r="H57" s="414" t="s">
        <v>383</v>
      </c>
      <c r="I57" s="416">
        <v>162.62428501674108</v>
      </c>
      <c r="J57" s="416">
        <v>210</v>
      </c>
      <c r="K57" s="417">
        <v>34151.43017578125</v>
      </c>
    </row>
    <row r="58" spans="1:11" ht="14.4" customHeight="1" x14ac:dyDescent="0.3">
      <c r="A58" s="412" t="s">
        <v>260</v>
      </c>
      <c r="B58" s="413" t="s">
        <v>261</v>
      </c>
      <c r="C58" s="414" t="s">
        <v>271</v>
      </c>
      <c r="D58" s="415" t="s">
        <v>272</v>
      </c>
      <c r="E58" s="414" t="s">
        <v>376</v>
      </c>
      <c r="F58" s="415" t="s">
        <v>377</v>
      </c>
      <c r="G58" s="414" t="s">
        <v>382</v>
      </c>
      <c r="H58" s="414" t="s">
        <v>384</v>
      </c>
      <c r="I58" s="416">
        <v>162.62666829427084</v>
      </c>
      <c r="J58" s="416">
        <v>90</v>
      </c>
      <c r="K58" s="417">
        <v>14636.3701171875</v>
      </c>
    </row>
    <row r="59" spans="1:11" ht="14.4" customHeight="1" x14ac:dyDescent="0.3">
      <c r="A59" s="412" t="s">
        <v>260</v>
      </c>
      <c r="B59" s="413" t="s">
        <v>261</v>
      </c>
      <c r="C59" s="414" t="s">
        <v>271</v>
      </c>
      <c r="D59" s="415" t="s">
        <v>272</v>
      </c>
      <c r="E59" s="414" t="s">
        <v>385</v>
      </c>
      <c r="F59" s="415" t="s">
        <v>386</v>
      </c>
      <c r="G59" s="414" t="s">
        <v>387</v>
      </c>
      <c r="H59" s="414" t="s">
        <v>388</v>
      </c>
      <c r="I59" s="416">
        <v>132.67999267578125</v>
      </c>
      <c r="J59" s="416">
        <v>25</v>
      </c>
      <c r="K59" s="417">
        <v>3317</v>
      </c>
    </row>
    <row r="60" spans="1:11" ht="14.4" customHeight="1" x14ac:dyDescent="0.3">
      <c r="A60" s="412" t="s">
        <v>260</v>
      </c>
      <c r="B60" s="413" t="s">
        <v>261</v>
      </c>
      <c r="C60" s="414" t="s">
        <v>271</v>
      </c>
      <c r="D60" s="415" t="s">
        <v>272</v>
      </c>
      <c r="E60" s="414" t="s">
        <v>385</v>
      </c>
      <c r="F60" s="415" t="s">
        <v>386</v>
      </c>
      <c r="G60" s="414" t="s">
        <v>389</v>
      </c>
      <c r="H60" s="414" t="s">
        <v>390</v>
      </c>
      <c r="I60" s="416">
        <v>125.48000335693359</v>
      </c>
      <c r="J60" s="416">
        <v>60</v>
      </c>
      <c r="K60" s="417">
        <v>7528.519775390625</v>
      </c>
    </row>
    <row r="61" spans="1:11" ht="14.4" customHeight="1" x14ac:dyDescent="0.3">
      <c r="A61" s="412" t="s">
        <v>260</v>
      </c>
      <c r="B61" s="413" t="s">
        <v>261</v>
      </c>
      <c r="C61" s="414" t="s">
        <v>271</v>
      </c>
      <c r="D61" s="415" t="s">
        <v>272</v>
      </c>
      <c r="E61" s="414" t="s">
        <v>385</v>
      </c>
      <c r="F61" s="415" t="s">
        <v>386</v>
      </c>
      <c r="G61" s="414" t="s">
        <v>391</v>
      </c>
      <c r="H61" s="414" t="s">
        <v>392</v>
      </c>
      <c r="I61" s="416">
        <v>0.30000001192092896</v>
      </c>
      <c r="J61" s="416">
        <v>100</v>
      </c>
      <c r="K61" s="417">
        <v>30</v>
      </c>
    </row>
    <row r="62" spans="1:11" ht="14.4" customHeight="1" x14ac:dyDescent="0.3">
      <c r="A62" s="412" t="s">
        <v>260</v>
      </c>
      <c r="B62" s="413" t="s">
        <v>261</v>
      </c>
      <c r="C62" s="414" t="s">
        <v>271</v>
      </c>
      <c r="D62" s="415" t="s">
        <v>272</v>
      </c>
      <c r="E62" s="414" t="s">
        <v>385</v>
      </c>
      <c r="F62" s="415" t="s">
        <v>386</v>
      </c>
      <c r="G62" s="414" t="s">
        <v>393</v>
      </c>
      <c r="H62" s="414" t="s">
        <v>394</v>
      </c>
      <c r="I62" s="416">
        <v>0.5270689761844175</v>
      </c>
      <c r="J62" s="416">
        <v>7003</v>
      </c>
      <c r="K62" s="417">
        <v>3687.6500000357628</v>
      </c>
    </row>
    <row r="63" spans="1:11" ht="14.4" customHeight="1" x14ac:dyDescent="0.3">
      <c r="A63" s="412" t="s">
        <v>260</v>
      </c>
      <c r="B63" s="413" t="s">
        <v>261</v>
      </c>
      <c r="C63" s="414" t="s">
        <v>271</v>
      </c>
      <c r="D63" s="415" t="s">
        <v>272</v>
      </c>
      <c r="E63" s="414" t="s">
        <v>395</v>
      </c>
      <c r="F63" s="415" t="s">
        <v>396</v>
      </c>
      <c r="G63" s="414" t="s">
        <v>397</v>
      </c>
      <c r="H63" s="414" t="s">
        <v>398</v>
      </c>
      <c r="I63" s="416">
        <v>0.68500000238418579</v>
      </c>
      <c r="J63" s="416">
        <v>600</v>
      </c>
      <c r="K63" s="417">
        <v>410</v>
      </c>
    </row>
    <row r="64" spans="1:11" ht="14.4" customHeight="1" x14ac:dyDescent="0.3">
      <c r="A64" s="412" t="s">
        <v>260</v>
      </c>
      <c r="B64" s="413" t="s">
        <v>261</v>
      </c>
      <c r="C64" s="414" t="s">
        <v>271</v>
      </c>
      <c r="D64" s="415" t="s">
        <v>272</v>
      </c>
      <c r="E64" s="414" t="s">
        <v>395</v>
      </c>
      <c r="F64" s="415" t="s">
        <v>396</v>
      </c>
      <c r="G64" s="414" t="s">
        <v>399</v>
      </c>
      <c r="H64" s="414" t="s">
        <v>400</v>
      </c>
      <c r="I64" s="416">
        <v>0.68999999761581421</v>
      </c>
      <c r="J64" s="416">
        <v>1000</v>
      </c>
      <c r="K64" s="417">
        <v>690</v>
      </c>
    </row>
    <row r="65" spans="1:11" ht="14.4" customHeight="1" x14ac:dyDescent="0.3">
      <c r="A65" s="412" t="s">
        <v>260</v>
      </c>
      <c r="B65" s="413" t="s">
        <v>261</v>
      </c>
      <c r="C65" s="414" t="s">
        <v>271</v>
      </c>
      <c r="D65" s="415" t="s">
        <v>272</v>
      </c>
      <c r="E65" s="414" t="s">
        <v>395</v>
      </c>
      <c r="F65" s="415" t="s">
        <v>396</v>
      </c>
      <c r="G65" s="414" t="s">
        <v>401</v>
      </c>
      <c r="H65" s="414" t="s">
        <v>402</v>
      </c>
      <c r="I65" s="416">
        <v>7.5</v>
      </c>
      <c r="J65" s="416">
        <v>290</v>
      </c>
      <c r="K65" s="417">
        <v>2175</v>
      </c>
    </row>
    <row r="66" spans="1:11" ht="14.4" customHeight="1" x14ac:dyDescent="0.3">
      <c r="A66" s="412" t="s">
        <v>260</v>
      </c>
      <c r="B66" s="413" t="s">
        <v>261</v>
      </c>
      <c r="C66" s="414" t="s">
        <v>271</v>
      </c>
      <c r="D66" s="415" t="s">
        <v>272</v>
      </c>
      <c r="E66" s="414" t="s">
        <v>395</v>
      </c>
      <c r="F66" s="415" t="s">
        <v>396</v>
      </c>
      <c r="G66" s="414" t="s">
        <v>403</v>
      </c>
      <c r="H66" s="414" t="s">
        <v>404</v>
      </c>
      <c r="I66" s="416">
        <v>7.5029167334238691</v>
      </c>
      <c r="J66" s="416">
        <v>2040</v>
      </c>
      <c r="K66" s="417">
        <v>15304</v>
      </c>
    </row>
    <row r="67" spans="1:11" ht="14.4" customHeight="1" x14ac:dyDescent="0.3">
      <c r="A67" s="412" t="s">
        <v>260</v>
      </c>
      <c r="B67" s="413" t="s">
        <v>261</v>
      </c>
      <c r="C67" s="414" t="s">
        <v>271</v>
      </c>
      <c r="D67" s="415" t="s">
        <v>272</v>
      </c>
      <c r="E67" s="414" t="s">
        <v>395</v>
      </c>
      <c r="F67" s="415" t="s">
        <v>396</v>
      </c>
      <c r="G67" s="414" t="s">
        <v>405</v>
      </c>
      <c r="H67" s="414" t="s">
        <v>406</v>
      </c>
      <c r="I67" s="416">
        <v>7.502500057220459</v>
      </c>
      <c r="J67" s="416">
        <v>1580</v>
      </c>
      <c r="K67" s="417">
        <v>11855.300079345703</v>
      </c>
    </row>
    <row r="68" spans="1:11" ht="14.4" customHeight="1" x14ac:dyDescent="0.3">
      <c r="A68" s="412" t="s">
        <v>260</v>
      </c>
      <c r="B68" s="413" t="s">
        <v>261</v>
      </c>
      <c r="C68" s="414" t="s">
        <v>271</v>
      </c>
      <c r="D68" s="415" t="s">
        <v>272</v>
      </c>
      <c r="E68" s="414" t="s">
        <v>395</v>
      </c>
      <c r="F68" s="415" t="s">
        <v>396</v>
      </c>
      <c r="G68" s="414" t="s">
        <v>407</v>
      </c>
      <c r="H68" s="414" t="s">
        <v>408</v>
      </c>
      <c r="I68" s="416">
        <v>7.5</v>
      </c>
      <c r="J68" s="416">
        <v>60</v>
      </c>
      <c r="K68" s="417">
        <v>450</v>
      </c>
    </row>
    <row r="69" spans="1:11" ht="14.4" customHeight="1" x14ac:dyDescent="0.3">
      <c r="A69" s="412" t="s">
        <v>260</v>
      </c>
      <c r="B69" s="413" t="s">
        <v>261</v>
      </c>
      <c r="C69" s="414" t="s">
        <v>271</v>
      </c>
      <c r="D69" s="415" t="s">
        <v>272</v>
      </c>
      <c r="E69" s="414" t="s">
        <v>395</v>
      </c>
      <c r="F69" s="415" t="s">
        <v>396</v>
      </c>
      <c r="G69" s="414" t="s">
        <v>409</v>
      </c>
      <c r="H69" s="414" t="s">
        <v>410</v>
      </c>
      <c r="I69" s="416">
        <v>6.2300000190734863</v>
      </c>
      <c r="J69" s="416">
        <v>30</v>
      </c>
      <c r="K69" s="417">
        <v>186.89999389648437</v>
      </c>
    </row>
    <row r="70" spans="1:11" ht="14.4" customHeight="1" x14ac:dyDescent="0.3">
      <c r="A70" s="412" t="s">
        <v>260</v>
      </c>
      <c r="B70" s="413" t="s">
        <v>261</v>
      </c>
      <c r="C70" s="414" t="s">
        <v>271</v>
      </c>
      <c r="D70" s="415" t="s">
        <v>272</v>
      </c>
      <c r="E70" s="414" t="s">
        <v>395</v>
      </c>
      <c r="F70" s="415" t="s">
        <v>396</v>
      </c>
      <c r="G70" s="414" t="s">
        <v>411</v>
      </c>
      <c r="H70" s="414" t="s">
        <v>412</v>
      </c>
      <c r="I70" s="416">
        <v>6.2399997711181641</v>
      </c>
      <c r="J70" s="416">
        <v>120</v>
      </c>
      <c r="K70" s="417">
        <v>748.79998779296875</v>
      </c>
    </row>
    <row r="71" spans="1:11" ht="14.4" customHeight="1" x14ac:dyDescent="0.3">
      <c r="A71" s="412" t="s">
        <v>260</v>
      </c>
      <c r="B71" s="413" t="s">
        <v>261</v>
      </c>
      <c r="C71" s="414" t="s">
        <v>271</v>
      </c>
      <c r="D71" s="415" t="s">
        <v>272</v>
      </c>
      <c r="E71" s="414" t="s">
        <v>413</v>
      </c>
      <c r="F71" s="415" t="s">
        <v>414</v>
      </c>
      <c r="G71" s="414" t="s">
        <v>415</v>
      </c>
      <c r="H71" s="414" t="s">
        <v>416</v>
      </c>
      <c r="I71" s="416">
        <v>4629.259765625</v>
      </c>
      <c r="J71" s="416">
        <v>2</v>
      </c>
      <c r="K71" s="417">
        <v>9258.51953125</v>
      </c>
    </row>
    <row r="72" spans="1:11" ht="14.4" customHeight="1" x14ac:dyDescent="0.3">
      <c r="A72" s="412" t="s">
        <v>260</v>
      </c>
      <c r="B72" s="413" t="s">
        <v>261</v>
      </c>
      <c r="C72" s="414" t="s">
        <v>271</v>
      </c>
      <c r="D72" s="415" t="s">
        <v>272</v>
      </c>
      <c r="E72" s="414" t="s">
        <v>413</v>
      </c>
      <c r="F72" s="415" t="s">
        <v>414</v>
      </c>
      <c r="G72" s="414" t="s">
        <v>417</v>
      </c>
      <c r="H72" s="414" t="s">
        <v>418</v>
      </c>
      <c r="I72" s="416">
        <v>1550</v>
      </c>
      <c r="J72" s="416">
        <v>10</v>
      </c>
      <c r="K72" s="417">
        <v>15499.97021484375</v>
      </c>
    </row>
    <row r="73" spans="1:11" ht="14.4" customHeight="1" x14ac:dyDescent="0.3">
      <c r="A73" s="412" t="s">
        <v>260</v>
      </c>
      <c r="B73" s="413" t="s">
        <v>261</v>
      </c>
      <c r="C73" s="414" t="s">
        <v>271</v>
      </c>
      <c r="D73" s="415" t="s">
        <v>272</v>
      </c>
      <c r="E73" s="414" t="s">
        <v>413</v>
      </c>
      <c r="F73" s="415" t="s">
        <v>414</v>
      </c>
      <c r="G73" s="414" t="s">
        <v>419</v>
      </c>
      <c r="H73" s="414" t="s">
        <v>420</v>
      </c>
      <c r="I73" s="416">
        <v>2250.4599609375</v>
      </c>
      <c r="J73" s="416">
        <v>4</v>
      </c>
      <c r="K73" s="417">
        <v>9001.8203125</v>
      </c>
    </row>
    <row r="74" spans="1:11" ht="14.4" customHeight="1" x14ac:dyDescent="0.3">
      <c r="A74" s="412" t="s">
        <v>260</v>
      </c>
      <c r="B74" s="413" t="s">
        <v>261</v>
      </c>
      <c r="C74" s="414" t="s">
        <v>271</v>
      </c>
      <c r="D74" s="415" t="s">
        <v>272</v>
      </c>
      <c r="E74" s="414" t="s">
        <v>413</v>
      </c>
      <c r="F74" s="415" t="s">
        <v>414</v>
      </c>
      <c r="G74" s="414" t="s">
        <v>421</v>
      </c>
      <c r="H74" s="414" t="s">
        <v>422</v>
      </c>
      <c r="I74" s="416">
        <v>5433.25</v>
      </c>
      <c r="J74" s="416">
        <v>2</v>
      </c>
      <c r="K74" s="417">
        <v>10866.490234375</v>
      </c>
    </row>
    <row r="75" spans="1:11" ht="14.4" customHeight="1" x14ac:dyDescent="0.3">
      <c r="A75" s="412" t="s">
        <v>260</v>
      </c>
      <c r="B75" s="413" t="s">
        <v>261</v>
      </c>
      <c r="C75" s="414" t="s">
        <v>271</v>
      </c>
      <c r="D75" s="415" t="s">
        <v>272</v>
      </c>
      <c r="E75" s="414" t="s">
        <v>413</v>
      </c>
      <c r="F75" s="415" t="s">
        <v>414</v>
      </c>
      <c r="G75" s="414" t="s">
        <v>423</v>
      </c>
      <c r="H75" s="414" t="s">
        <v>424</v>
      </c>
      <c r="I75" s="416">
        <v>3782.889892578125</v>
      </c>
      <c r="J75" s="416">
        <v>7</v>
      </c>
      <c r="K75" s="417">
        <v>26480.22900390625</v>
      </c>
    </row>
    <row r="76" spans="1:11" ht="14.4" customHeight="1" x14ac:dyDescent="0.3">
      <c r="A76" s="412" t="s">
        <v>260</v>
      </c>
      <c r="B76" s="413" t="s">
        <v>261</v>
      </c>
      <c r="C76" s="414" t="s">
        <v>271</v>
      </c>
      <c r="D76" s="415" t="s">
        <v>272</v>
      </c>
      <c r="E76" s="414" t="s">
        <v>413</v>
      </c>
      <c r="F76" s="415" t="s">
        <v>414</v>
      </c>
      <c r="G76" s="414" t="s">
        <v>425</v>
      </c>
      <c r="H76" s="414" t="s">
        <v>426</v>
      </c>
      <c r="I76" s="416">
        <v>3782.889892578125</v>
      </c>
      <c r="J76" s="416">
        <v>2</v>
      </c>
      <c r="K76" s="417">
        <v>7565.77978515625</v>
      </c>
    </row>
    <row r="77" spans="1:11" ht="14.4" customHeight="1" x14ac:dyDescent="0.3">
      <c r="A77" s="412" t="s">
        <v>260</v>
      </c>
      <c r="B77" s="413" t="s">
        <v>261</v>
      </c>
      <c r="C77" s="414" t="s">
        <v>271</v>
      </c>
      <c r="D77" s="415" t="s">
        <v>272</v>
      </c>
      <c r="E77" s="414" t="s">
        <v>413</v>
      </c>
      <c r="F77" s="415" t="s">
        <v>414</v>
      </c>
      <c r="G77" s="414" t="s">
        <v>427</v>
      </c>
      <c r="H77" s="414" t="s">
        <v>428</v>
      </c>
      <c r="I77" s="416">
        <v>4368.43017578125</v>
      </c>
      <c r="J77" s="416">
        <v>5</v>
      </c>
      <c r="K77" s="417">
        <v>21842.140625</v>
      </c>
    </row>
    <row r="78" spans="1:11" ht="14.4" customHeight="1" thickBot="1" x14ac:dyDescent="0.35">
      <c r="A78" s="418" t="s">
        <v>260</v>
      </c>
      <c r="B78" s="419" t="s">
        <v>261</v>
      </c>
      <c r="C78" s="420" t="s">
        <v>271</v>
      </c>
      <c r="D78" s="421" t="s">
        <v>272</v>
      </c>
      <c r="E78" s="420" t="s">
        <v>413</v>
      </c>
      <c r="F78" s="421" t="s">
        <v>414</v>
      </c>
      <c r="G78" s="420" t="s">
        <v>429</v>
      </c>
      <c r="H78" s="420" t="s">
        <v>430</v>
      </c>
      <c r="I78" s="422">
        <v>5526.06005859375</v>
      </c>
      <c r="J78" s="422">
        <v>2</v>
      </c>
      <c r="K78" s="423">
        <v>11052.1103515625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1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3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8" customWidth="1"/>
    <col min="18" max="18" width="7.33203125" style="229" customWidth="1"/>
    <col min="19" max="19" width="8" style="198" customWidth="1"/>
    <col min="21" max="21" width="11.21875" bestFit="1" customWidth="1"/>
  </cols>
  <sheetData>
    <row r="1" spans="1:19" ht="18.600000000000001" thickBot="1" x14ac:dyDescent="0.4">
      <c r="A1" s="308" t="s">
        <v>87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5" thickBot="1" x14ac:dyDescent="0.35">
      <c r="A2" s="199"/>
      <c r="B2" s="200"/>
    </row>
    <row r="3" spans="1:19" x14ac:dyDescent="0.3">
      <c r="A3" s="322" t="s">
        <v>135</v>
      </c>
      <c r="B3" s="323"/>
      <c r="C3" s="324" t="s">
        <v>124</v>
      </c>
      <c r="D3" s="325"/>
      <c r="E3" s="325"/>
      <c r="F3" s="326"/>
      <c r="G3" s="327" t="s">
        <v>125</v>
      </c>
      <c r="H3" s="328"/>
      <c r="I3" s="328"/>
      <c r="J3" s="329"/>
      <c r="K3" s="330" t="s">
        <v>134</v>
      </c>
      <c r="L3" s="331"/>
      <c r="M3" s="331"/>
      <c r="N3" s="331"/>
      <c r="O3" s="332"/>
      <c r="P3" s="328" t="s">
        <v>200</v>
      </c>
      <c r="Q3" s="328"/>
      <c r="R3" s="328"/>
      <c r="S3" s="329"/>
    </row>
    <row r="4" spans="1:19" ht="15" thickBot="1" x14ac:dyDescent="0.35">
      <c r="A4" s="341">
        <v>2017</v>
      </c>
      <c r="B4" s="342"/>
      <c r="C4" s="343" t="s">
        <v>199</v>
      </c>
      <c r="D4" s="345" t="s">
        <v>88</v>
      </c>
      <c r="E4" s="345" t="s">
        <v>56</v>
      </c>
      <c r="F4" s="320" t="s">
        <v>49</v>
      </c>
      <c r="G4" s="335" t="s">
        <v>126</v>
      </c>
      <c r="H4" s="337" t="s">
        <v>130</v>
      </c>
      <c r="I4" s="337" t="s">
        <v>198</v>
      </c>
      <c r="J4" s="339" t="s">
        <v>127</v>
      </c>
      <c r="K4" s="317" t="s">
        <v>197</v>
      </c>
      <c r="L4" s="318"/>
      <c r="M4" s="318"/>
      <c r="N4" s="319"/>
      <c r="O4" s="320" t="s">
        <v>196</v>
      </c>
      <c r="P4" s="309" t="s">
        <v>195</v>
      </c>
      <c r="Q4" s="309" t="s">
        <v>137</v>
      </c>
      <c r="R4" s="311" t="s">
        <v>56</v>
      </c>
      <c r="S4" s="313" t="s">
        <v>136</v>
      </c>
    </row>
    <row r="5" spans="1:19" s="264" customFormat="1" ht="19.2" customHeight="1" x14ac:dyDescent="0.3">
      <c r="A5" s="315" t="s">
        <v>194</v>
      </c>
      <c r="B5" s="316"/>
      <c r="C5" s="344"/>
      <c r="D5" s="346"/>
      <c r="E5" s="346"/>
      <c r="F5" s="321"/>
      <c r="G5" s="336"/>
      <c r="H5" s="338"/>
      <c r="I5" s="338"/>
      <c r="J5" s="340"/>
      <c r="K5" s="267" t="s">
        <v>128</v>
      </c>
      <c r="L5" s="266" t="s">
        <v>129</v>
      </c>
      <c r="M5" s="266" t="s">
        <v>193</v>
      </c>
      <c r="N5" s="265" t="s">
        <v>3</v>
      </c>
      <c r="O5" s="321"/>
      <c r="P5" s="310"/>
      <c r="Q5" s="310"/>
      <c r="R5" s="312"/>
      <c r="S5" s="314"/>
    </row>
    <row r="6" spans="1:19" ht="15" thickBot="1" x14ac:dyDescent="0.35">
      <c r="A6" s="333" t="s">
        <v>123</v>
      </c>
      <c r="B6" s="334"/>
      <c r="C6" s="263" t="e">
        <f ca="1">SUM(Tabulka[01 uv_sk])/2</f>
        <v>#REF!</v>
      </c>
      <c r="D6" s="261"/>
      <c r="E6" s="261"/>
      <c r="F6" s="260"/>
      <c r="G6" s="262" t="e">
        <f ca="1">SUM(Tabulka[05 h_vram])/2</f>
        <v>#REF!</v>
      </c>
      <c r="H6" s="261" t="e">
        <f ca="1">SUM(Tabulka[06 h_naduv])/2</f>
        <v>#REF!</v>
      </c>
      <c r="I6" s="261" t="e">
        <f ca="1">SUM(Tabulka[07 h_nadzk])/2</f>
        <v>#REF!</v>
      </c>
      <c r="J6" s="260" t="e">
        <f ca="1">SUM(Tabulka[08 h_oon])/2</f>
        <v>#REF!</v>
      </c>
      <c r="K6" s="262" t="e">
        <f ca="1">SUM(Tabulka[09 m_kl])/2</f>
        <v>#REF!</v>
      </c>
      <c r="L6" s="261" t="e">
        <f ca="1">SUM(Tabulka[10 m_gr])/2</f>
        <v>#REF!</v>
      </c>
      <c r="M6" s="261" t="e">
        <f ca="1">SUM(Tabulka[11 m_jo])/2</f>
        <v>#REF!</v>
      </c>
      <c r="N6" s="261" t="e">
        <f ca="1">SUM(Tabulka[12 m_oc])/2</f>
        <v>#REF!</v>
      </c>
      <c r="O6" s="260" t="e">
        <f ca="1">SUM(Tabulka[13 m_sk])/2</f>
        <v>#REF!</v>
      </c>
      <c r="P6" s="259" t="e">
        <f ca="1">SUM(Tabulka[14_vzsk])/2</f>
        <v>#REF!</v>
      </c>
      <c r="Q6" s="259" t="e">
        <f ca="1">SUM(Tabulka[15_vzpl])/2</f>
        <v>#REF!</v>
      </c>
      <c r="R6" s="258" t="e">
        <f ca="1">IF(Q6=0,0,P6/Q6)</f>
        <v>#REF!</v>
      </c>
      <c r="S6" s="257" t="e">
        <f ca="1">Q6-P6</f>
        <v>#REF!</v>
      </c>
    </row>
    <row r="7" spans="1:19" hidden="1" x14ac:dyDescent="0.3">
      <c r="A7" s="256" t="s">
        <v>192</v>
      </c>
      <c r="B7" s="255" t="s">
        <v>191</v>
      </c>
      <c r="C7" s="254" t="s">
        <v>190</v>
      </c>
      <c r="D7" s="253" t="s">
        <v>189</v>
      </c>
      <c r="E7" s="252" t="s">
        <v>188</v>
      </c>
      <c r="F7" s="251" t="s">
        <v>187</v>
      </c>
      <c r="G7" s="250" t="s">
        <v>186</v>
      </c>
      <c r="H7" s="248" t="s">
        <v>185</v>
      </c>
      <c r="I7" s="248" t="s">
        <v>184</v>
      </c>
      <c r="J7" s="247" t="s">
        <v>183</v>
      </c>
      <c r="K7" s="249" t="s">
        <v>182</v>
      </c>
      <c r="L7" s="248" t="s">
        <v>181</v>
      </c>
      <c r="M7" s="248" t="s">
        <v>180</v>
      </c>
      <c r="N7" s="247" t="s">
        <v>179</v>
      </c>
      <c r="O7" s="246" t="s">
        <v>178</v>
      </c>
      <c r="P7" s="245" t="s">
        <v>177</v>
      </c>
      <c r="Q7" s="244" t="s">
        <v>176</v>
      </c>
      <c r="R7" s="243" t="s">
        <v>175</v>
      </c>
      <c r="S7" s="242" t="s">
        <v>174</v>
      </c>
    </row>
    <row r="8" spans="1:19" x14ac:dyDescent="0.3">
      <c r="A8" s="239" t="s">
        <v>173</v>
      </c>
      <c r="B8" s="238"/>
      <c r="C8" s="232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D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E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F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G8" s="23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H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I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J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K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L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M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N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O8" s="23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P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Q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R8" s="241" t="e">
        <f ca="1">IF(Tabulka[[#This Row],[15_vzpl]]=0,"",Tabulka[[#This Row],[14_vzsk]]/Tabulka[[#This Row],[15_vzpl]])</f>
        <v>#REF!</v>
      </c>
      <c r="S8" s="240" t="e">
        <f ca="1">IF(Tabulka[[#This Row],[15_vzpl]]-Tabulka[[#This Row],[14_vzsk]]=0,"",Tabulka[[#This Row],[15_vzpl]]-Tabulka[[#This Row],[14_vzsk]])</f>
        <v>#REF!</v>
      </c>
    </row>
    <row r="9" spans="1:19" x14ac:dyDescent="0.3">
      <c r="A9" t="s">
        <v>201</v>
      </c>
    </row>
    <row r="10" spans="1:19" x14ac:dyDescent="0.3">
      <c r="A10" s="88" t="s">
        <v>120</v>
      </c>
    </row>
    <row r="11" spans="1:19" x14ac:dyDescent="0.3">
      <c r="A11" s="89" t="s">
        <v>172</v>
      </c>
    </row>
    <row r="12" spans="1:19" x14ac:dyDescent="0.3">
      <c r="A12" s="231" t="s">
        <v>171</v>
      </c>
    </row>
    <row r="13" spans="1:19" x14ac:dyDescent="0.3">
      <c r="A13" s="202" t="s">
        <v>133</v>
      </c>
    </row>
    <row r="14" spans="1:19" x14ac:dyDescent="0.3">
      <c r="A14" s="204" t="s">
        <v>138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8">
    <cfRule type="cellIs" dxfId="4" priority="3" operator="lessThan">
      <formula>0</formula>
    </cfRule>
  </conditionalFormatting>
  <conditionalFormatting sqref="R6:R8">
    <cfRule type="cellIs" dxfId="3" priority="4" operator="greaterThan">
      <formula>1</formula>
    </cfRule>
  </conditionalFormatting>
  <conditionalFormatting sqref="A8:S8">
    <cfRule type="expression" dxfId="2" priority="2">
      <formula>$B8=""</formula>
    </cfRule>
  </conditionalFormatting>
  <conditionalFormatting sqref="P8:S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Motivace</vt:lpstr>
      <vt:lpstr>HI</vt:lpstr>
      <vt:lpstr>HI Graf</vt:lpstr>
      <vt:lpstr>Man Tab</vt:lpstr>
      <vt:lpstr>HV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2017-12-28T21:18:08Z</dcterms:modified>
</cp:coreProperties>
</file>