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19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AS20" i="419" l="1"/>
  <c r="AR20" i="419"/>
  <c r="AQ20" i="419"/>
  <c r="AP20" i="419"/>
  <c r="AO20" i="419"/>
  <c r="AN20" i="419"/>
  <c r="AM20" i="419"/>
  <c r="AL20" i="419"/>
  <c r="AK20" i="419"/>
  <c r="AJ20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C20" i="419"/>
  <c r="AS19" i="419"/>
  <c r="AR19" i="419"/>
  <c r="AQ19" i="419"/>
  <c r="AP19" i="419"/>
  <c r="AO19" i="419"/>
  <c r="AN19" i="419"/>
  <c r="AM19" i="419"/>
  <c r="AL19" i="419"/>
  <c r="AK19" i="419"/>
  <c r="AJ19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C19" i="419"/>
  <c r="AS17" i="419"/>
  <c r="AR17" i="419"/>
  <c r="AQ17" i="419"/>
  <c r="AP17" i="419"/>
  <c r="AO17" i="419"/>
  <c r="AN17" i="419"/>
  <c r="AM17" i="419"/>
  <c r="AL17" i="419"/>
  <c r="AK17" i="419"/>
  <c r="AJ17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C17" i="419"/>
  <c r="AS16" i="419"/>
  <c r="AR16" i="419"/>
  <c r="AQ16" i="419"/>
  <c r="AP16" i="419"/>
  <c r="AO16" i="419"/>
  <c r="AN16" i="419"/>
  <c r="AM16" i="419"/>
  <c r="AL16" i="419"/>
  <c r="AK16" i="419"/>
  <c r="AJ16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C16" i="419"/>
  <c r="AS14" i="419"/>
  <c r="AR14" i="419"/>
  <c r="AQ14" i="419"/>
  <c r="AP14" i="419"/>
  <c r="AO14" i="419"/>
  <c r="AN14" i="419"/>
  <c r="AM14" i="419"/>
  <c r="AL14" i="419"/>
  <c r="AK14" i="419"/>
  <c r="AJ14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C14" i="419"/>
  <c r="AS13" i="419"/>
  <c r="AR13" i="419"/>
  <c r="AQ13" i="419"/>
  <c r="AP13" i="419"/>
  <c r="AO13" i="419"/>
  <c r="AN13" i="419"/>
  <c r="AM13" i="419"/>
  <c r="AL13" i="419"/>
  <c r="AK13" i="419"/>
  <c r="AJ13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C13" i="419"/>
  <c r="AS12" i="419"/>
  <c r="AR12" i="419"/>
  <c r="AQ12" i="419"/>
  <c r="AP12" i="419"/>
  <c r="AO12" i="419"/>
  <c r="AN12" i="419"/>
  <c r="AM12" i="419"/>
  <c r="AL12" i="419"/>
  <c r="AK12" i="419"/>
  <c r="AJ12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C12" i="419"/>
  <c r="AS11" i="419"/>
  <c r="AR11" i="419"/>
  <c r="AQ11" i="419"/>
  <c r="AP11" i="419"/>
  <c r="AO11" i="419"/>
  <c r="AN11" i="419"/>
  <c r="AM11" i="419"/>
  <c r="AL11" i="419"/>
  <c r="AK11" i="419"/>
  <c r="AJ11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C11" i="419"/>
  <c r="AS6" i="419"/>
  <c r="AR6" i="419"/>
  <c r="AQ6" i="419"/>
  <c r="AP6" i="419"/>
  <c r="AO6" i="419"/>
  <c r="AN6" i="419"/>
  <c r="AM6" i="419"/>
  <c r="AL6" i="419"/>
  <c r="AK6" i="419"/>
  <c r="AJ6" i="419"/>
  <c r="AI6" i="419"/>
  <c r="AH6" i="419"/>
  <c r="AG6" i="419"/>
  <c r="AF6" i="419"/>
  <c r="AE6" i="419"/>
  <c r="AD6" i="419"/>
  <c r="AC6" i="419"/>
  <c r="AB6" i="419"/>
  <c r="AA6" i="419"/>
  <c r="Z6" i="419"/>
  <c r="Y6" i="419"/>
  <c r="X6" i="419"/>
  <c r="W6" i="419"/>
  <c r="V6" i="419"/>
  <c r="U6" i="419"/>
  <c r="T6" i="419"/>
  <c r="S6" i="419"/>
  <c r="R6" i="419"/>
  <c r="Q6" i="419"/>
  <c r="P6" i="419"/>
  <c r="O6" i="419"/>
  <c r="N6" i="419"/>
  <c r="M6" i="419"/>
  <c r="L6" i="419"/>
  <c r="K6" i="419"/>
  <c r="J6" i="419"/>
  <c r="I6" i="419"/>
  <c r="H6" i="419"/>
  <c r="G6" i="419"/>
  <c r="F6" i="419"/>
  <c r="E6" i="419"/>
  <c r="D6" i="419"/>
  <c r="C6" i="419"/>
  <c r="P18" i="419" l="1"/>
  <c r="AJ18" i="419"/>
  <c r="L18" i="419"/>
  <c r="X18" i="419"/>
  <c r="AF18" i="419"/>
  <c r="AN18" i="419"/>
  <c r="D18" i="419"/>
  <c r="H18" i="419"/>
  <c r="T18" i="419"/>
  <c r="AB18" i="419"/>
  <c r="AR18" i="419"/>
  <c r="I18" i="419"/>
  <c r="Q18" i="419"/>
  <c r="Y18" i="419"/>
  <c r="AG18" i="419"/>
  <c r="AO18" i="419"/>
  <c r="E18" i="419"/>
  <c r="M18" i="419"/>
  <c r="U18" i="419"/>
  <c r="AC18" i="419"/>
  <c r="AK18" i="419"/>
  <c r="AS18" i="419"/>
  <c r="C18" i="419"/>
  <c r="G18" i="419"/>
  <c r="K18" i="419"/>
  <c r="O18" i="419"/>
  <c r="S18" i="419"/>
  <c r="W18" i="419"/>
  <c r="AA18" i="419"/>
  <c r="AE18" i="419"/>
  <c r="AI18" i="419"/>
  <c r="AM18" i="419"/>
  <c r="AQ18" i="419"/>
  <c r="F18" i="419"/>
  <c r="J18" i="419"/>
  <c r="N18" i="419"/>
  <c r="R18" i="419"/>
  <c r="V18" i="419"/>
  <c r="Z18" i="419"/>
  <c r="AD18" i="419"/>
  <c r="AH18" i="419"/>
  <c r="AL18" i="419"/>
  <c r="AP18" i="419"/>
  <c r="E26" i="419"/>
  <c r="E25" i="419"/>
  <c r="F26" i="419"/>
  <c r="F25" i="419"/>
  <c r="D26" i="419"/>
  <c r="D27" i="419" s="1"/>
  <c r="D25" i="419"/>
  <c r="C25" i="419"/>
  <c r="C26" i="419"/>
  <c r="C27" i="419" s="1"/>
  <c r="D28" i="419" l="1"/>
  <c r="C28" i="419"/>
  <c r="B26" i="419"/>
  <c r="E28" i="419"/>
  <c r="E27" i="419" l="1"/>
  <c r="F28" i="419" l="1"/>
  <c r="F27" i="419"/>
  <c r="D18" i="414" l="1"/>
  <c r="E18" i="414" s="1"/>
  <c r="D17" i="414"/>
  <c r="A1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l="1"/>
  <c r="J3" i="344"/>
  <c r="D16" i="414" s="1"/>
  <c r="C11" i="339"/>
  <c r="E17" i="414"/>
  <c r="A18" i="414"/>
  <c r="A17" i="414"/>
  <c r="A16" i="414"/>
  <c r="B25" i="419" l="1"/>
  <c r="B27" i="419" l="1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L23" i="419" l="1"/>
  <c r="P23" i="419"/>
  <c r="T23" i="419"/>
  <c r="AC23" i="419"/>
  <c r="AG23" i="419"/>
  <c r="AK23" i="419"/>
  <c r="P22" i="419"/>
  <c r="AG22" i="419"/>
  <c r="O23" i="419"/>
  <c r="W23" i="419"/>
  <c r="AF23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F23" i="419" l="1"/>
  <c r="C23" i="419"/>
  <c r="H23" i="419"/>
  <c r="F22" i="419"/>
  <c r="G23" i="419"/>
  <c r="D23" i="419"/>
  <c r="I23" i="419"/>
  <c r="B21" i="419"/>
  <c r="B22" i="419" l="1"/>
  <c r="A17" i="383"/>
  <c r="G3" i="429"/>
  <c r="F3" i="429"/>
  <c r="E3" i="429"/>
  <c r="D3" i="429"/>
  <c r="C3" i="429"/>
  <c r="B3" i="429"/>
  <c r="C11" i="340" l="1"/>
  <c r="A11" i="383" l="1"/>
  <c r="B28" i="419" l="1"/>
  <c r="A7" i="339" l="1"/>
  <c r="B6" i="419" l="1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4" i="414"/>
  <c r="D15" i="414"/>
  <c r="D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<sst xmlns="http://schemas.openxmlformats.org/spreadsheetml/2006/main" count="1724" uniqueCount="521">
  <si>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</si>
  <si>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</si>
  <si>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</si>
  <si>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</si>
  <si>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</si>
  <si>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</si>
  <si>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</si>
  <si>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</si>
  <si>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</si>
  <si>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</si>
  <si>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</si>
  <si>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</si>
  <si>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</si>
  <si>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</si>
  <si>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</si>
  <si>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</si>
  <si>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</si>
  <si>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</si>
  <si>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</si>
  <si>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</si>
  <si>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</si>
  <si>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</si>
  <si>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</si>
  <si>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</si>
  <si>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</si>
  <si>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</si>
  <si>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</si>
  <si>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</si>
  <si>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</si>
  <si>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</si>
  <si>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</si>
  <si>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</si>
  <si>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</si>
  <si>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</si>
  <si>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</si>
  <si>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</si>
  <si>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</si>
  <si>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</si>
  <si>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</si>
  <si>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</si>
  <si>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</si>
  <si>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</si>
  <si>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</si>
  <si>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</si>
  <si>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</si>
  <si>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</si>
  <si>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</si>
  <si>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</si>
  <si>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</si>
  <si>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</si>
  <si>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</si>
  <si>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</si>
  <si>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</si>
  <si>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</si>
  <si>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</si>
  <si>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</si>
  <si>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</si>
  <si>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</si>
  <si>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</si>
  <si>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</si>
  <si>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</si>
  <si>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</si>
  <si>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</si>
  <si>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</si>
  <si>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</si>
  <si>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</si>
  <si>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</si>
  <si>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</si>
  <si>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</si>
  <si>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</si>
  <si>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</si>
  <si>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</si>
  <si>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</si>
  <si>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</si>
  <si>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</si>
  <si>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</si>
  <si>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</si>
  <si>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</si>
  <si>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</si>
  <si>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</si>
  <si>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</si>
  <si>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</si>
  <si>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</si>
  <si>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</si>
  <si>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</si>
  <si>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</si>
  <si>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</si>
  <si>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</si>
  <si>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</si>
  <si>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</si>
  <si>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</si>
  <si>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</si>
  <si>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</si>
  <si>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</si>
  <si>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</si>
  <si>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</si>
  <si>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</si>
  <si>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</si>
  <si>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</si>
  <si>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</si>
  <si>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</si>
  <si>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</si>
  <si>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</si>
  <si>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</si>
  <si>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</si>
  <si>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</si>
  <si>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</si>
  <si>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</si>
  <si>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</si>
  <si>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</si>
  <si>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</si>
  <si>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</si>
  <si>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</si>
  <si>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</si>
  <si>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</si>
  <si>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</si>
  <si>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</si>
  <si>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</si>
  <si>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</si>
  <si>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</si>
  <si>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</si>
  <si>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</si>
  <si>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</si>
  <si>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</si>
  <si>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</si>
  <si>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</si>
  <si>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</si>
  <si>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</si>
  <si>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</si>
  <si>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</si>
  <si>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</si>
  <si>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</si>
  <si>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</si>
  <si>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</si>
  <si>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</si>
  <si>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</si>
  <si>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</si>
  <si>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</si>
  <si>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</si>
  <si>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</si>
  <si>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</si>
  <si>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</si>
  <si>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</si>
  <si>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</si>
  <si>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</si>
  <si>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</si>
  <si>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</si>
  <si>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</si>
  <si>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</si>
  <si>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</si>
  <si>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</si>
  <si>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</si>
  <si>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</si>
  <si>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</si>
  <si>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</si>
  <si>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</si>
  <si>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</si>
  <si>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</si>
  <si>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</si>
  <si>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</si>
  <si>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</si>
  <si>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</si>
  <si>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</si>
  <si>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</si>
  <si>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</si>
  <si>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</si>
  <si>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</si>
  <si>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</si>
  <si>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</si>
  <si>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</si>
  <si>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</si>
  <si>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</si>
  <si>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</si>
  <si>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</si>
  <si>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</si>
  <si>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</si>
  <si>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</si>
  <si>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</si>
  <si>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</si>
  <si>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</si>
  <si>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</si>
  <si>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</si>
  <si>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</si>
  <si>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</si>
  <si>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</si>
  <si>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</si>
  <si>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</si>
  <si>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</si>
  <si>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</si>
  <si>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</si>
  <si>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</si>
  <si>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</si>
  <si>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</si>
  <si>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</si>
  <si>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</si>
  <si>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</si>
  <si>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</si>
  <si>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</si>
  <si>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</si>
  <si>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</si>
  <si>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</si>
  <si>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</si>
  <si>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</si>
  <si>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</si>
  <si>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</si>
  <si>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</si>
  <si>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</si>
  <si>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</si>
  <si>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</si>
  <si>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</si>
  <si>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</si>
  <si>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</si>
  <si>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</si>
  <si>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</si>
  <si>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</si>
  <si>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</si>
  <si>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</si>
  <si>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</si>
  <si>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</si>
  <si>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</si>
  <si>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</si>
  <si>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</si>
  <si>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</si>
  <si>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</si>
  <si>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</si>
  <si>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</si>
  <si>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</si>
  <si>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</si>
  <si>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</si>
  <si>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</si>
  <si>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</si>
  <si>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</si>
  <si>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</si>
  <si>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</si>
  <si>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</si>
  <si>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</si>
  <si>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</si>
  <si>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</si>
  <si>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</si>
  <si>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</si>
  <si>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</si>
  <si>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</si>
  <si>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50117     Všeobecný materiál</t>
  </si>
  <si>
    <t>--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</si>
  <si>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</si>
  <si>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</si>
  <si>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</si>
  <si>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</si>
  <si>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</si>
  <si>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</si>
  <si>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</si>
  <si>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</si>
  <si>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51102     Technika a stavby</t>
  </si>
  <si>
    <t>51102021     opravy zdravotnické techniky</t>
  </si>
  <si>
    <t>51808     Revize a smluvní servisy majetku</t>
  </si>
  <si>
    <t>51808008     revize, tech.kontroly, prev.prohl.- OHM</t>
  </si>
  <si>
    <t>55     Odpisy, rezervy, komplexní náklady příštích období  a opravné položky provozních nákladů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</si>
  <si>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</si>
  <si>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</si>
  <si>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</si>
  <si>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</si>
  <si>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</si>
  <si>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</si>
  <si>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</si>
  <si>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</si>
  <si>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</si>
  <si>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</si>
  <si>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</si>
  <si>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</si>
  <si>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</si>
  <si>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</si>
  <si>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</si>
  <si>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</si>
  <si>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</si>
  <si>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</si>
  <si>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</si>
  <si>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</si>
  <si>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</si>
  <si>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79920     VPN - mezistřediskové převody</t>
  </si>
  <si>
    <t>79920001     převody - agregované výkony laboratoří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</si>
  <si>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</si>
  <si>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</si>
  <si>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</si>
  <si>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</si>
  <si>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</si>
  <si>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</si>
  <si>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</si>
  <si>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</si>
  <si>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</si>
  <si>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</si>
  <si>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</si>
  <si>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</si>
  <si>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</si>
  <si>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</si>
  <si>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</si>
  <si>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</si>
  <si>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</si>
  <si>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</si>
  <si>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</si>
  <si>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</si>
  <si>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</si>
  <si>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</si>
  <si>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</si>
  <si>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ZA602</t>
  </si>
  <si>
    <t>Kompresa gáza 5,0 x 5,0 cm/2 ks sterilní karton á 1000 ks 26001</t>
  </si>
  <si>
    <t>ZD740</t>
  </si>
  <si>
    <t>Kompresa gáza sterilkompres 7,5 x 7,5 cm/5 ks sterilní 1325019265(1230119225)</t>
  </si>
  <si>
    <t>ZC854</t>
  </si>
  <si>
    <t>Kompresa NT 7,5 x 7,5 cm/2 ks sterilní 26510</t>
  </si>
  <si>
    <t>ZK760</t>
  </si>
  <si>
    <t>Krytí tegaderm + PAD na i. v. vstupy bal. á 25 ks 9 x 10 cm 3586</t>
  </si>
  <si>
    <t>ZK646</t>
  </si>
  <si>
    <t>Krytí tegaderm CHG 8,5 cm x 11,5 cm na CŽK-antibakt. bal. á 25 ks 1657R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</si>
  <si>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</si>
  <si>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</si>
  <si>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</si>
  <si>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</si>
  <si>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</si>
  <si>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</si>
  <si>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ZF351</t>
  </si>
  <si>
    <t>Náplast transpore bílá 1,25 cm x 9,14 m bal. á 24 ks 1534-0</t>
  </si>
  <si>
    <t>ZA314</t>
  </si>
  <si>
    <t>Obinadlo idealast-haft 8 cm x   4 m 9311113</t>
  </si>
  <si>
    <t>ZN470</t>
  </si>
  <si>
    <t>Obvaz elastický síťový pruban č. 5 ramena, hlava, podpaží 1323300250</t>
  </si>
  <si>
    <t>ZN471</t>
  </si>
  <si>
    <t>Obvaz elastický síťový pruban č. 6 hlava, ramena, stehno 1323300260</t>
  </si>
  <si>
    <t>ZP212</t>
  </si>
  <si>
    <t>Obvaz elastický síťový pruban Tg-fix vel. C paže, noha, loket 25 m 24252</t>
  </si>
  <si>
    <t>ZA615</t>
  </si>
  <si>
    <t>Tampón cavilon 1 ml bal. á 25 ks 3343E</t>
  </si>
  <si>
    <t>ZA593</t>
  </si>
  <si>
    <t>Tampon sterilní stáčený 20 x 20 cm / 5 ks 28003+</t>
  </si>
  <si>
    <t>50115060</t>
  </si>
  <si>
    <t>ZPr - ostatní (Z503)</t>
  </si>
  <si>
    <t>ZA738</t>
  </si>
  <si>
    <t>Filtr mini spike zelený 4550242</t>
  </si>
  <si>
    <t>ZN298</t>
  </si>
  <si>
    <t>Hadička spojovací Gamaplus 1,8 x 1800 LL NO DOP 606304-ND</t>
  </si>
  <si>
    <t>ZN297</t>
  </si>
  <si>
    <t>Hadička spojovací Gamaplus 1,8 x 450 LL NO DOP 606301-ND</t>
  </si>
  <si>
    <t>ZF973</t>
  </si>
  <si>
    <t>Hadička tlaková spojovací unicath 1,5 mm x   25 cm LL na obou koncích male-male bal. á 40 ks PN 1202</t>
  </si>
  <si>
    <t>ZK884</t>
  </si>
  <si>
    <t>Kohout trojcestný discofix modrý 4095111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</si>
  <si>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</si>
  <si>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</si>
  <si>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</si>
  <si>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</si>
  <si>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</si>
  <si>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</si>
  <si>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</si>
  <si>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na sond.Luer NOVÝ 30 ks (je součástí setu) 589732</t>
  </si>
  <si>
    <t>ZP078</t>
  </si>
  <si>
    <t>Kontejner 25 ml PP šroubový sterilní uzávěr 2680/EST/SG</t>
  </si>
  <si>
    <t>ZF159</t>
  </si>
  <si>
    <t>Nádoba na kontaminovaný odpad 1 l 15-0002</t>
  </si>
  <si>
    <t>ZB501</t>
  </si>
  <si>
    <t>Přerušovač sání fingertip sterilní bal. á 100 ks 07.031.00.000</t>
  </si>
  <si>
    <t>ZH546</t>
  </si>
  <si>
    <t>Set flocare infinity pack mobile W/O MP Transition (APA 3227163) pro domácí péči 586484</t>
  </si>
  <si>
    <t>ZN906</t>
  </si>
  <si>
    <t>Set flocare infinity pack transition (APA 3227148) pro nemocniční péči 586513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</si>
  <si>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</si>
  <si>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</si>
  <si>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</si>
  <si>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</si>
  <si>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</si>
  <si>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</si>
  <si>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</si>
  <si>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</si>
  <si>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</si>
  <si>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</si>
  <si>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ZO767</t>
  </si>
  <si>
    <t>Uzávěr dezinfekční SwabCap k bezjehlovému vstupu se 70% IPA bal. á 200 ks EMSCXT3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</si>
  <si>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</si>
  <si>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</si>
  <si>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</si>
  <si>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</si>
  <si>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</si>
  <si>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</si>
  <si>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</si>
  <si>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</si>
  <si>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</si>
  <si>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kangaro univ. pro enterální výživu bal. á 30 ks  S777403</t>
  </si>
  <si>
    <t>Set pro enterální výživu kangaro univ.  á 30 ks  S777403</t>
  </si>
  <si>
    <t>50115065</t>
  </si>
  <si>
    <t>ZPr - vpichovací materiál (Z530)</t>
  </si>
  <si>
    <t>ZB781</t>
  </si>
  <si>
    <t>Jehla cytocan žlutá bal. á 25 ks 4439767</t>
  </si>
  <si>
    <t>ZC634</t>
  </si>
  <si>
    <t>Jehla gripper portacath bez Y protu 22G x 16 mm á 12 ks 21-2737-24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</si>
  <si>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</si>
  <si>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</si>
  <si>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</si>
  <si>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</si>
  <si>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</si>
  <si>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</si>
  <si>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</si>
  <si>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</si>
  <si>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</si>
  <si>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</si>
  <si>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</si>
  <si>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</si>
  <si>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</si>
  <si>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</si>
  <si>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ZK437</t>
  </si>
  <si>
    <t>Rukavice operační latexové s pudrem sempermed classic vel. 6,5 31281</t>
  </si>
  <si>
    <t>ZK439</t>
  </si>
  <si>
    <t>Rukavice operační latexové s pudrem sempermed classic vel. 7,5 31283</t>
  </si>
  <si>
    <t>50115070</t>
  </si>
  <si>
    <t>ZPr - katetry ostatní (Z513)</t>
  </si>
  <si>
    <t>ZA240</t>
  </si>
  <si>
    <t>Katetr broviak 1 lumen 6,6 Fr x 90 cm 0600540CE</t>
  </si>
  <si>
    <t>ZP294</t>
  </si>
  <si>
    <t>Katetr CVC 1 lumen 4 Fr x 50 cm PICC POWERPICC SOLO Full tray set (mikro zaváděcí příslušenství a rouškování) 6194108</t>
  </si>
  <si>
    <t>ZP296</t>
  </si>
  <si>
    <t>Katetr CVC 2 lumen 5 Fr x 50 cm PICC POWERPICC SOLO Full tray set ( mikro zaváděcí příslušenství a rouškování) 6295108</t>
  </si>
  <si>
    <t>Spotřeba zdravotnického materiálu - orientační přehled</t>
  </si>
  <si>
    <t>Specializovaná ambulantní péče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</si>
  <si>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</si>
  <si>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</si>
  <si>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</si>
  <si>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</si>
  <si>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</si>
  <si>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</si>
  <si>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</si>
  <si>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</si>
  <si>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</si>
  <si>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</si>
  <si>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</si>
  <si>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</si>
  <si>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</si>
  <si>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Carbolová Jaroslava</t>
  </si>
  <si>
    <t>Ehrmann Jiří</t>
  </si>
  <si>
    <t>Gregar Jan</t>
  </si>
  <si>
    <t>Homolová Zuzana</t>
  </si>
  <si>
    <t>Hrabalová Monika</t>
  </si>
  <si>
    <t>Karásková Eva</t>
  </si>
  <si>
    <t>Konečný Michal</t>
  </si>
  <si>
    <t>Koudelková Gabriela</t>
  </si>
  <si>
    <t>Navrátil Vít</t>
  </si>
  <si>
    <t>Procházka Vlastimil</t>
  </si>
  <si>
    <t>Sovová Markéta</t>
  </si>
  <si>
    <t>Sychra Pavel</t>
  </si>
  <si>
    <t>Vrzalová Drahomíra</t>
  </si>
  <si>
    <t>Zarivnijová Lea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</si>
  <si>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</si>
  <si>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</si>
  <si>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</si>
  <si>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</si>
  <si>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</si>
  <si>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0107298</t>
  </si>
  <si>
    <t>0,9% SODIUM CHLORIDE IN WATER FOR INJECTION FRESEN</t>
  </si>
  <si>
    <t>0155379</t>
  </si>
  <si>
    <t>FERINJECT</t>
  </si>
  <si>
    <t>V</t>
  </si>
  <si>
    <t>09220</t>
  </si>
  <si>
    <t>KANYLACE PERIFERNÍ ŽÍLY VČETNĚ INFÚZE</t>
  </si>
  <si>
    <t>09511</t>
  </si>
  <si>
    <t>MINIMÁLNÍ KONTAKT LÉKAŘE S PACIENTEM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</si>
  <si>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</si>
  <si>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</si>
  <si>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</si>
  <si>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</si>
  <si>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</si>
  <si>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</si>
  <si>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</si>
  <si>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</si>
  <si>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</si>
  <si>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</si>
  <si>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</si>
  <si>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</si>
  <si>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</si>
  <si>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</si>
  <si>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</si>
  <si>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</si>
  <si>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</si>
  <si>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</si>
  <si>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</si>
  <si>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</si>
  <si>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</si>
  <si>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</si>
  <si>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</si>
  <si>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</si>
  <si>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</si>
  <si>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</si>
  <si>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</si>
  <si>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</si>
  <si>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</si>
  <si>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</si>
  <si>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</si>
  <si>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</si>
  <si>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</si>
  <si>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</si>
  <si>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</si>
  <si>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</si>
  <si>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</si>
  <si>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</si>
  <si>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</si>
  <si>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</si>
  <si>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</si>
  <si>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</si>
  <si>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</si>
  <si>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</si>
  <si>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21 - Onkologická klinika</t>
  </si>
  <si>
    <t>25 - Klinika ústní,čelistní a obličejové chirurgie</t>
  </si>
  <si>
    <t>31 - Traumatologické oddělení</t>
  </si>
  <si>
    <t>01</t>
  </si>
  <si>
    <t>02</t>
  </si>
  <si>
    <t>03</t>
  </si>
  <si>
    <t>04</t>
  </si>
  <si>
    <t>11</t>
  </si>
  <si>
    <t>12</t>
  </si>
  <si>
    <t>13</t>
  </si>
  <si>
    <t>16</t>
  </si>
  <si>
    <t>17</t>
  </si>
  <si>
    <t>21</t>
  </si>
  <si>
    <t>25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</si>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</sst>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6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3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3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9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0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1" xfId="0" applyNumberFormat="1" applyFont="1" applyFill="1" applyBorder="1"/>
    <xf numFmtId="0" fontId="50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50" fillId="4" borderId="48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5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3" xfId="0" applyNumberFormat="1" applyFont="1" applyFill="1" applyBorder="1" applyAlignment="1"/>
    <xf numFmtId="9" fontId="32" fillId="0" borderId="43" xfId="0" applyNumberFormat="1" applyFont="1" applyFill="1" applyBorder="1" applyAlignment="1"/>
    <xf numFmtId="3" fontId="32" fillId="0" borderId="0" xfId="0" applyNumberFormat="1" applyFont="1" applyFill="1" applyBorder="1" applyAlignment="1"/>
    <xf numFmtId="0" fontId="53" fillId="0" borderId="0" xfId="1" applyFont="1" applyFill="1"/>
    <xf numFmtId="3" fontId="52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5" xfId="0" applyNumberFormat="1" applyFont="1" applyFill="1" applyBorder="1" applyAlignment="1">
      <alignment horizontal="center" vertical="center" wrapText="1"/>
    </xf>
    <xf numFmtId="0" fontId="54" fillId="2" borderId="66" xfId="0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3" fontId="39" fillId="2" borderId="85" xfId="0" applyNumberFormat="1" applyFont="1" applyFill="1" applyBorder="1" applyAlignment="1">
      <alignment horizontal="center" vertical="center"/>
    </xf>
    <xf numFmtId="3" fontId="54" fillId="2" borderId="83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1" xfId="0" applyNumberFormat="1" applyFont="1" applyBorder="1"/>
    <xf numFmtId="173" fontId="32" fillId="0" borderId="75" xfId="0" applyNumberFormat="1" applyFont="1" applyBorder="1"/>
    <xf numFmtId="173" fontId="32" fillId="0" borderId="73" xfId="0" applyNumberFormat="1" applyFont="1" applyBorder="1"/>
    <xf numFmtId="173" fontId="32" fillId="0" borderId="74" xfId="0" applyNumberFormat="1" applyFont="1" applyBorder="1"/>
    <xf numFmtId="173" fontId="39" fillId="0" borderId="82" xfId="0" applyNumberFormat="1" applyFont="1" applyBorder="1"/>
    <xf numFmtId="173" fontId="32" fillId="0" borderId="83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2" borderId="84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7" xfId="0" applyNumberFormat="1" applyFont="1" applyBorder="1"/>
    <xf numFmtId="173" fontId="32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4" fontId="39" fillId="2" borderId="69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5" xfId="0" applyNumberFormat="1" applyFont="1" applyBorder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89" xfId="74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3" xfId="1" applyFill="1" applyBorder="1" applyAlignment="1">
      <alignment horizontal="left" indent="4"/>
    </xf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2" fillId="0" borderId="75" xfId="0" applyNumberFormat="1" applyFont="1" applyBorder="1"/>
    <xf numFmtId="9" fontId="32" fillId="0" borderId="73" xfId="0" applyNumberFormat="1" applyFont="1" applyBorder="1"/>
    <xf numFmtId="9" fontId="32" fillId="0" borderId="74" xfId="0" applyNumberFormat="1" applyFont="1" applyBorder="1"/>
    <xf numFmtId="0" fontId="54" fillId="2" borderId="83" xfId="0" applyFont="1" applyFill="1" applyBorder="1" applyAlignment="1">
      <alignment horizontal="center" vertical="center" wrapText="1"/>
    </xf>
    <xf numFmtId="174" fontId="32" fillId="2" borderId="85" xfId="0" applyNumberFormat="1" applyFont="1" applyFill="1" applyBorder="1" applyAlignment="1"/>
    <xf numFmtId="173" fontId="39" fillId="4" borderId="85" xfId="0" applyNumberFormat="1" applyFont="1" applyFill="1" applyBorder="1" applyAlignment="1"/>
    <xf numFmtId="173" fontId="39" fillId="2" borderId="85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3" xfId="1" applyFill="1" applyBorder="1" applyAlignment="1">
      <alignment horizontal="left" indent="2"/>
    </xf>
    <xf numFmtId="0" fontId="32" fillId="0" borderId="72" xfId="0" applyFont="1" applyBorder="1"/>
    <xf numFmtId="0" fontId="31" fillId="2" borderId="60" xfId="0" applyFont="1" applyFill="1" applyBorder="1" applyAlignment="1">
      <alignment horizontal="center" vertical="top" wrapText="1"/>
    </xf>
    <xf numFmtId="0" fontId="25" fillId="6" borderId="3" xfId="1" applyFill="1" applyBorder="1"/>
    <xf numFmtId="0" fontId="31" fillId="2" borderId="3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3" fontId="39" fillId="2" borderId="63" xfId="0" applyNumberFormat="1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2" xfId="78" applyFont="1" applyFill="1" applyBorder="1" applyAlignment="1"/>
    <xf numFmtId="3" fontId="39" fillId="0" borderId="19" xfId="0" applyNumberFormat="1" applyFont="1" applyFill="1" applyBorder="1" applyAlignment="1"/>
    <xf numFmtId="0" fontId="39" fillId="2" borderId="17" xfId="0" applyFont="1" applyFill="1" applyBorder="1" applyAlignment="1">
      <alignment horizontal="right"/>
    </xf>
    <xf numFmtId="173" fontId="32" fillId="0" borderId="92" xfId="0" applyNumberFormat="1" applyFont="1" applyBorder="1"/>
    <xf numFmtId="173" fontId="32" fillId="0" borderId="93" xfId="0" applyNumberFormat="1" applyFont="1" applyBorder="1"/>
    <xf numFmtId="3" fontId="32" fillId="0" borderId="0" xfId="0" applyNumberFormat="1" applyFont="1" applyBorder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2" fillId="0" borderId="74" xfId="0" applyNumberFormat="1" applyFont="1" applyBorder="1" applyAlignment="1"/>
    <xf numFmtId="175" fontId="32" fillId="0" borderId="72" xfId="0" applyNumberFormat="1" applyFont="1" applyBorder="1" applyAlignment="1"/>
    <xf numFmtId="175" fontId="32" fillId="0" borderId="73" xfId="0" applyNumberFormat="1" applyFont="1" applyBorder="1" applyAlignment="1"/>
    <xf numFmtId="175" fontId="32" fillId="0" borderId="74" xfId="0" applyNumberFormat="1" applyFont="1" applyBorder="1" applyAlignment="1"/>
    <xf numFmtId="173" fontId="32" fillId="0" borderId="65" xfId="0" applyNumberFormat="1" applyFont="1" applyBorder="1" applyAlignment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91" xfId="0" applyNumberFormat="1" applyFont="1" applyBorder="1"/>
    <xf numFmtId="173" fontId="32" fillId="0" borderId="94" xfId="0" applyNumberFormat="1" applyFont="1" applyBorder="1"/>
    <xf numFmtId="9" fontId="32" fillId="0" borderId="70" xfId="0" applyNumberFormat="1" applyFont="1" applyBorder="1"/>
    <xf numFmtId="173" fontId="32" fillId="0" borderId="81" xfId="0" applyNumberFormat="1" applyFont="1" applyBorder="1"/>
    <xf numFmtId="0" fontId="0" fillId="0" borderId="1" xfId="0" applyBorder="1" applyAlignment="1"/>
    <xf numFmtId="173" fontId="39" fillId="0" borderId="17" xfId="0" applyNumberFormat="1" applyFont="1" applyBorder="1"/>
    <xf numFmtId="173" fontId="39" fillId="0" borderId="27" xfId="0" applyNumberFormat="1" applyFont="1" applyBorder="1"/>
    <xf numFmtId="173" fontId="39" fillId="0" borderId="26" xfId="0" applyNumberFormat="1" applyFont="1" applyBorder="1"/>
    <xf numFmtId="173" fontId="39" fillId="0" borderId="19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1" xfId="80" applyFont="1" applyFill="1" applyBorder="1" applyAlignment="1">
      <alignment horizontal="center"/>
    </xf>
    <xf numFmtId="0" fontId="31" fillId="2" borderId="42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7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1" xfId="14" applyNumberFormat="1" applyFont="1" applyFill="1" applyBorder="1" applyAlignment="1"/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1" xfId="26" applyNumberFormat="1" applyFont="1" applyFill="1" applyBorder="1" applyAlignment="1">
      <alignment horizontal="center"/>
    </xf>
    <xf numFmtId="0" fontId="31" fillId="2" borderId="29" xfId="0" applyFont="1" applyFill="1" applyBorder="1" applyAlignment="1">
      <alignment horizontal="center" vertical="top" wrapText="1"/>
    </xf>
    <xf numFmtId="3" fontId="31" fillId="2" borderId="44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4" xfId="0" applyFont="1" applyFill="1" applyBorder="1" applyAlignment="1">
      <alignment horizontal="center"/>
    </xf>
    <xf numFmtId="9" fontId="44" fillId="2" borderId="44" xfId="0" applyNumberFormat="1" applyFont="1" applyFill="1" applyBorder="1" applyAlignment="1">
      <alignment horizontal="center" vertical="top"/>
    </xf>
    <xf numFmtId="0" fontId="31" fillId="2" borderId="60" xfId="0" applyNumberFormat="1" applyFont="1" applyFill="1" applyBorder="1" applyAlignment="1">
      <alignment horizontal="center" vertical="top"/>
    </xf>
    <xf numFmtId="0" fontId="31" fillId="2" borderId="60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4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4" fillId="2" borderId="44" xfId="0" applyNumberFormat="1" applyFont="1" applyFill="1" applyBorder="1" applyAlignment="1">
      <alignment horizontal="center" vertical="top"/>
    </xf>
    <xf numFmtId="3" fontId="33" fillId="7" borderId="96" xfId="0" applyNumberFormat="1" applyFont="1" applyFill="1" applyBorder="1" applyAlignment="1">
      <alignment horizontal="right" vertical="top"/>
    </xf>
    <xf numFmtId="3" fontId="33" fillId="7" borderId="97" xfId="0" applyNumberFormat="1" applyFont="1" applyFill="1" applyBorder="1" applyAlignment="1">
      <alignment horizontal="right" vertical="top"/>
    </xf>
    <xf numFmtId="176" fontId="33" fillId="7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6" fontId="33" fillId="7" borderId="99" xfId="0" applyNumberFormat="1" applyFont="1" applyFill="1" applyBorder="1" applyAlignment="1">
      <alignment horizontal="right" vertical="top"/>
    </xf>
    <xf numFmtId="3" fontId="35" fillId="7" borderId="101" xfId="0" applyNumberFormat="1" applyFont="1" applyFill="1" applyBorder="1" applyAlignment="1">
      <alignment horizontal="right" vertical="top"/>
    </xf>
    <xf numFmtId="3" fontId="35" fillId="7" borderId="102" xfId="0" applyNumberFormat="1" applyFont="1" applyFill="1" applyBorder="1" applyAlignment="1">
      <alignment horizontal="right" vertical="top"/>
    </xf>
    <xf numFmtId="0" fontId="35" fillId="7" borderId="103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7" borderId="104" xfId="0" applyFont="1" applyFill="1" applyBorder="1" applyAlignment="1">
      <alignment horizontal="right" vertical="top"/>
    </xf>
    <xf numFmtId="0" fontId="33" fillId="7" borderId="98" xfId="0" applyFont="1" applyFill="1" applyBorder="1" applyAlignment="1">
      <alignment horizontal="right" vertical="top"/>
    </xf>
    <xf numFmtId="0" fontId="33" fillId="7" borderId="99" xfId="0" applyFont="1" applyFill="1" applyBorder="1" applyAlignment="1">
      <alignment horizontal="right" vertical="top"/>
    </xf>
    <xf numFmtId="176" fontId="35" fillId="7" borderId="103" xfId="0" applyNumberFormat="1" applyFont="1" applyFill="1" applyBorder="1" applyAlignment="1">
      <alignment horizontal="right" vertical="top"/>
    </xf>
    <xf numFmtId="176" fontId="35" fillId="7" borderId="104" xfId="0" applyNumberFormat="1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0" borderId="107" xfId="0" applyFont="1" applyBorder="1" applyAlignment="1">
      <alignment horizontal="right" vertical="top"/>
    </xf>
    <xf numFmtId="176" fontId="35" fillId="7" borderId="108" xfId="0" applyNumberFormat="1" applyFont="1" applyFill="1" applyBorder="1" applyAlignment="1">
      <alignment horizontal="right" vertical="top"/>
    </xf>
    <xf numFmtId="0" fontId="37" fillId="8" borderId="95" xfId="0" applyFont="1" applyFill="1" applyBorder="1" applyAlignment="1">
      <alignment vertical="top"/>
    </xf>
    <xf numFmtId="0" fontId="37" fillId="8" borderId="95" xfId="0" applyFont="1" applyFill="1" applyBorder="1" applyAlignment="1">
      <alignment vertical="top" indent="2"/>
    </xf>
    <xf numFmtId="0" fontId="37" fillId="8" borderId="95" xfId="0" applyFont="1" applyFill="1" applyBorder="1" applyAlignment="1">
      <alignment vertical="top" indent="4"/>
    </xf>
    <xf numFmtId="0" fontId="38" fillId="8" borderId="100" xfId="0" applyFont="1" applyFill="1" applyBorder="1" applyAlignment="1">
      <alignment vertical="top" indent="6"/>
    </xf>
    <xf numFmtId="0" fontId="37" fillId="8" borderId="95" xfId="0" applyFont="1" applyFill="1" applyBorder="1" applyAlignment="1">
      <alignment vertical="top" indent="8"/>
    </xf>
    <xf numFmtId="0" fontId="38" fillId="8" borderId="100" xfId="0" applyFont="1" applyFill="1" applyBorder="1" applyAlignment="1">
      <alignment vertical="top" indent="2"/>
    </xf>
    <xf numFmtId="0" fontId="37" fillId="8" borderId="95" xfId="0" applyFont="1" applyFill="1" applyBorder="1" applyAlignment="1">
      <alignment vertical="top" indent="6"/>
    </xf>
    <xf numFmtId="0" fontId="38" fillId="8" borderId="100" xfId="0" applyFont="1" applyFill="1" applyBorder="1" applyAlignment="1">
      <alignment vertical="top" indent="4"/>
    </xf>
    <xf numFmtId="0" fontId="32" fillId="8" borderId="95" xfId="0" applyFont="1" applyFill="1" applyBorder="1"/>
    <xf numFmtId="0" fontId="38" fillId="8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5" xfId="26" applyNumberFormat="1" applyFont="1" applyFill="1" applyBorder="1" applyAlignment="1">
      <alignment horizontal="right"/>
    </xf>
    <xf numFmtId="0" fontId="58" fillId="4" borderId="62" xfId="0" applyFont="1" applyFill="1" applyBorder="1" applyAlignment="1">
      <alignment horizontal="left"/>
    </xf>
    <xf numFmtId="169" fontId="58" fillId="4" borderId="63" xfId="0" applyNumberFormat="1" applyFont="1" applyFill="1" applyBorder="1"/>
    <xf numFmtId="9" fontId="58" fillId="4" borderId="63" xfId="0" applyNumberFormat="1" applyFont="1" applyFill="1" applyBorder="1"/>
    <xf numFmtId="9" fontId="58" fillId="4" borderId="64" xfId="0" applyNumberFormat="1" applyFont="1" applyFill="1" applyBorder="1"/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169" fontId="0" fillId="0" borderId="66" xfId="0" applyNumberFormat="1" applyBorder="1"/>
    <xf numFmtId="9" fontId="0" fillId="0" borderId="66" xfId="0" applyNumberFormat="1" applyBorder="1"/>
    <xf numFmtId="9" fontId="0" fillId="0" borderId="67" xfId="0" applyNumberFormat="1" applyBorder="1"/>
    <xf numFmtId="0" fontId="58" fillId="0" borderId="72" xfId="0" applyFont="1" applyBorder="1" applyAlignment="1">
      <alignment horizontal="left" indent="1"/>
    </xf>
    <xf numFmtId="0" fontId="58" fillId="0" borderId="65" xfId="0" applyFont="1" applyBorder="1" applyAlignment="1">
      <alignment horizontal="left" indent="1"/>
    </xf>
    <xf numFmtId="0" fontId="58" fillId="4" borderId="72" xfId="0" applyFont="1" applyFill="1" applyBorder="1" applyAlignment="1">
      <alignment horizontal="left"/>
    </xf>
    <xf numFmtId="169" fontId="58" fillId="4" borderId="73" xfId="0" applyNumberFormat="1" applyFont="1" applyFill="1" applyBorder="1"/>
    <xf numFmtId="9" fontId="58" fillId="4" borderId="73" xfId="0" applyNumberFormat="1" applyFont="1" applyFill="1" applyBorder="1"/>
    <xf numFmtId="9" fontId="58" fillId="4" borderId="74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5" xfId="26" applyNumberFormat="1" applyFont="1" applyFill="1" applyBorder="1"/>
    <xf numFmtId="169" fontId="32" fillId="0" borderId="63" xfId="0" applyNumberFormat="1" applyFont="1" applyFill="1" applyBorder="1"/>
    <xf numFmtId="169" fontId="32" fillId="0" borderId="64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63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0" fontId="31" fillId="2" borderId="30" xfId="0" applyFont="1" applyFill="1" applyBorder="1" applyAlignment="1">
      <alignment horizontal="center" vertical="top" wrapText="1"/>
    </xf>
    <xf numFmtId="0" fontId="31" fillId="2" borderId="15" xfId="26" applyNumberFormat="1" applyFont="1" applyFill="1" applyBorder="1" applyAlignment="1">
      <alignment horizontal="right"/>
    </xf>
    <xf numFmtId="9" fontId="32" fillId="0" borderId="64" xfId="0" applyNumberFormat="1" applyFont="1" applyFill="1" applyBorder="1"/>
    <xf numFmtId="9" fontId="32" fillId="0" borderId="74" xfId="0" applyNumberFormat="1" applyFont="1" applyFill="1" applyBorder="1"/>
    <xf numFmtId="9" fontId="32" fillId="0" borderId="67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firstColumnStripe" dxfId="4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2.5138676654716621</c:v>
                </c:pt>
                <c:pt idx="1">
                  <c:v>3.3809966448100899</c:v>
                </c:pt>
                <c:pt idx="2">
                  <c:v>3.0337717645853077</c:v>
                </c:pt>
                <c:pt idx="3">
                  <c:v>2.9567428304850933</c:v>
                </c:pt>
                <c:pt idx="4">
                  <c:v>2.8448351808538788</c:v>
                </c:pt>
                <c:pt idx="5">
                  <c:v>2.3181183084978265</c:v>
                </c:pt>
                <c:pt idx="6">
                  <c:v>2.2734916414997457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37606336"/>
        <c:axId val="-18376079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1.0004322906305552</c:v>
                </c:pt>
                <c:pt idx="1">
                  <c:v>1.0004322906305552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37616128"/>
        <c:axId val="-1837618848"/>
      </c:scatterChart>
      <c:catAx>
        <c:axId val="-183760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376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37607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37606336"/>
        <c:crosses val="autoZero"/>
        <c:crossBetween val="between"/>
      </c:valAx>
      <c:valAx>
        <c:axId val="-1837616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37618848"/>
        <c:crosses val="max"/>
        <c:crossBetween val="midCat"/>
      </c:valAx>
      <c:valAx>
        <c:axId val="-1837618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8376161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24" t="s">
        <v>89</v>
      </c>
      <c r="B1" s="324"/>
    </row>
    <row r="2" spans="1:3" ht="14.4" customHeight="1" thickBot="1" x14ac:dyDescent="0.35">
      <c r="A2" s="198" t="s">
        <v>227</v>
      </c>
      <c r="B2" s="41"/>
    </row>
    <row r="3" spans="1:3" ht="14.4" customHeight="1" thickBot="1" x14ac:dyDescent="0.35">
      <c r="A3" s="320" t="s">
        <v>109</v>
      </c>
      <c r="B3" s="321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229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22" t="s">
        <v>90</v>
      </c>
      <c r="B10" s="321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418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323" t="s">
        <v>91</v>
      </c>
      <c r="B15" s="321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423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448</v>
      </c>
      <c r="C17" s="42" t="s">
        <v>179</v>
      </c>
    </row>
    <row r="18" spans="1:3" ht="14.4" customHeight="1" x14ac:dyDescent="0.3">
      <c r="A18" s="119" t="str">
        <f t="shared" si="3"/>
        <v>ZV Vykáz.-A Detail</v>
      </c>
      <c r="B18" s="66" t="s">
        <v>494</v>
      </c>
      <c r="C18" s="42" t="s">
        <v>101</v>
      </c>
    </row>
    <row r="19" spans="1:3" ht="14.4" customHeight="1" x14ac:dyDescent="0.3">
      <c r="A19" s="287" t="str">
        <f>HYPERLINK("#'"&amp;C19&amp;"'!A1",C19)</f>
        <v>ZV Vykáz.-A Det.Lék.</v>
      </c>
      <c r="B19" s="66" t="s">
        <v>495</v>
      </c>
      <c r="C19" s="42" t="s">
        <v>215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520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63" t="s">
        <v>423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</row>
    <row r="2" spans="1:28" ht="14.4" customHeight="1" thickBot="1" x14ac:dyDescent="0.35">
      <c r="A2" s="198" t="s">
        <v>227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869935.66</v>
      </c>
      <c r="C3" s="189">
        <f t="shared" ref="C3:Z3" si="0">SUBTOTAL(9,C6:C1048576)</f>
        <v>10</v>
      </c>
      <c r="D3" s="189"/>
      <c r="E3" s="189">
        <f>SUBTOTAL(9,E6:E1048576)/4</f>
        <v>597867.67000000004</v>
      </c>
      <c r="F3" s="189"/>
      <c r="G3" s="189">
        <f t="shared" si="0"/>
        <v>5</v>
      </c>
      <c r="H3" s="189">
        <f>SUBTOTAL(9,H6:H1048576)/4</f>
        <v>1367822.6600000001</v>
      </c>
      <c r="I3" s="192">
        <f>IF(B3&lt;&gt;0,H3/B3,"")</f>
        <v>1.5723262338734338</v>
      </c>
      <c r="J3" s="190">
        <f>IF(E3&lt;&gt;0,H3/E3,"")</f>
        <v>2.287835132480069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2249.98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64" t="s">
        <v>181</v>
      </c>
      <c r="B4" s="365" t="s">
        <v>80</v>
      </c>
      <c r="C4" s="366"/>
      <c r="D4" s="367"/>
      <c r="E4" s="366"/>
      <c r="F4" s="367"/>
      <c r="G4" s="366"/>
      <c r="H4" s="366"/>
      <c r="I4" s="367"/>
      <c r="J4" s="368"/>
      <c r="K4" s="365" t="s">
        <v>81</v>
      </c>
      <c r="L4" s="367"/>
      <c r="M4" s="366"/>
      <c r="N4" s="366"/>
      <c r="O4" s="367"/>
      <c r="P4" s="366"/>
      <c r="Q4" s="366"/>
      <c r="R4" s="367"/>
      <c r="S4" s="368"/>
      <c r="T4" s="365" t="s">
        <v>82</v>
      </c>
      <c r="U4" s="367"/>
      <c r="V4" s="366"/>
      <c r="W4" s="366"/>
      <c r="X4" s="367"/>
      <c r="Y4" s="366"/>
      <c r="Z4" s="366"/>
      <c r="AA4" s="367"/>
      <c r="AB4" s="368"/>
    </row>
    <row r="5" spans="1:28" ht="14.4" customHeight="1" thickBot="1" x14ac:dyDescent="0.35">
      <c r="A5" s="440"/>
      <c r="B5" s="441">
        <v>2015</v>
      </c>
      <c r="C5" s="442"/>
      <c r="D5" s="442"/>
      <c r="E5" s="442">
        <v>2016</v>
      </c>
      <c r="F5" s="442"/>
      <c r="G5" s="442"/>
      <c r="H5" s="442">
        <v>2017</v>
      </c>
      <c r="I5" s="443" t="s">
        <v>213</v>
      </c>
      <c r="J5" s="444" t="s">
        <v>2</v>
      </c>
      <c r="K5" s="441">
        <v>2015</v>
      </c>
      <c r="L5" s="442"/>
      <c r="M5" s="442"/>
      <c r="N5" s="442">
        <v>2016</v>
      </c>
      <c r="O5" s="442"/>
      <c r="P5" s="442"/>
      <c r="Q5" s="442">
        <v>2017</v>
      </c>
      <c r="R5" s="443" t="s">
        <v>213</v>
      </c>
      <c r="S5" s="444" t="s">
        <v>2</v>
      </c>
      <c r="T5" s="441">
        <v>2015</v>
      </c>
      <c r="U5" s="442"/>
      <c r="V5" s="442"/>
      <c r="W5" s="442">
        <v>2016</v>
      </c>
      <c r="X5" s="442"/>
      <c r="Y5" s="442"/>
      <c r="Z5" s="442">
        <v>2017</v>
      </c>
      <c r="AA5" s="443" t="s">
        <v>213</v>
      </c>
      <c r="AB5" s="444" t="s">
        <v>2</v>
      </c>
    </row>
    <row r="6" spans="1:28" ht="14.4" customHeight="1" x14ac:dyDescent="0.3">
      <c r="A6" s="445" t="s">
        <v>419</v>
      </c>
      <c r="B6" s="446">
        <v>869935.65999999992</v>
      </c>
      <c r="C6" s="447">
        <v>1</v>
      </c>
      <c r="D6" s="447">
        <v>1.455063893988447</v>
      </c>
      <c r="E6" s="446">
        <v>597867.67000000004</v>
      </c>
      <c r="F6" s="447">
        <v>0.68725504366610302</v>
      </c>
      <c r="G6" s="447">
        <v>1</v>
      </c>
      <c r="H6" s="446">
        <v>1367822.6600000001</v>
      </c>
      <c r="I6" s="447">
        <v>1.5723262338734341</v>
      </c>
      <c r="J6" s="447">
        <v>2.287835132480069</v>
      </c>
      <c r="K6" s="446"/>
      <c r="L6" s="447"/>
      <c r="M6" s="447"/>
      <c r="N6" s="446"/>
      <c r="O6" s="447"/>
      <c r="P6" s="447"/>
      <c r="Q6" s="446">
        <v>1124.99</v>
      </c>
      <c r="R6" s="447"/>
      <c r="S6" s="447"/>
      <c r="T6" s="446"/>
      <c r="U6" s="447"/>
      <c r="V6" s="447"/>
      <c r="W6" s="446"/>
      <c r="X6" s="447"/>
      <c r="Y6" s="447"/>
      <c r="Z6" s="446"/>
      <c r="AA6" s="447"/>
      <c r="AB6" s="448"/>
    </row>
    <row r="7" spans="1:28" ht="14.4" customHeight="1" x14ac:dyDescent="0.3">
      <c r="A7" s="455" t="s">
        <v>420</v>
      </c>
      <c r="B7" s="449">
        <v>434487.66</v>
      </c>
      <c r="C7" s="450">
        <v>1</v>
      </c>
      <c r="D7" s="450">
        <v>0.72703403671788458</v>
      </c>
      <c r="E7" s="449">
        <v>597616.67000000004</v>
      </c>
      <c r="F7" s="450">
        <v>1.3754514224868897</v>
      </c>
      <c r="G7" s="450">
        <v>1</v>
      </c>
      <c r="H7" s="449">
        <v>1367822.6600000001</v>
      </c>
      <c r="I7" s="450">
        <v>3.1481277512001151</v>
      </c>
      <c r="J7" s="450">
        <v>2.2887960270586163</v>
      </c>
      <c r="K7" s="449"/>
      <c r="L7" s="450"/>
      <c r="M7" s="450"/>
      <c r="N7" s="449"/>
      <c r="O7" s="450"/>
      <c r="P7" s="450"/>
      <c r="Q7" s="449">
        <v>1124.99</v>
      </c>
      <c r="R7" s="450"/>
      <c r="S7" s="450"/>
      <c r="T7" s="449"/>
      <c r="U7" s="450"/>
      <c r="V7" s="450"/>
      <c r="W7" s="449"/>
      <c r="X7" s="450"/>
      <c r="Y7" s="450"/>
      <c r="Z7" s="449"/>
      <c r="AA7" s="450"/>
      <c r="AB7" s="451"/>
    </row>
    <row r="8" spans="1:28" ht="14.4" customHeight="1" x14ac:dyDescent="0.3">
      <c r="A8" s="455" t="s">
        <v>421</v>
      </c>
      <c r="B8" s="449">
        <v>1410</v>
      </c>
      <c r="C8" s="450">
        <v>1</v>
      </c>
      <c r="D8" s="450">
        <v>5.617529880478088</v>
      </c>
      <c r="E8" s="449">
        <v>251</v>
      </c>
      <c r="F8" s="450">
        <v>0.17801418439716313</v>
      </c>
      <c r="G8" s="450">
        <v>1</v>
      </c>
      <c r="H8" s="449"/>
      <c r="I8" s="450"/>
      <c r="J8" s="450"/>
      <c r="K8" s="449"/>
      <c r="L8" s="450"/>
      <c r="M8" s="450"/>
      <c r="N8" s="449"/>
      <c r="O8" s="450"/>
      <c r="P8" s="450"/>
      <c r="Q8" s="449"/>
      <c r="R8" s="450"/>
      <c r="S8" s="450"/>
      <c r="T8" s="449"/>
      <c r="U8" s="450"/>
      <c r="V8" s="450"/>
      <c r="W8" s="449"/>
      <c r="X8" s="450"/>
      <c r="Y8" s="450"/>
      <c r="Z8" s="449"/>
      <c r="AA8" s="450"/>
      <c r="AB8" s="451"/>
    </row>
    <row r="9" spans="1:28" ht="14.4" customHeight="1" thickBot="1" x14ac:dyDescent="0.35">
      <c r="A9" s="456" t="s">
        <v>422</v>
      </c>
      <c r="B9" s="452">
        <v>434038</v>
      </c>
      <c r="C9" s="453">
        <v>1</v>
      </c>
      <c r="D9" s="453"/>
      <c r="E9" s="452"/>
      <c r="F9" s="453"/>
      <c r="G9" s="453"/>
      <c r="H9" s="452"/>
      <c r="I9" s="453"/>
      <c r="J9" s="453"/>
      <c r="K9" s="452"/>
      <c r="L9" s="453"/>
      <c r="M9" s="453"/>
      <c r="N9" s="452"/>
      <c r="O9" s="453"/>
      <c r="P9" s="453"/>
      <c r="Q9" s="452"/>
      <c r="R9" s="453"/>
      <c r="S9" s="453"/>
      <c r="T9" s="452"/>
      <c r="U9" s="453"/>
      <c r="V9" s="453"/>
      <c r="W9" s="452"/>
      <c r="X9" s="453"/>
      <c r="Y9" s="453"/>
      <c r="Z9" s="452"/>
      <c r="AA9" s="453"/>
      <c r="AB9" s="454"/>
    </row>
    <row r="10" spans="1:28" ht="14.4" customHeight="1" thickBot="1" x14ac:dyDescent="0.35"/>
    <row r="11" spans="1:28" ht="14.4" customHeight="1" x14ac:dyDescent="0.3">
      <c r="A11" s="445" t="s">
        <v>285</v>
      </c>
      <c r="B11" s="446">
        <v>434038</v>
      </c>
      <c r="C11" s="447">
        <v>1</v>
      </c>
      <c r="D11" s="447"/>
      <c r="E11" s="446"/>
      <c r="F11" s="447"/>
      <c r="G11" s="447"/>
      <c r="H11" s="446"/>
      <c r="I11" s="447"/>
      <c r="J11" s="448"/>
    </row>
    <row r="12" spans="1:28" ht="14.4" customHeight="1" x14ac:dyDescent="0.3">
      <c r="A12" s="455" t="s">
        <v>424</v>
      </c>
      <c r="B12" s="449">
        <v>11202</v>
      </c>
      <c r="C12" s="450">
        <v>1</v>
      </c>
      <c r="D12" s="450"/>
      <c r="E12" s="449"/>
      <c r="F12" s="450"/>
      <c r="G12" s="450"/>
      <c r="H12" s="449"/>
      <c r="I12" s="450"/>
      <c r="J12" s="451"/>
    </row>
    <row r="13" spans="1:28" ht="14.4" customHeight="1" x14ac:dyDescent="0.3">
      <c r="A13" s="455" t="s">
        <v>425</v>
      </c>
      <c r="B13" s="449">
        <v>422836</v>
      </c>
      <c r="C13" s="450">
        <v>1</v>
      </c>
      <c r="D13" s="450"/>
      <c r="E13" s="449"/>
      <c r="F13" s="450"/>
      <c r="G13" s="450"/>
      <c r="H13" s="449"/>
      <c r="I13" s="450"/>
      <c r="J13" s="451"/>
    </row>
    <row r="14" spans="1:28" ht="14.4" customHeight="1" x14ac:dyDescent="0.3">
      <c r="A14" s="457" t="s">
        <v>296</v>
      </c>
      <c r="B14" s="458">
        <v>435897.66</v>
      </c>
      <c r="C14" s="459">
        <v>1</v>
      </c>
      <c r="D14" s="459">
        <v>0.72908719081598772</v>
      </c>
      <c r="E14" s="458">
        <v>597867.67000000004</v>
      </c>
      <c r="F14" s="459">
        <v>1.3715780672004527</v>
      </c>
      <c r="G14" s="459">
        <v>1</v>
      </c>
      <c r="H14" s="458">
        <v>1367822.6600000001</v>
      </c>
      <c r="I14" s="459">
        <v>3.1379444890803043</v>
      </c>
      <c r="J14" s="460">
        <v>2.287835132480069</v>
      </c>
    </row>
    <row r="15" spans="1:28" ht="14.4" customHeight="1" x14ac:dyDescent="0.3">
      <c r="A15" s="455" t="s">
        <v>424</v>
      </c>
      <c r="B15" s="449">
        <v>733.32999999999993</v>
      </c>
      <c r="C15" s="450">
        <v>1</v>
      </c>
      <c r="D15" s="450"/>
      <c r="E15" s="449"/>
      <c r="F15" s="450"/>
      <c r="G15" s="450"/>
      <c r="H15" s="449">
        <v>14344</v>
      </c>
      <c r="I15" s="450">
        <v>19.560088909495047</v>
      </c>
      <c r="J15" s="451"/>
    </row>
    <row r="16" spans="1:28" ht="14.4" customHeight="1" thickBot="1" x14ac:dyDescent="0.35">
      <c r="A16" s="456" t="s">
        <v>425</v>
      </c>
      <c r="B16" s="452">
        <v>435164.32999999996</v>
      </c>
      <c r="C16" s="453">
        <v>1</v>
      </c>
      <c r="D16" s="453">
        <v>0.72786061504212118</v>
      </c>
      <c r="E16" s="452">
        <v>597867.67000000004</v>
      </c>
      <c r="F16" s="453">
        <v>1.3738894224165847</v>
      </c>
      <c r="G16" s="453">
        <v>1</v>
      </c>
      <c r="H16" s="452">
        <v>1353478.6600000001</v>
      </c>
      <c r="I16" s="453">
        <v>3.1102702282606671</v>
      </c>
      <c r="J16" s="454">
        <v>2.2638432012890077</v>
      </c>
    </row>
    <row r="17" spans="1:1" ht="14.4" customHeight="1" x14ac:dyDescent="0.3">
      <c r="A17" s="461" t="s">
        <v>426</v>
      </c>
    </row>
    <row r="18" spans="1:1" ht="14.4" customHeight="1" x14ac:dyDescent="0.3">
      <c r="A18" s="462" t="s">
        <v>427</v>
      </c>
    </row>
    <row r="19" spans="1:1" ht="14.4" customHeight="1" x14ac:dyDescent="0.3">
      <c r="A19" s="461" t="s">
        <v>428</v>
      </c>
    </row>
    <row r="20" spans="1:1" ht="14.4" customHeight="1" x14ac:dyDescent="0.3">
      <c r="A20" s="461" t="s">
        <v>429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63" t="s">
        <v>448</v>
      </c>
      <c r="B1" s="324"/>
      <c r="C1" s="324"/>
      <c r="D1" s="324"/>
      <c r="E1" s="324"/>
      <c r="F1" s="324"/>
      <c r="G1" s="324"/>
    </row>
    <row r="2" spans="1:7" ht="14.4" customHeight="1" thickBot="1" x14ac:dyDescent="0.35">
      <c r="A2" s="198" t="s">
        <v>227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95" t="s">
        <v>105</v>
      </c>
      <c r="B3" s="272">
        <f t="shared" ref="B3:G3" si="0">SUBTOTAL(9,B6:B1048576)</f>
        <v>1773</v>
      </c>
      <c r="C3" s="273">
        <f t="shared" si="0"/>
        <v>1283</v>
      </c>
      <c r="D3" s="294">
        <f t="shared" si="0"/>
        <v>1953</v>
      </c>
      <c r="E3" s="191">
        <f t="shared" si="0"/>
        <v>869935.66000000015</v>
      </c>
      <c r="F3" s="189">
        <f t="shared" si="0"/>
        <v>597867.67000000004</v>
      </c>
      <c r="G3" s="274">
        <f t="shared" si="0"/>
        <v>1367822.6600000001</v>
      </c>
    </row>
    <row r="4" spans="1:7" ht="14.4" customHeight="1" x14ac:dyDescent="0.3">
      <c r="A4" s="364" t="s">
        <v>106</v>
      </c>
      <c r="B4" s="369" t="s">
        <v>178</v>
      </c>
      <c r="C4" s="367"/>
      <c r="D4" s="370"/>
      <c r="E4" s="369" t="s">
        <v>80</v>
      </c>
      <c r="F4" s="367"/>
      <c r="G4" s="370"/>
    </row>
    <row r="5" spans="1:7" ht="14.4" customHeight="1" thickBot="1" x14ac:dyDescent="0.35">
      <c r="A5" s="440"/>
      <c r="B5" s="441">
        <v>2015</v>
      </c>
      <c r="C5" s="442">
        <v>2016</v>
      </c>
      <c r="D5" s="463">
        <v>2017</v>
      </c>
      <c r="E5" s="441">
        <v>2015</v>
      </c>
      <c r="F5" s="442">
        <v>2016</v>
      </c>
      <c r="G5" s="463">
        <v>2017</v>
      </c>
    </row>
    <row r="6" spans="1:7" ht="14.4" customHeight="1" x14ac:dyDescent="0.3">
      <c r="A6" s="470" t="s">
        <v>430</v>
      </c>
      <c r="B6" s="426">
        <v>1</v>
      </c>
      <c r="C6" s="426">
        <v>15</v>
      </c>
      <c r="D6" s="426">
        <v>4</v>
      </c>
      <c r="E6" s="464">
        <v>36</v>
      </c>
      <c r="F6" s="464">
        <v>621</v>
      </c>
      <c r="G6" s="465">
        <v>214</v>
      </c>
    </row>
    <row r="7" spans="1:7" ht="14.4" customHeight="1" x14ac:dyDescent="0.3">
      <c r="A7" s="471" t="s">
        <v>431</v>
      </c>
      <c r="B7" s="432"/>
      <c r="C7" s="432"/>
      <c r="D7" s="432">
        <v>1</v>
      </c>
      <c r="E7" s="466"/>
      <c r="F7" s="466"/>
      <c r="G7" s="467">
        <v>37</v>
      </c>
    </row>
    <row r="8" spans="1:7" ht="14.4" customHeight="1" x14ac:dyDescent="0.3">
      <c r="A8" s="471" t="s">
        <v>432</v>
      </c>
      <c r="B8" s="432">
        <v>7</v>
      </c>
      <c r="C8" s="432">
        <v>1</v>
      </c>
      <c r="D8" s="432">
        <v>9</v>
      </c>
      <c r="E8" s="466">
        <v>608</v>
      </c>
      <c r="F8" s="466">
        <v>59</v>
      </c>
      <c r="G8" s="467">
        <v>355</v>
      </c>
    </row>
    <row r="9" spans="1:7" ht="14.4" customHeight="1" x14ac:dyDescent="0.3">
      <c r="A9" s="471" t="s">
        <v>424</v>
      </c>
      <c r="B9" s="432">
        <v>69</v>
      </c>
      <c r="C9" s="432"/>
      <c r="D9" s="432">
        <v>4</v>
      </c>
      <c r="E9" s="466">
        <v>11935.33</v>
      </c>
      <c r="F9" s="466"/>
      <c r="G9" s="467">
        <v>14344</v>
      </c>
    </row>
    <row r="10" spans="1:7" ht="14.4" customHeight="1" x14ac:dyDescent="0.3">
      <c r="A10" s="471" t="s">
        <v>433</v>
      </c>
      <c r="B10" s="432">
        <v>22</v>
      </c>
      <c r="C10" s="432"/>
      <c r="D10" s="432"/>
      <c r="E10" s="466">
        <v>5764</v>
      </c>
      <c r="F10" s="466"/>
      <c r="G10" s="467"/>
    </row>
    <row r="11" spans="1:7" ht="14.4" customHeight="1" x14ac:dyDescent="0.3">
      <c r="A11" s="471" t="s">
        <v>434</v>
      </c>
      <c r="B11" s="432">
        <v>1</v>
      </c>
      <c r="C11" s="432"/>
      <c r="D11" s="432"/>
      <c r="E11" s="466">
        <v>125</v>
      </c>
      <c r="F11" s="466"/>
      <c r="G11" s="467"/>
    </row>
    <row r="12" spans="1:7" ht="14.4" customHeight="1" x14ac:dyDescent="0.3">
      <c r="A12" s="471" t="s">
        <v>435</v>
      </c>
      <c r="B12" s="432">
        <v>1</v>
      </c>
      <c r="C12" s="432"/>
      <c r="D12" s="432">
        <v>1</v>
      </c>
      <c r="E12" s="466">
        <v>125</v>
      </c>
      <c r="F12" s="466"/>
      <c r="G12" s="467">
        <v>37</v>
      </c>
    </row>
    <row r="13" spans="1:7" ht="14.4" customHeight="1" x14ac:dyDescent="0.3">
      <c r="A13" s="471" t="s">
        <v>436</v>
      </c>
      <c r="B13" s="432"/>
      <c r="C13" s="432">
        <v>1</v>
      </c>
      <c r="D13" s="432"/>
      <c r="E13" s="466"/>
      <c r="F13" s="466">
        <v>59</v>
      </c>
      <c r="G13" s="467"/>
    </row>
    <row r="14" spans="1:7" ht="14.4" customHeight="1" x14ac:dyDescent="0.3">
      <c r="A14" s="471" t="s">
        <v>437</v>
      </c>
      <c r="B14" s="432">
        <v>51</v>
      </c>
      <c r="C14" s="432">
        <v>1</v>
      </c>
      <c r="D14" s="432"/>
      <c r="E14" s="466">
        <v>10546</v>
      </c>
      <c r="F14" s="466">
        <v>251</v>
      </c>
      <c r="G14" s="467"/>
    </row>
    <row r="15" spans="1:7" ht="14.4" customHeight="1" x14ac:dyDescent="0.3">
      <c r="A15" s="471" t="s">
        <v>438</v>
      </c>
      <c r="B15" s="432">
        <v>361</v>
      </c>
      <c r="C15" s="432"/>
      <c r="D15" s="432"/>
      <c r="E15" s="466">
        <v>173515</v>
      </c>
      <c r="F15" s="466"/>
      <c r="G15" s="467"/>
    </row>
    <row r="16" spans="1:7" ht="14.4" customHeight="1" x14ac:dyDescent="0.3">
      <c r="A16" s="471" t="s">
        <v>439</v>
      </c>
      <c r="B16" s="432">
        <v>6</v>
      </c>
      <c r="C16" s="432">
        <v>3</v>
      </c>
      <c r="D16" s="432">
        <v>6</v>
      </c>
      <c r="E16" s="466">
        <v>216</v>
      </c>
      <c r="F16" s="466">
        <v>133</v>
      </c>
      <c r="G16" s="467">
        <v>222</v>
      </c>
    </row>
    <row r="17" spans="1:7" ht="14.4" customHeight="1" x14ac:dyDescent="0.3">
      <c r="A17" s="471" t="s">
        <v>440</v>
      </c>
      <c r="B17" s="432">
        <v>11</v>
      </c>
      <c r="C17" s="432">
        <v>5</v>
      </c>
      <c r="D17" s="432"/>
      <c r="E17" s="466">
        <v>875</v>
      </c>
      <c r="F17" s="466">
        <v>229</v>
      </c>
      <c r="G17" s="467"/>
    </row>
    <row r="18" spans="1:7" ht="14.4" customHeight="1" x14ac:dyDescent="0.3">
      <c r="A18" s="471" t="s">
        <v>441</v>
      </c>
      <c r="B18" s="432"/>
      <c r="C18" s="432"/>
      <c r="D18" s="432">
        <v>5</v>
      </c>
      <c r="E18" s="466"/>
      <c r="F18" s="466"/>
      <c r="G18" s="467">
        <v>251</v>
      </c>
    </row>
    <row r="19" spans="1:7" ht="14.4" customHeight="1" x14ac:dyDescent="0.3">
      <c r="A19" s="471" t="s">
        <v>442</v>
      </c>
      <c r="B19" s="432"/>
      <c r="C19" s="432"/>
      <c r="D19" s="432">
        <v>1</v>
      </c>
      <c r="E19" s="466"/>
      <c r="F19" s="466"/>
      <c r="G19" s="467">
        <v>37</v>
      </c>
    </row>
    <row r="20" spans="1:7" ht="14.4" customHeight="1" x14ac:dyDescent="0.3">
      <c r="A20" s="471" t="s">
        <v>443</v>
      </c>
      <c r="B20" s="432">
        <v>10</v>
      </c>
      <c r="C20" s="432">
        <v>1</v>
      </c>
      <c r="D20" s="432"/>
      <c r="E20" s="466">
        <v>716</v>
      </c>
      <c r="F20" s="466">
        <v>59</v>
      </c>
      <c r="G20" s="467"/>
    </row>
    <row r="21" spans="1:7" ht="14.4" customHeight="1" x14ac:dyDescent="0.3">
      <c r="A21" s="471" t="s">
        <v>444</v>
      </c>
      <c r="B21" s="432"/>
      <c r="C21" s="432">
        <v>7</v>
      </c>
      <c r="D21" s="432"/>
      <c r="E21" s="466"/>
      <c r="F21" s="466">
        <v>259</v>
      </c>
      <c r="G21" s="467"/>
    </row>
    <row r="22" spans="1:7" ht="14.4" customHeight="1" x14ac:dyDescent="0.3">
      <c r="A22" s="471" t="s">
        <v>445</v>
      </c>
      <c r="B22" s="432">
        <v>1227</v>
      </c>
      <c r="C22" s="432">
        <v>1249</v>
      </c>
      <c r="D22" s="432">
        <v>1918</v>
      </c>
      <c r="E22" s="466">
        <v>664991.33000000007</v>
      </c>
      <c r="F22" s="466">
        <v>596197.67000000004</v>
      </c>
      <c r="G22" s="467">
        <v>1352067.6600000001</v>
      </c>
    </row>
    <row r="23" spans="1:7" ht="14.4" customHeight="1" x14ac:dyDescent="0.3">
      <c r="A23" s="471" t="s">
        <v>446</v>
      </c>
      <c r="B23" s="432">
        <v>1</v>
      </c>
      <c r="C23" s="432"/>
      <c r="D23" s="432"/>
      <c r="E23" s="466">
        <v>125</v>
      </c>
      <c r="F23" s="466"/>
      <c r="G23" s="467"/>
    </row>
    <row r="24" spans="1:7" ht="14.4" customHeight="1" thickBot="1" x14ac:dyDescent="0.35">
      <c r="A24" s="472" t="s">
        <v>447</v>
      </c>
      <c r="B24" s="438">
        <v>5</v>
      </c>
      <c r="C24" s="438"/>
      <c r="D24" s="438">
        <v>4</v>
      </c>
      <c r="E24" s="468">
        <v>358</v>
      </c>
      <c r="F24" s="468"/>
      <c r="G24" s="469">
        <v>258</v>
      </c>
    </row>
    <row r="25" spans="1:7" ht="14.4" customHeight="1" x14ac:dyDescent="0.3">
      <c r="A25" s="461" t="s">
        <v>426</v>
      </c>
    </row>
    <row r="26" spans="1:7" ht="14.4" customHeight="1" x14ac:dyDescent="0.3">
      <c r="A26" s="462" t="s">
        <v>427</v>
      </c>
    </row>
    <row r="27" spans="1:7" ht="14.4" customHeight="1" x14ac:dyDescent="0.3">
      <c r="A27" s="461" t="s">
        <v>428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24" t="s">
        <v>494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</row>
    <row r="2" spans="1:18" ht="14.4" customHeight="1" thickBot="1" x14ac:dyDescent="0.35">
      <c r="A2" s="198" t="s">
        <v>227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1773</v>
      </c>
      <c r="H3" s="78">
        <f t="shared" si="0"/>
        <v>869935.66</v>
      </c>
      <c r="I3" s="58"/>
      <c r="J3" s="58"/>
      <c r="K3" s="78">
        <f t="shared" si="0"/>
        <v>1283</v>
      </c>
      <c r="L3" s="78">
        <f t="shared" si="0"/>
        <v>597867.66999999993</v>
      </c>
      <c r="M3" s="58"/>
      <c r="N3" s="58"/>
      <c r="O3" s="78">
        <f t="shared" si="0"/>
        <v>1955</v>
      </c>
      <c r="P3" s="78">
        <f t="shared" si="0"/>
        <v>1368947.65</v>
      </c>
      <c r="Q3" s="59">
        <f>IF(L3=0,0,P3/L3)</f>
        <v>2.2897168030510833</v>
      </c>
      <c r="R3" s="79">
        <f>IF(O3=0,0,P3/O3)</f>
        <v>700.22897698209715</v>
      </c>
    </row>
    <row r="4" spans="1:18" ht="14.4" customHeight="1" x14ac:dyDescent="0.3">
      <c r="A4" s="371" t="s">
        <v>214</v>
      </c>
      <c r="B4" s="371" t="s">
        <v>76</v>
      </c>
      <c r="C4" s="379" t="s">
        <v>0</v>
      </c>
      <c r="D4" s="373" t="s">
        <v>77</v>
      </c>
      <c r="E4" s="378" t="s">
        <v>52</v>
      </c>
      <c r="F4" s="374" t="s">
        <v>51</v>
      </c>
      <c r="G4" s="375">
        <v>2015</v>
      </c>
      <c r="H4" s="376"/>
      <c r="I4" s="76"/>
      <c r="J4" s="76"/>
      <c r="K4" s="375">
        <v>2016</v>
      </c>
      <c r="L4" s="376"/>
      <c r="M4" s="76"/>
      <c r="N4" s="76"/>
      <c r="O4" s="375">
        <v>2017</v>
      </c>
      <c r="P4" s="376"/>
      <c r="Q4" s="377" t="s">
        <v>2</v>
      </c>
      <c r="R4" s="372" t="s">
        <v>79</v>
      </c>
    </row>
    <row r="5" spans="1:18" ht="14.4" customHeight="1" thickBot="1" x14ac:dyDescent="0.35">
      <c r="A5" s="473"/>
      <c r="B5" s="473"/>
      <c r="C5" s="474"/>
      <c r="D5" s="475"/>
      <c r="E5" s="476"/>
      <c r="F5" s="477"/>
      <c r="G5" s="478" t="s">
        <v>53</v>
      </c>
      <c r="H5" s="479" t="s">
        <v>10</v>
      </c>
      <c r="I5" s="480"/>
      <c r="J5" s="480"/>
      <c r="K5" s="478" t="s">
        <v>53</v>
      </c>
      <c r="L5" s="479" t="s">
        <v>10</v>
      </c>
      <c r="M5" s="480"/>
      <c r="N5" s="480"/>
      <c r="O5" s="478" t="s">
        <v>53</v>
      </c>
      <c r="P5" s="479" t="s">
        <v>10</v>
      </c>
      <c r="Q5" s="481"/>
      <c r="R5" s="482"/>
    </row>
    <row r="6" spans="1:18" ht="14.4" customHeight="1" x14ac:dyDescent="0.3">
      <c r="A6" s="422" t="s">
        <v>449</v>
      </c>
      <c r="B6" s="423" t="s">
        <v>450</v>
      </c>
      <c r="C6" s="423" t="s">
        <v>296</v>
      </c>
      <c r="D6" s="423" t="s">
        <v>451</v>
      </c>
      <c r="E6" s="423" t="s">
        <v>452</v>
      </c>
      <c r="F6" s="423" t="s">
        <v>453</v>
      </c>
      <c r="G6" s="426"/>
      <c r="H6" s="426"/>
      <c r="I6" s="423"/>
      <c r="J6" s="423"/>
      <c r="K6" s="426"/>
      <c r="L6" s="426"/>
      <c r="M6" s="423"/>
      <c r="N6" s="423"/>
      <c r="O6" s="426">
        <v>1</v>
      </c>
      <c r="P6" s="426">
        <v>6.09</v>
      </c>
      <c r="Q6" s="483"/>
      <c r="R6" s="427">
        <v>6.09</v>
      </c>
    </row>
    <row r="7" spans="1:18" ht="14.4" customHeight="1" x14ac:dyDescent="0.3">
      <c r="A7" s="428" t="s">
        <v>449</v>
      </c>
      <c r="B7" s="429" t="s">
        <v>450</v>
      </c>
      <c r="C7" s="429" t="s">
        <v>296</v>
      </c>
      <c r="D7" s="429" t="s">
        <v>451</v>
      </c>
      <c r="E7" s="429" t="s">
        <v>454</v>
      </c>
      <c r="F7" s="429" t="s">
        <v>455</v>
      </c>
      <c r="G7" s="432"/>
      <c r="H7" s="432"/>
      <c r="I7" s="429"/>
      <c r="J7" s="429"/>
      <c r="K7" s="432"/>
      <c r="L7" s="432"/>
      <c r="M7" s="429"/>
      <c r="N7" s="429"/>
      <c r="O7" s="432">
        <v>1</v>
      </c>
      <c r="P7" s="432">
        <v>1118.9000000000001</v>
      </c>
      <c r="Q7" s="484"/>
      <c r="R7" s="433">
        <v>1118.9000000000001</v>
      </c>
    </row>
    <row r="8" spans="1:18" ht="14.4" customHeight="1" x14ac:dyDescent="0.3">
      <c r="A8" s="428" t="s">
        <v>449</v>
      </c>
      <c r="B8" s="429" t="s">
        <v>450</v>
      </c>
      <c r="C8" s="429" t="s">
        <v>296</v>
      </c>
      <c r="D8" s="429" t="s">
        <v>456</v>
      </c>
      <c r="E8" s="429" t="s">
        <v>457</v>
      </c>
      <c r="F8" s="429" t="s">
        <v>458</v>
      </c>
      <c r="G8" s="432"/>
      <c r="H8" s="432"/>
      <c r="I8" s="429"/>
      <c r="J8" s="429"/>
      <c r="K8" s="432"/>
      <c r="L8" s="432"/>
      <c r="M8" s="429"/>
      <c r="N8" s="429"/>
      <c r="O8" s="432">
        <v>1</v>
      </c>
      <c r="P8" s="432">
        <v>147</v>
      </c>
      <c r="Q8" s="484"/>
      <c r="R8" s="433">
        <v>147</v>
      </c>
    </row>
    <row r="9" spans="1:18" ht="14.4" customHeight="1" x14ac:dyDescent="0.3">
      <c r="A9" s="428" t="s">
        <v>449</v>
      </c>
      <c r="B9" s="429" t="s">
        <v>450</v>
      </c>
      <c r="C9" s="429" t="s">
        <v>296</v>
      </c>
      <c r="D9" s="429" t="s">
        <v>456</v>
      </c>
      <c r="E9" s="429" t="s">
        <v>459</v>
      </c>
      <c r="F9" s="429" t="s">
        <v>460</v>
      </c>
      <c r="G9" s="432">
        <v>67</v>
      </c>
      <c r="H9" s="432">
        <v>2345</v>
      </c>
      <c r="I9" s="429">
        <v>0.42823228634039445</v>
      </c>
      <c r="J9" s="429">
        <v>35</v>
      </c>
      <c r="K9" s="432">
        <v>148</v>
      </c>
      <c r="L9" s="432">
        <v>5476</v>
      </c>
      <c r="M9" s="429">
        <v>1</v>
      </c>
      <c r="N9" s="429">
        <v>37</v>
      </c>
      <c r="O9" s="432">
        <v>188</v>
      </c>
      <c r="P9" s="432">
        <v>6956</v>
      </c>
      <c r="Q9" s="484">
        <v>1.2702702702702702</v>
      </c>
      <c r="R9" s="433">
        <v>37</v>
      </c>
    </row>
    <row r="10" spans="1:18" ht="14.4" customHeight="1" x14ac:dyDescent="0.3">
      <c r="A10" s="428" t="s">
        <v>449</v>
      </c>
      <c r="B10" s="429" t="s">
        <v>450</v>
      </c>
      <c r="C10" s="429" t="s">
        <v>296</v>
      </c>
      <c r="D10" s="429" t="s">
        <v>456</v>
      </c>
      <c r="E10" s="429" t="s">
        <v>461</v>
      </c>
      <c r="F10" s="429" t="s">
        <v>462</v>
      </c>
      <c r="G10" s="432">
        <v>39</v>
      </c>
      <c r="H10" s="432">
        <v>17082</v>
      </c>
      <c r="I10" s="429">
        <v>0.60703624733475481</v>
      </c>
      <c r="J10" s="429">
        <v>438</v>
      </c>
      <c r="K10" s="432">
        <v>60</v>
      </c>
      <c r="L10" s="432">
        <v>28140</v>
      </c>
      <c r="M10" s="429">
        <v>1</v>
      </c>
      <c r="N10" s="429">
        <v>469</v>
      </c>
      <c r="O10" s="432">
        <v>76</v>
      </c>
      <c r="P10" s="432">
        <v>35720</v>
      </c>
      <c r="Q10" s="484">
        <v>1.2693674484719262</v>
      </c>
      <c r="R10" s="433">
        <v>470</v>
      </c>
    </row>
    <row r="11" spans="1:18" ht="14.4" customHeight="1" x14ac:dyDescent="0.3">
      <c r="A11" s="428" t="s">
        <v>449</v>
      </c>
      <c r="B11" s="429" t="s">
        <v>450</v>
      </c>
      <c r="C11" s="429" t="s">
        <v>296</v>
      </c>
      <c r="D11" s="429" t="s">
        <v>456</v>
      </c>
      <c r="E11" s="429" t="s">
        <v>463</v>
      </c>
      <c r="F11" s="429" t="s">
        <v>464</v>
      </c>
      <c r="G11" s="432">
        <v>42</v>
      </c>
      <c r="H11" s="432">
        <v>1066.6599999999999</v>
      </c>
      <c r="I11" s="429">
        <v>0.47058460208146752</v>
      </c>
      <c r="J11" s="429">
        <v>25.396666666666665</v>
      </c>
      <c r="K11" s="432">
        <v>68</v>
      </c>
      <c r="L11" s="432">
        <v>2266.6699999999996</v>
      </c>
      <c r="M11" s="429">
        <v>1</v>
      </c>
      <c r="N11" s="429">
        <v>33.333382352941172</v>
      </c>
      <c r="O11" s="432">
        <v>89</v>
      </c>
      <c r="P11" s="432">
        <v>2966.66</v>
      </c>
      <c r="Q11" s="484">
        <v>1.3088186635019656</v>
      </c>
      <c r="R11" s="433">
        <v>33.333258426966289</v>
      </c>
    </row>
    <row r="12" spans="1:18" ht="14.4" customHeight="1" x14ac:dyDescent="0.3">
      <c r="A12" s="428" t="s">
        <v>449</v>
      </c>
      <c r="B12" s="429" t="s">
        <v>450</v>
      </c>
      <c r="C12" s="429" t="s">
        <v>296</v>
      </c>
      <c r="D12" s="429" t="s">
        <v>456</v>
      </c>
      <c r="E12" s="429" t="s">
        <v>465</v>
      </c>
      <c r="F12" s="429" t="s">
        <v>466</v>
      </c>
      <c r="G12" s="432">
        <v>25</v>
      </c>
      <c r="H12" s="432">
        <v>900</v>
      </c>
      <c r="I12" s="429">
        <v>1.0135135135135136</v>
      </c>
      <c r="J12" s="429">
        <v>36</v>
      </c>
      <c r="K12" s="432">
        <v>24</v>
      </c>
      <c r="L12" s="432">
        <v>888</v>
      </c>
      <c r="M12" s="429">
        <v>1</v>
      </c>
      <c r="N12" s="429">
        <v>37</v>
      </c>
      <c r="O12" s="432">
        <v>25</v>
      </c>
      <c r="P12" s="432">
        <v>925</v>
      </c>
      <c r="Q12" s="484">
        <v>1.0416666666666667</v>
      </c>
      <c r="R12" s="433">
        <v>37</v>
      </c>
    </row>
    <row r="13" spans="1:18" ht="14.4" customHeight="1" x14ac:dyDescent="0.3">
      <c r="A13" s="428" t="s">
        <v>449</v>
      </c>
      <c r="B13" s="429" t="s">
        <v>450</v>
      </c>
      <c r="C13" s="429" t="s">
        <v>296</v>
      </c>
      <c r="D13" s="429" t="s">
        <v>456</v>
      </c>
      <c r="E13" s="429" t="s">
        <v>467</v>
      </c>
      <c r="F13" s="429" t="s">
        <v>468</v>
      </c>
      <c r="G13" s="432">
        <v>19</v>
      </c>
      <c r="H13" s="432">
        <v>2375</v>
      </c>
      <c r="I13" s="429"/>
      <c r="J13" s="429">
        <v>125</v>
      </c>
      <c r="K13" s="432"/>
      <c r="L13" s="432"/>
      <c r="M13" s="429"/>
      <c r="N13" s="429"/>
      <c r="O13" s="432"/>
      <c r="P13" s="432"/>
      <c r="Q13" s="484"/>
      <c r="R13" s="433"/>
    </row>
    <row r="14" spans="1:18" ht="14.4" customHeight="1" x14ac:dyDescent="0.3">
      <c r="A14" s="428" t="s">
        <v>449</v>
      </c>
      <c r="B14" s="429" t="s">
        <v>450</v>
      </c>
      <c r="C14" s="429" t="s">
        <v>296</v>
      </c>
      <c r="D14" s="429" t="s">
        <v>456</v>
      </c>
      <c r="E14" s="429" t="s">
        <v>469</v>
      </c>
      <c r="F14" s="429" t="s">
        <v>470</v>
      </c>
      <c r="G14" s="432">
        <v>2</v>
      </c>
      <c r="H14" s="432">
        <v>1306</v>
      </c>
      <c r="I14" s="429"/>
      <c r="J14" s="429">
        <v>653</v>
      </c>
      <c r="K14" s="432"/>
      <c r="L14" s="432"/>
      <c r="M14" s="429"/>
      <c r="N14" s="429"/>
      <c r="O14" s="432"/>
      <c r="P14" s="432"/>
      <c r="Q14" s="484"/>
      <c r="R14" s="433"/>
    </row>
    <row r="15" spans="1:18" ht="14.4" customHeight="1" x14ac:dyDescent="0.3">
      <c r="A15" s="428" t="s">
        <v>449</v>
      </c>
      <c r="B15" s="429" t="s">
        <v>450</v>
      </c>
      <c r="C15" s="429" t="s">
        <v>296</v>
      </c>
      <c r="D15" s="429" t="s">
        <v>456</v>
      </c>
      <c r="E15" s="429" t="s">
        <v>471</v>
      </c>
      <c r="F15" s="429" t="s">
        <v>472</v>
      </c>
      <c r="G15" s="432">
        <v>5</v>
      </c>
      <c r="H15" s="432">
        <v>1095</v>
      </c>
      <c r="I15" s="429">
        <v>0.58244680851063835</v>
      </c>
      <c r="J15" s="429">
        <v>219</v>
      </c>
      <c r="K15" s="432">
        <v>8</v>
      </c>
      <c r="L15" s="432">
        <v>1880</v>
      </c>
      <c r="M15" s="429">
        <v>1</v>
      </c>
      <c r="N15" s="429">
        <v>235</v>
      </c>
      <c r="O15" s="432">
        <v>16</v>
      </c>
      <c r="P15" s="432">
        <v>3760</v>
      </c>
      <c r="Q15" s="484">
        <v>2</v>
      </c>
      <c r="R15" s="433">
        <v>235</v>
      </c>
    </row>
    <row r="16" spans="1:18" ht="14.4" customHeight="1" x14ac:dyDescent="0.3">
      <c r="A16" s="428" t="s">
        <v>449</v>
      </c>
      <c r="B16" s="429" t="s">
        <v>450</v>
      </c>
      <c r="C16" s="429" t="s">
        <v>296</v>
      </c>
      <c r="D16" s="429" t="s">
        <v>456</v>
      </c>
      <c r="E16" s="429" t="s">
        <v>473</v>
      </c>
      <c r="F16" s="429" t="s">
        <v>474</v>
      </c>
      <c r="G16" s="432">
        <v>1</v>
      </c>
      <c r="H16" s="432">
        <v>70</v>
      </c>
      <c r="I16" s="429"/>
      <c r="J16" s="429">
        <v>70</v>
      </c>
      <c r="K16" s="432"/>
      <c r="L16" s="432"/>
      <c r="M16" s="429"/>
      <c r="N16" s="429"/>
      <c r="O16" s="432"/>
      <c r="P16" s="432"/>
      <c r="Q16" s="484"/>
      <c r="R16" s="433"/>
    </row>
    <row r="17" spans="1:18" ht="14.4" customHeight="1" x14ac:dyDescent="0.3">
      <c r="A17" s="428" t="s">
        <v>449</v>
      </c>
      <c r="B17" s="429" t="s">
        <v>450</v>
      </c>
      <c r="C17" s="429" t="s">
        <v>296</v>
      </c>
      <c r="D17" s="429" t="s">
        <v>456</v>
      </c>
      <c r="E17" s="429" t="s">
        <v>475</v>
      </c>
      <c r="F17" s="429" t="s">
        <v>476</v>
      </c>
      <c r="G17" s="432"/>
      <c r="H17" s="432"/>
      <c r="I17" s="429"/>
      <c r="J17" s="429"/>
      <c r="K17" s="432">
        <v>10</v>
      </c>
      <c r="L17" s="432">
        <v>590</v>
      </c>
      <c r="M17" s="429">
        <v>1</v>
      </c>
      <c r="N17" s="429">
        <v>59</v>
      </c>
      <c r="O17" s="432">
        <v>8</v>
      </c>
      <c r="P17" s="432">
        <v>472</v>
      </c>
      <c r="Q17" s="484">
        <v>0.8</v>
      </c>
      <c r="R17" s="433">
        <v>59</v>
      </c>
    </row>
    <row r="18" spans="1:18" ht="14.4" customHeight="1" x14ac:dyDescent="0.3">
      <c r="A18" s="428" t="s">
        <v>449</v>
      </c>
      <c r="B18" s="429" t="s">
        <v>450</v>
      </c>
      <c r="C18" s="429" t="s">
        <v>296</v>
      </c>
      <c r="D18" s="429" t="s">
        <v>456</v>
      </c>
      <c r="E18" s="429" t="s">
        <v>477</v>
      </c>
      <c r="F18" s="429" t="s">
        <v>478</v>
      </c>
      <c r="G18" s="432">
        <v>609</v>
      </c>
      <c r="H18" s="432">
        <v>159558</v>
      </c>
      <c r="I18" s="429">
        <v>0.69839449541284404</v>
      </c>
      <c r="J18" s="429">
        <v>262</v>
      </c>
      <c r="K18" s="432">
        <v>872</v>
      </c>
      <c r="L18" s="432">
        <v>228464</v>
      </c>
      <c r="M18" s="429">
        <v>1</v>
      </c>
      <c r="N18" s="429">
        <v>262</v>
      </c>
      <c r="O18" s="432">
        <v>1276</v>
      </c>
      <c r="P18" s="432">
        <v>334312</v>
      </c>
      <c r="Q18" s="484">
        <v>1.463302752293578</v>
      </c>
      <c r="R18" s="433">
        <v>262</v>
      </c>
    </row>
    <row r="19" spans="1:18" ht="14.4" customHeight="1" x14ac:dyDescent="0.3">
      <c r="A19" s="428" t="s">
        <v>449</v>
      </c>
      <c r="B19" s="429" t="s">
        <v>450</v>
      </c>
      <c r="C19" s="429" t="s">
        <v>296</v>
      </c>
      <c r="D19" s="429" t="s">
        <v>456</v>
      </c>
      <c r="E19" s="429" t="s">
        <v>479</v>
      </c>
      <c r="F19" s="429" t="s">
        <v>480</v>
      </c>
      <c r="G19" s="432">
        <v>65</v>
      </c>
      <c r="H19" s="432">
        <v>233090</v>
      </c>
      <c r="I19" s="429">
        <v>0.70652173913043481</v>
      </c>
      <c r="J19" s="429">
        <v>3586</v>
      </c>
      <c r="K19" s="432">
        <v>92</v>
      </c>
      <c r="L19" s="432">
        <v>329912</v>
      </c>
      <c r="M19" s="429">
        <v>1</v>
      </c>
      <c r="N19" s="429">
        <v>3586</v>
      </c>
      <c r="O19" s="432">
        <v>274</v>
      </c>
      <c r="P19" s="432">
        <v>982564</v>
      </c>
      <c r="Q19" s="484">
        <v>2.9782608695652173</v>
      </c>
      <c r="R19" s="433">
        <v>3586</v>
      </c>
    </row>
    <row r="20" spans="1:18" ht="14.4" customHeight="1" x14ac:dyDescent="0.3">
      <c r="A20" s="428" t="s">
        <v>449</v>
      </c>
      <c r="B20" s="429" t="s">
        <v>450</v>
      </c>
      <c r="C20" s="429" t="s">
        <v>296</v>
      </c>
      <c r="D20" s="429" t="s">
        <v>456</v>
      </c>
      <c r="E20" s="429" t="s">
        <v>481</v>
      </c>
      <c r="F20" s="429" t="s">
        <v>480</v>
      </c>
      <c r="G20" s="432">
        <v>3</v>
      </c>
      <c r="H20" s="432">
        <v>15600</v>
      </c>
      <c r="I20" s="429"/>
      <c r="J20" s="429">
        <v>5200</v>
      </c>
      <c r="K20" s="432"/>
      <c r="L20" s="432"/>
      <c r="M20" s="429"/>
      <c r="N20" s="429"/>
      <c r="O20" s="432"/>
      <c r="P20" s="432"/>
      <c r="Q20" s="484"/>
      <c r="R20" s="433"/>
    </row>
    <row r="21" spans="1:18" ht="14.4" customHeight="1" x14ac:dyDescent="0.3">
      <c r="A21" s="428" t="s">
        <v>449</v>
      </c>
      <c r="B21" s="429" t="s">
        <v>482</v>
      </c>
      <c r="C21" s="429" t="s">
        <v>296</v>
      </c>
      <c r="D21" s="429" t="s">
        <v>456</v>
      </c>
      <c r="E21" s="429" t="s">
        <v>483</v>
      </c>
      <c r="F21" s="429" t="s">
        <v>484</v>
      </c>
      <c r="G21" s="432">
        <v>6</v>
      </c>
      <c r="H21" s="432">
        <v>1410</v>
      </c>
      <c r="I21" s="429">
        <v>5.617529880478088</v>
      </c>
      <c r="J21" s="429">
        <v>235</v>
      </c>
      <c r="K21" s="432">
        <v>1</v>
      </c>
      <c r="L21" s="432">
        <v>251</v>
      </c>
      <c r="M21" s="429">
        <v>1</v>
      </c>
      <c r="N21" s="429">
        <v>251</v>
      </c>
      <c r="O21" s="432"/>
      <c r="P21" s="432"/>
      <c r="Q21" s="484"/>
      <c r="R21" s="433"/>
    </row>
    <row r="22" spans="1:18" ht="14.4" customHeight="1" x14ac:dyDescent="0.3">
      <c r="A22" s="428" t="s">
        <v>449</v>
      </c>
      <c r="B22" s="429" t="s">
        <v>482</v>
      </c>
      <c r="C22" s="429" t="s">
        <v>296</v>
      </c>
      <c r="D22" s="429" t="s">
        <v>456</v>
      </c>
      <c r="E22" s="429" t="s">
        <v>463</v>
      </c>
      <c r="F22" s="429" t="s">
        <v>464</v>
      </c>
      <c r="G22" s="432">
        <v>6</v>
      </c>
      <c r="H22" s="432">
        <v>0</v>
      </c>
      <c r="I22" s="429"/>
      <c r="J22" s="429">
        <v>0</v>
      </c>
      <c r="K22" s="432"/>
      <c r="L22" s="432"/>
      <c r="M22" s="429"/>
      <c r="N22" s="429"/>
      <c r="O22" s="432"/>
      <c r="P22" s="432"/>
      <c r="Q22" s="484"/>
      <c r="R22" s="433"/>
    </row>
    <row r="23" spans="1:18" ht="14.4" customHeight="1" x14ac:dyDescent="0.3">
      <c r="A23" s="428" t="s">
        <v>449</v>
      </c>
      <c r="B23" s="429" t="s">
        <v>485</v>
      </c>
      <c r="C23" s="429" t="s">
        <v>285</v>
      </c>
      <c r="D23" s="429" t="s">
        <v>456</v>
      </c>
      <c r="E23" s="429" t="s">
        <v>486</v>
      </c>
      <c r="F23" s="429" t="s">
        <v>487</v>
      </c>
      <c r="G23" s="432">
        <v>21</v>
      </c>
      <c r="H23" s="432">
        <v>7182</v>
      </c>
      <c r="I23" s="429"/>
      <c r="J23" s="429">
        <v>342</v>
      </c>
      <c r="K23" s="432"/>
      <c r="L23" s="432"/>
      <c r="M23" s="429"/>
      <c r="N23" s="429"/>
      <c r="O23" s="432"/>
      <c r="P23" s="432"/>
      <c r="Q23" s="484"/>
      <c r="R23" s="433"/>
    </row>
    <row r="24" spans="1:18" ht="14.4" customHeight="1" x14ac:dyDescent="0.3">
      <c r="A24" s="428" t="s">
        <v>449</v>
      </c>
      <c r="B24" s="429" t="s">
        <v>485</v>
      </c>
      <c r="C24" s="429" t="s">
        <v>285</v>
      </c>
      <c r="D24" s="429" t="s">
        <v>456</v>
      </c>
      <c r="E24" s="429" t="s">
        <v>459</v>
      </c>
      <c r="F24" s="429" t="s">
        <v>460</v>
      </c>
      <c r="G24" s="432">
        <v>3</v>
      </c>
      <c r="H24" s="432">
        <v>105</v>
      </c>
      <c r="I24" s="429"/>
      <c r="J24" s="429">
        <v>35</v>
      </c>
      <c r="K24" s="432"/>
      <c r="L24" s="432"/>
      <c r="M24" s="429"/>
      <c r="N24" s="429"/>
      <c r="O24" s="432"/>
      <c r="P24" s="432"/>
      <c r="Q24" s="484"/>
      <c r="R24" s="433"/>
    </row>
    <row r="25" spans="1:18" ht="14.4" customHeight="1" x14ac:dyDescent="0.3">
      <c r="A25" s="428" t="s">
        <v>449</v>
      </c>
      <c r="B25" s="429" t="s">
        <v>485</v>
      </c>
      <c r="C25" s="429" t="s">
        <v>285</v>
      </c>
      <c r="D25" s="429" t="s">
        <v>456</v>
      </c>
      <c r="E25" s="429" t="s">
        <v>488</v>
      </c>
      <c r="F25" s="429" t="s">
        <v>489</v>
      </c>
      <c r="G25" s="432">
        <v>67</v>
      </c>
      <c r="H25" s="432">
        <v>15745</v>
      </c>
      <c r="I25" s="429"/>
      <c r="J25" s="429">
        <v>235</v>
      </c>
      <c r="K25" s="432"/>
      <c r="L25" s="432"/>
      <c r="M25" s="429"/>
      <c r="N25" s="429"/>
      <c r="O25" s="432"/>
      <c r="P25" s="432"/>
      <c r="Q25" s="484"/>
      <c r="R25" s="433"/>
    </row>
    <row r="26" spans="1:18" ht="14.4" customHeight="1" x14ac:dyDescent="0.3">
      <c r="A26" s="428" t="s">
        <v>449</v>
      </c>
      <c r="B26" s="429" t="s">
        <v>485</v>
      </c>
      <c r="C26" s="429" t="s">
        <v>285</v>
      </c>
      <c r="D26" s="429" t="s">
        <v>456</v>
      </c>
      <c r="E26" s="429" t="s">
        <v>490</v>
      </c>
      <c r="F26" s="429" t="s">
        <v>491</v>
      </c>
      <c r="G26" s="432">
        <v>16</v>
      </c>
      <c r="H26" s="432">
        <v>1568</v>
      </c>
      <c r="I26" s="429"/>
      <c r="J26" s="429">
        <v>98</v>
      </c>
      <c r="K26" s="432"/>
      <c r="L26" s="432"/>
      <c r="M26" s="429"/>
      <c r="N26" s="429"/>
      <c r="O26" s="432"/>
      <c r="P26" s="432"/>
      <c r="Q26" s="484"/>
      <c r="R26" s="433"/>
    </row>
    <row r="27" spans="1:18" ht="14.4" customHeight="1" x14ac:dyDescent="0.3">
      <c r="A27" s="428" t="s">
        <v>449</v>
      </c>
      <c r="B27" s="429" t="s">
        <v>485</v>
      </c>
      <c r="C27" s="429" t="s">
        <v>285</v>
      </c>
      <c r="D27" s="429" t="s">
        <v>456</v>
      </c>
      <c r="E27" s="429" t="s">
        <v>477</v>
      </c>
      <c r="F27" s="429" t="s">
        <v>478</v>
      </c>
      <c r="G27" s="432">
        <v>711</v>
      </c>
      <c r="H27" s="432">
        <v>186282</v>
      </c>
      <c r="I27" s="429"/>
      <c r="J27" s="429">
        <v>262</v>
      </c>
      <c r="K27" s="432"/>
      <c r="L27" s="432"/>
      <c r="M27" s="429"/>
      <c r="N27" s="429"/>
      <c r="O27" s="432"/>
      <c r="P27" s="432"/>
      <c r="Q27" s="484"/>
      <c r="R27" s="433"/>
    </row>
    <row r="28" spans="1:18" ht="14.4" customHeight="1" x14ac:dyDescent="0.3">
      <c r="A28" s="428" t="s">
        <v>449</v>
      </c>
      <c r="B28" s="429" t="s">
        <v>485</v>
      </c>
      <c r="C28" s="429" t="s">
        <v>285</v>
      </c>
      <c r="D28" s="429" t="s">
        <v>456</v>
      </c>
      <c r="E28" s="429" t="s">
        <v>479</v>
      </c>
      <c r="F28" s="429" t="s">
        <v>480</v>
      </c>
      <c r="G28" s="432">
        <v>62</v>
      </c>
      <c r="H28" s="432">
        <v>222332</v>
      </c>
      <c r="I28" s="429"/>
      <c r="J28" s="429">
        <v>3586</v>
      </c>
      <c r="K28" s="432"/>
      <c r="L28" s="432"/>
      <c r="M28" s="429"/>
      <c r="N28" s="429"/>
      <c r="O28" s="432"/>
      <c r="P28" s="432"/>
      <c r="Q28" s="484"/>
      <c r="R28" s="433"/>
    </row>
    <row r="29" spans="1:18" ht="14.4" customHeight="1" thickBot="1" x14ac:dyDescent="0.35">
      <c r="A29" s="434" t="s">
        <v>449</v>
      </c>
      <c r="B29" s="435" t="s">
        <v>485</v>
      </c>
      <c r="C29" s="435" t="s">
        <v>285</v>
      </c>
      <c r="D29" s="435" t="s">
        <v>456</v>
      </c>
      <c r="E29" s="435" t="s">
        <v>492</v>
      </c>
      <c r="F29" s="435" t="s">
        <v>493</v>
      </c>
      <c r="G29" s="438">
        <v>4</v>
      </c>
      <c r="H29" s="438">
        <v>824</v>
      </c>
      <c r="I29" s="435"/>
      <c r="J29" s="435">
        <v>206</v>
      </c>
      <c r="K29" s="438"/>
      <c r="L29" s="438"/>
      <c r="M29" s="435"/>
      <c r="N29" s="435"/>
      <c r="O29" s="438"/>
      <c r="P29" s="438"/>
      <c r="Q29" s="485"/>
      <c r="R29" s="439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24" t="s">
        <v>495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198" t="s">
        <v>227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1773</v>
      </c>
      <c r="I3" s="78">
        <f t="shared" si="0"/>
        <v>869935.66</v>
      </c>
      <c r="J3" s="58"/>
      <c r="K3" s="58"/>
      <c r="L3" s="78">
        <f t="shared" si="0"/>
        <v>1283</v>
      </c>
      <c r="M3" s="78">
        <f t="shared" si="0"/>
        <v>597867.66999999993</v>
      </c>
      <c r="N3" s="58"/>
      <c r="O3" s="58"/>
      <c r="P3" s="78">
        <f t="shared" si="0"/>
        <v>1955</v>
      </c>
      <c r="Q3" s="78">
        <f t="shared" si="0"/>
        <v>1368947.6500000001</v>
      </c>
      <c r="R3" s="59">
        <f>IF(M3=0,0,Q3/M3)</f>
        <v>2.2897168030510837</v>
      </c>
      <c r="S3" s="79">
        <f>IF(P3=0,0,Q3/P3)</f>
        <v>700.22897698209727</v>
      </c>
    </row>
    <row r="4" spans="1:19" ht="14.4" customHeight="1" x14ac:dyDescent="0.3">
      <c r="A4" s="371" t="s">
        <v>214</v>
      </c>
      <c r="B4" s="371" t="s">
        <v>76</v>
      </c>
      <c r="C4" s="379" t="s">
        <v>0</v>
      </c>
      <c r="D4" s="286" t="s">
        <v>106</v>
      </c>
      <c r="E4" s="373" t="s">
        <v>77</v>
      </c>
      <c r="F4" s="378" t="s">
        <v>52</v>
      </c>
      <c r="G4" s="374" t="s">
        <v>51</v>
      </c>
      <c r="H4" s="375">
        <v>2015</v>
      </c>
      <c r="I4" s="376"/>
      <c r="J4" s="76"/>
      <c r="K4" s="76"/>
      <c r="L4" s="375">
        <v>2016</v>
      </c>
      <c r="M4" s="376"/>
      <c r="N4" s="76"/>
      <c r="O4" s="76"/>
      <c r="P4" s="375">
        <v>2017</v>
      </c>
      <c r="Q4" s="376"/>
      <c r="R4" s="377" t="s">
        <v>2</v>
      </c>
      <c r="S4" s="372" t="s">
        <v>79</v>
      </c>
    </row>
    <row r="5" spans="1:19" ht="14.4" customHeight="1" thickBot="1" x14ac:dyDescent="0.35">
      <c r="A5" s="473"/>
      <c r="B5" s="473"/>
      <c r="C5" s="474"/>
      <c r="D5" s="486"/>
      <c r="E5" s="475"/>
      <c r="F5" s="476"/>
      <c r="G5" s="477"/>
      <c r="H5" s="478" t="s">
        <v>53</v>
      </c>
      <c r="I5" s="479" t="s">
        <v>10</v>
      </c>
      <c r="J5" s="480"/>
      <c r="K5" s="480"/>
      <c r="L5" s="478" t="s">
        <v>53</v>
      </c>
      <c r="M5" s="479" t="s">
        <v>10</v>
      </c>
      <c r="N5" s="480"/>
      <c r="O5" s="480"/>
      <c r="P5" s="478" t="s">
        <v>53</v>
      </c>
      <c r="Q5" s="479" t="s">
        <v>10</v>
      </c>
      <c r="R5" s="481"/>
      <c r="S5" s="482"/>
    </row>
    <row r="6" spans="1:19" ht="14.4" customHeight="1" x14ac:dyDescent="0.3">
      <c r="A6" s="422" t="s">
        <v>449</v>
      </c>
      <c r="B6" s="423" t="s">
        <v>450</v>
      </c>
      <c r="C6" s="423" t="s">
        <v>296</v>
      </c>
      <c r="D6" s="423" t="s">
        <v>430</v>
      </c>
      <c r="E6" s="423" t="s">
        <v>456</v>
      </c>
      <c r="F6" s="423" t="s">
        <v>465</v>
      </c>
      <c r="G6" s="423" t="s">
        <v>466</v>
      </c>
      <c r="H6" s="426">
        <v>1</v>
      </c>
      <c r="I6" s="426">
        <v>36</v>
      </c>
      <c r="J6" s="423">
        <v>8.1081081081081086E-2</v>
      </c>
      <c r="K6" s="423">
        <v>36</v>
      </c>
      <c r="L6" s="426">
        <v>12</v>
      </c>
      <c r="M6" s="426">
        <v>444</v>
      </c>
      <c r="N6" s="423">
        <v>1</v>
      </c>
      <c r="O6" s="423">
        <v>37</v>
      </c>
      <c r="P6" s="426">
        <v>1</v>
      </c>
      <c r="Q6" s="426">
        <v>37</v>
      </c>
      <c r="R6" s="483">
        <v>8.3333333333333329E-2</v>
      </c>
      <c r="S6" s="427">
        <v>37</v>
      </c>
    </row>
    <row r="7" spans="1:19" ht="14.4" customHeight="1" x14ac:dyDescent="0.3">
      <c r="A7" s="428" t="s">
        <v>449</v>
      </c>
      <c r="B7" s="429" t="s">
        <v>450</v>
      </c>
      <c r="C7" s="429" t="s">
        <v>296</v>
      </c>
      <c r="D7" s="429" t="s">
        <v>430</v>
      </c>
      <c r="E7" s="429" t="s">
        <v>456</v>
      </c>
      <c r="F7" s="429" t="s">
        <v>475</v>
      </c>
      <c r="G7" s="429" t="s">
        <v>476</v>
      </c>
      <c r="H7" s="432"/>
      <c r="I7" s="432"/>
      <c r="J7" s="429"/>
      <c r="K7" s="429"/>
      <c r="L7" s="432">
        <v>3</v>
      </c>
      <c r="M7" s="432">
        <v>177</v>
      </c>
      <c r="N7" s="429">
        <v>1</v>
      </c>
      <c r="O7" s="429">
        <v>59</v>
      </c>
      <c r="P7" s="432">
        <v>3</v>
      </c>
      <c r="Q7" s="432">
        <v>177</v>
      </c>
      <c r="R7" s="484">
        <v>1</v>
      </c>
      <c r="S7" s="433">
        <v>59</v>
      </c>
    </row>
    <row r="8" spans="1:19" ht="14.4" customHeight="1" x14ac:dyDescent="0.3">
      <c r="A8" s="428" t="s">
        <v>449</v>
      </c>
      <c r="B8" s="429" t="s">
        <v>450</v>
      </c>
      <c r="C8" s="429" t="s">
        <v>296</v>
      </c>
      <c r="D8" s="429" t="s">
        <v>431</v>
      </c>
      <c r="E8" s="429" t="s">
        <v>456</v>
      </c>
      <c r="F8" s="429" t="s">
        <v>465</v>
      </c>
      <c r="G8" s="429" t="s">
        <v>466</v>
      </c>
      <c r="H8" s="432"/>
      <c r="I8" s="432"/>
      <c r="J8" s="429"/>
      <c r="K8" s="429"/>
      <c r="L8" s="432"/>
      <c r="M8" s="432"/>
      <c r="N8" s="429"/>
      <c r="O8" s="429"/>
      <c r="P8" s="432">
        <v>1</v>
      </c>
      <c r="Q8" s="432">
        <v>37</v>
      </c>
      <c r="R8" s="484"/>
      <c r="S8" s="433">
        <v>37</v>
      </c>
    </row>
    <row r="9" spans="1:19" ht="14.4" customHeight="1" x14ac:dyDescent="0.3">
      <c r="A9" s="428" t="s">
        <v>449</v>
      </c>
      <c r="B9" s="429" t="s">
        <v>450</v>
      </c>
      <c r="C9" s="429" t="s">
        <v>296</v>
      </c>
      <c r="D9" s="429" t="s">
        <v>432</v>
      </c>
      <c r="E9" s="429" t="s">
        <v>456</v>
      </c>
      <c r="F9" s="429" t="s">
        <v>465</v>
      </c>
      <c r="G9" s="429" t="s">
        <v>466</v>
      </c>
      <c r="H9" s="432">
        <v>3</v>
      </c>
      <c r="I9" s="432">
        <v>108</v>
      </c>
      <c r="J9" s="429"/>
      <c r="K9" s="429">
        <v>36</v>
      </c>
      <c r="L9" s="432"/>
      <c r="M9" s="432"/>
      <c r="N9" s="429"/>
      <c r="O9" s="429"/>
      <c r="P9" s="432">
        <v>8</v>
      </c>
      <c r="Q9" s="432">
        <v>296</v>
      </c>
      <c r="R9" s="484"/>
      <c r="S9" s="433">
        <v>37</v>
      </c>
    </row>
    <row r="10" spans="1:19" ht="14.4" customHeight="1" x14ac:dyDescent="0.3">
      <c r="A10" s="428" t="s">
        <v>449</v>
      </c>
      <c r="B10" s="429" t="s">
        <v>450</v>
      </c>
      <c r="C10" s="429" t="s">
        <v>296</v>
      </c>
      <c r="D10" s="429" t="s">
        <v>432</v>
      </c>
      <c r="E10" s="429" t="s">
        <v>456</v>
      </c>
      <c r="F10" s="429" t="s">
        <v>467</v>
      </c>
      <c r="G10" s="429" t="s">
        <v>468</v>
      </c>
      <c r="H10" s="432">
        <v>4</v>
      </c>
      <c r="I10" s="432">
        <v>500</v>
      </c>
      <c r="J10" s="429"/>
      <c r="K10" s="429">
        <v>125</v>
      </c>
      <c r="L10" s="432"/>
      <c r="M10" s="432"/>
      <c r="N10" s="429"/>
      <c r="O10" s="429"/>
      <c r="P10" s="432"/>
      <c r="Q10" s="432"/>
      <c r="R10" s="484"/>
      <c r="S10" s="433"/>
    </row>
    <row r="11" spans="1:19" ht="14.4" customHeight="1" x14ac:dyDescent="0.3">
      <c r="A11" s="428" t="s">
        <v>449</v>
      </c>
      <c r="B11" s="429" t="s">
        <v>450</v>
      </c>
      <c r="C11" s="429" t="s">
        <v>296</v>
      </c>
      <c r="D11" s="429" t="s">
        <v>432</v>
      </c>
      <c r="E11" s="429" t="s">
        <v>456</v>
      </c>
      <c r="F11" s="429" t="s">
        <v>475</v>
      </c>
      <c r="G11" s="429" t="s">
        <v>476</v>
      </c>
      <c r="H11" s="432"/>
      <c r="I11" s="432"/>
      <c r="J11" s="429"/>
      <c r="K11" s="429"/>
      <c r="L11" s="432">
        <v>1</v>
      </c>
      <c r="M11" s="432">
        <v>59</v>
      </c>
      <c r="N11" s="429">
        <v>1</v>
      </c>
      <c r="O11" s="429">
        <v>59</v>
      </c>
      <c r="P11" s="432">
        <v>1</v>
      </c>
      <c r="Q11" s="432">
        <v>59</v>
      </c>
      <c r="R11" s="484">
        <v>1</v>
      </c>
      <c r="S11" s="433">
        <v>59</v>
      </c>
    </row>
    <row r="12" spans="1:19" ht="14.4" customHeight="1" x14ac:dyDescent="0.3">
      <c r="A12" s="428" t="s">
        <v>449</v>
      </c>
      <c r="B12" s="429" t="s">
        <v>450</v>
      </c>
      <c r="C12" s="429" t="s">
        <v>296</v>
      </c>
      <c r="D12" s="429" t="s">
        <v>424</v>
      </c>
      <c r="E12" s="429" t="s">
        <v>456</v>
      </c>
      <c r="F12" s="429" t="s">
        <v>463</v>
      </c>
      <c r="G12" s="429" t="s">
        <v>464</v>
      </c>
      <c r="H12" s="432">
        <v>22</v>
      </c>
      <c r="I12" s="432">
        <v>733.32999999999993</v>
      </c>
      <c r="J12" s="429"/>
      <c r="K12" s="429">
        <v>33.333181818181814</v>
      </c>
      <c r="L12" s="432"/>
      <c r="M12" s="432"/>
      <c r="N12" s="429"/>
      <c r="O12" s="429"/>
      <c r="P12" s="432"/>
      <c r="Q12" s="432"/>
      <c r="R12" s="484"/>
      <c r="S12" s="433"/>
    </row>
    <row r="13" spans="1:19" ht="14.4" customHeight="1" x14ac:dyDescent="0.3">
      <c r="A13" s="428" t="s">
        <v>449</v>
      </c>
      <c r="B13" s="429" t="s">
        <v>450</v>
      </c>
      <c r="C13" s="429" t="s">
        <v>296</v>
      </c>
      <c r="D13" s="429" t="s">
        <v>424</v>
      </c>
      <c r="E13" s="429" t="s">
        <v>456</v>
      </c>
      <c r="F13" s="429" t="s">
        <v>479</v>
      </c>
      <c r="G13" s="429" t="s">
        <v>480</v>
      </c>
      <c r="H13" s="432"/>
      <c r="I13" s="432"/>
      <c r="J13" s="429"/>
      <c r="K13" s="429"/>
      <c r="L13" s="432"/>
      <c r="M13" s="432"/>
      <c r="N13" s="429"/>
      <c r="O13" s="429"/>
      <c r="P13" s="432">
        <v>4</v>
      </c>
      <c r="Q13" s="432">
        <v>14344</v>
      </c>
      <c r="R13" s="484"/>
      <c r="S13" s="433">
        <v>3586</v>
      </c>
    </row>
    <row r="14" spans="1:19" ht="14.4" customHeight="1" x14ac:dyDescent="0.3">
      <c r="A14" s="428" t="s">
        <v>449</v>
      </c>
      <c r="B14" s="429" t="s">
        <v>450</v>
      </c>
      <c r="C14" s="429" t="s">
        <v>296</v>
      </c>
      <c r="D14" s="429" t="s">
        <v>434</v>
      </c>
      <c r="E14" s="429" t="s">
        <v>456</v>
      </c>
      <c r="F14" s="429" t="s">
        <v>467</v>
      </c>
      <c r="G14" s="429" t="s">
        <v>468</v>
      </c>
      <c r="H14" s="432">
        <v>1</v>
      </c>
      <c r="I14" s="432">
        <v>125</v>
      </c>
      <c r="J14" s="429"/>
      <c r="K14" s="429">
        <v>125</v>
      </c>
      <c r="L14" s="432"/>
      <c r="M14" s="432"/>
      <c r="N14" s="429"/>
      <c r="O14" s="429"/>
      <c r="P14" s="432"/>
      <c r="Q14" s="432"/>
      <c r="R14" s="484"/>
      <c r="S14" s="433"/>
    </row>
    <row r="15" spans="1:19" ht="14.4" customHeight="1" x14ac:dyDescent="0.3">
      <c r="A15" s="428" t="s">
        <v>449</v>
      </c>
      <c r="B15" s="429" t="s">
        <v>450</v>
      </c>
      <c r="C15" s="429" t="s">
        <v>296</v>
      </c>
      <c r="D15" s="429" t="s">
        <v>435</v>
      </c>
      <c r="E15" s="429" t="s">
        <v>456</v>
      </c>
      <c r="F15" s="429" t="s">
        <v>465</v>
      </c>
      <c r="G15" s="429" t="s">
        <v>466</v>
      </c>
      <c r="H15" s="432"/>
      <c r="I15" s="432"/>
      <c r="J15" s="429"/>
      <c r="K15" s="429"/>
      <c r="L15" s="432"/>
      <c r="M15" s="432"/>
      <c r="N15" s="429"/>
      <c r="O15" s="429"/>
      <c r="P15" s="432">
        <v>1</v>
      </c>
      <c r="Q15" s="432">
        <v>37</v>
      </c>
      <c r="R15" s="484"/>
      <c r="S15" s="433">
        <v>37</v>
      </c>
    </row>
    <row r="16" spans="1:19" ht="14.4" customHeight="1" x14ac:dyDescent="0.3">
      <c r="A16" s="428" t="s">
        <v>449</v>
      </c>
      <c r="B16" s="429" t="s">
        <v>450</v>
      </c>
      <c r="C16" s="429" t="s">
        <v>296</v>
      </c>
      <c r="D16" s="429" t="s">
        <v>435</v>
      </c>
      <c r="E16" s="429" t="s">
        <v>456</v>
      </c>
      <c r="F16" s="429" t="s">
        <v>467</v>
      </c>
      <c r="G16" s="429" t="s">
        <v>468</v>
      </c>
      <c r="H16" s="432">
        <v>1</v>
      </c>
      <c r="I16" s="432">
        <v>125</v>
      </c>
      <c r="J16" s="429"/>
      <c r="K16" s="429">
        <v>125</v>
      </c>
      <c r="L16" s="432"/>
      <c r="M16" s="432"/>
      <c r="N16" s="429"/>
      <c r="O16" s="429"/>
      <c r="P16" s="432"/>
      <c r="Q16" s="432"/>
      <c r="R16" s="484"/>
      <c r="S16" s="433"/>
    </row>
    <row r="17" spans="1:19" ht="14.4" customHeight="1" x14ac:dyDescent="0.3">
      <c r="A17" s="428" t="s">
        <v>449</v>
      </c>
      <c r="B17" s="429" t="s">
        <v>450</v>
      </c>
      <c r="C17" s="429" t="s">
        <v>296</v>
      </c>
      <c r="D17" s="429" t="s">
        <v>436</v>
      </c>
      <c r="E17" s="429" t="s">
        <v>456</v>
      </c>
      <c r="F17" s="429" t="s">
        <v>475</v>
      </c>
      <c r="G17" s="429" t="s">
        <v>476</v>
      </c>
      <c r="H17" s="432"/>
      <c r="I17" s="432"/>
      <c r="J17" s="429"/>
      <c r="K17" s="429"/>
      <c r="L17" s="432">
        <v>1</v>
      </c>
      <c r="M17" s="432">
        <v>59</v>
      </c>
      <c r="N17" s="429">
        <v>1</v>
      </c>
      <c r="O17" s="429">
        <v>59</v>
      </c>
      <c r="P17" s="432"/>
      <c r="Q17" s="432"/>
      <c r="R17" s="484"/>
      <c r="S17" s="433"/>
    </row>
    <row r="18" spans="1:19" ht="14.4" customHeight="1" x14ac:dyDescent="0.3">
      <c r="A18" s="428" t="s">
        <v>449</v>
      </c>
      <c r="B18" s="429" t="s">
        <v>450</v>
      </c>
      <c r="C18" s="429" t="s">
        <v>296</v>
      </c>
      <c r="D18" s="429" t="s">
        <v>439</v>
      </c>
      <c r="E18" s="429" t="s">
        <v>456</v>
      </c>
      <c r="F18" s="429" t="s">
        <v>465</v>
      </c>
      <c r="G18" s="429" t="s">
        <v>466</v>
      </c>
      <c r="H18" s="432">
        <v>6</v>
      </c>
      <c r="I18" s="432">
        <v>216</v>
      </c>
      <c r="J18" s="429">
        <v>2.9189189189189189</v>
      </c>
      <c r="K18" s="429">
        <v>36</v>
      </c>
      <c r="L18" s="432">
        <v>2</v>
      </c>
      <c r="M18" s="432">
        <v>74</v>
      </c>
      <c r="N18" s="429">
        <v>1</v>
      </c>
      <c r="O18" s="429">
        <v>37</v>
      </c>
      <c r="P18" s="432">
        <v>6</v>
      </c>
      <c r="Q18" s="432">
        <v>222</v>
      </c>
      <c r="R18" s="484">
        <v>3</v>
      </c>
      <c r="S18" s="433">
        <v>37</v>
      </c>
    </row>
    <row r="19" spans="1:19" ht="14.4" customHeight="1" x14ac:dyDescent="0.3">
      <c r="A19" s="428" t="s">
        <v>449</v>
      </c>
      <c r="B19" s="429" t="s">
        <v>450</v>
      </c>
      <c r="C19" s="429" t="s">
        <v>296</v>
      </c>
      <c r="D19" s="429" t="s">
        <v>439</v>
      </c>
      <c r="E19" s="429" t="s">
        <v>456</v>
      </c>
      <c r="F19" s="429" t="s">
        <v>475</v>
      </c>
      <c r="G19" s="429" t="s">
        <v>476</v>
      </c>
      <c r="H19" s="432"/>
      <c r="I19" s="432"/>
      <c r="J19" s="429"/>
      <c r="K19" s="429"/>
      <c r="L19" s="432">
        <v>1</v>
      </c>
      <c r="M19" s="432">
        <v>59</v>
      </c>
      <c r="N19" s="429">
        <v>1</v>
      </c>
      <c r="O19" s="429">
        <v>59</v>
      </c>
      <c r="P19" s="432"/>
      <c r="Q19" s="432"/>
      <c r="R19" s="484"/>
      <c r="S19" s="433"/>
    </row>
    <row r="20" spans="1:19" ht="14.4" customHeight="1" x14ac:dyDescent="0.3">
      <c r="A20" s="428" t="s">
        <v>449</v>
      </c>
      <c r="B20" s="429" t="s">
        <v>450</v>
      </c>
      <c r="C20" s="429" t="s">
        <v>296</v>
      </c>
      <c r="D20" s="429" t="s">
        <v>440</v>
      </c>
      <c r="E20" s="429" t="s">
        <v>456</v>
      </c>
      <c r="F20" s="429" t="s">
        <v>465</v>
      </c>
      <c r="G20" s="429" t="s">
        <v>466</v>
      </c>
      <c r="H20" s="432">
        <v>5</v>
      </c>
      <c r="I20" s="432">
        <v>180</v>
      </c>
      <c r="J20" s="429">
        <v>1.6216216216216217</v>
      </c>
      <c r="K20" s="429">
        <v>36</v>
      </c>
      <c r="L20" s="432">
        <v>3</v>
      </c>
      <c r="M20" s="432">
        <v>111</v>
      </c>
      <c r="N20" s="429">
        <v>1</v>
      </c>
      <c r="O20" s="429">
        <v>37</v>
      </c>
      <c r="P20" s="432"/>
      <c r="Q20" s="432"/>
      <c r="R20" s="484"/>
      <c r="S20" s="433"/>
    </row>
    <row r="21" spans="1:19" ht="14.4" customHeight="1" x14ac:dyDescent="0.3">
      <c r="A21" s="428" t="s">
        <v>449</v>
      </c>
      <c r="B21" s="429" t="s">
        <v>450</v>
      </c>
      <c r="C21" s="429" t="s">
        <v>296</v>
      </c>
      <c r="D21" s="429" t="s">
        <v>440</v>
      </c>
      <c r="E21" s="429" t="s">
        <v>456</v>
      </c>
      <c r="F21" s="429" t="s">
        <v>467</v>
      </c>
      <c r="G21" s="429" t="s">
        <v>468</v>
      </c>
      <c r="H21" s="432">
        <v>5</v>
      </c>
      <c r="I21" s="432">
        <v>625</v>
      </c>
      <c r="J21" s="429"/>
      <c r="K21" s="429">
        <v>125</v>
      </c>
      <c r="L21" s="432"/>
      <c r="M21" s="432"/>
      <c r="N21" s="429"/>
      <c r="O21" s="429"/>
      <c r="P21" s="432"/>
      <c r="Q21" s="432"/>
      <c r="R21" s="484"/>
      <c r="S21" s="433"/>
    </row>
    <row r="22" spans="1:19" ht="14.4" customHeight="1" x14ac:dyDescent="0.3">
      <c r="A22" s="428" t="s">
        <v>449</v>
      </c>
      <c r="B22" s="429" t="s">
        <v>450</v>
      </c>
      <c r="C22" s="429" t="s">
        <v>296</v>
      </c>
      <c r="D22" s="429" t="s">
        <v>440</v>
      </c>
      <c r="E22" s="429" t="s">
        <v>456</v>
      </c>
      <c r="F22" s="429" t="s">
        <v>473</v>
      </c>
      <c r="G22" s="429" t="s">
        <v>474</v>
      </c>
      <c r="H22" s="432">
        <v>1</v>
      </c>
      <c r="I22" s="432">
        <v>70</v>
      </c>
      <c r="J22" s="429"/>
      <c r="K22" s="429">
        <v>70</v>
      </c>
      <c r="L22" s="432"/>
      <c r="M22" s="432"/>
      <c r="N22" s="429"/>
      <c r="O22" s="429"/>
      <c r="P22" s="432"/>
      <c r="Q22" s="432"/>
      <c r="R22" s="484"/>
      <c r="S22" s="433"/>
    </row>
    <row r="23" spans="1:19" ht="14.4" customHeight="1" x14ac:dyDescent="0.3">
      <c r="A23" s="428" t="s">
        <v>449</v>
      </c>
      <c r="B23" s="429" t="s">
        <v>450</v>
      </c>
      <c r="C23" s="429" t="s">
        <v>296</v>
      </c>
      <c r="D23" s="429" t="s">
        <v>440</v>
      </c>
      <c r="E23" s="429" t="s">
        <v>456</v>
      </c>
      <c r="F23" s="429" t="s">
        <v>475</v>
      </c>
      <c r="G23" s="429" t="s">
        <v>476</v>
      </c>
      <c r="H23" s="432"/>
      <c r="I23" s="432"/>
      <c r="J23" s="429"/>
      <c r="K23" s="429"/>
      <c r="L23" s="432">
        <v>2</v>
      </c>
      <c r="M23" s="432">
        <v>118</v>
      </c>
      <c r="N23" s="429">
        <v>1</v>
      </c>
      <c r="O23" s="429">
        <v>59</v>
      </c>
      <c r="P23" s="432"/>
      <c r="Q23" s="432"/>
      <c r="R23" s="484"/>
      <c r="S23" s="433"/>
    </row>
    <row r="24" spans="1:19" ht="14.4" customHeight="1" x14ac:dyDescent="0.3">
      <c r="A24" s="428" t="s">
        <v>449</v>
      </c>
      <c r="B24" s="429" t="s">
        <v>450</v>
      </c>
      <c r="C24" s="429" t="s">
        <v>296</v>
      </c>
      <c r="D24" s="429" t="s">
        <v>441</v>
      </c>
      <c r="E24" s="429" t="s">
        <v>456</v>
      </c>
      <c r="F24" s="429" t="s">
        <v>465</v>
      </c>
      <c r="G24" s="429" t="s">
        <v>466</v>
      </c>
      <c r="H24" s="432"/>
      <c r="I24" s="432"/>
      <c r="J24" s="429"/>
      <c r="K24" s="429"/>
      <c r="L24" s="432"/>
      <c r="M24" s="432"/>
      <c r="N24" s="429"/>
      <c r="O24" s="429"/>
      <c r="P24" s="432">
        <v>2</v>
      </c>
      <c r="Q24" s="432">
        <v>74</v>
      </c>
      <c r="R24" s="484"/>
      <c r="S24" s="433">
        <v>37</v>
      </c>
    </row>
    <row r="25" spans="1:19" ht="14.4" customHeight="1" x14ac:dyDescent="0.3">
      <c r="A25" s="428" t="s">
        <v>449</v>
      </c>
      <c r="B25" s="429" t="s">
        <v>450</v>
      </c>
      <c r="C25" s="429" t="s">
        <v>296</v>
      </c>
      <c r="D25" s="429" t="s">
        <v>441</v>
      </c>
      <c r="E25" s="429" t="s">
        <v>456</v>
      </c>
      <c r="F25" s="429" t="s">
        <v>475</v>
      </c>
      <c r="G25" s="429" t="s">
        <v>476</v>
      </c>
      <c r="H25" s="432"/>
      <c r="I25" s="432"/>
      <c r="J25" s="429"/>
      <c r="K25" s="429"/>
      <c r="L25" s="432"/>
      <c r="M25" s="432"/>
      <c r="N25" s="429"/>
      <c r="O25" s="429"/>
      <c r="P25" s="432">
        <v>3</v>
      </c>
      <c r="Q25" s="432">
        <v>177</v>
      </c>
      <c r="R25" s="484"/>
      <c r="S25" s="433">
        <v>59</v>
      </c>
    </row>
    <row r="26" spans="1:19" ht="14.4" customHeight="1" x14ac:dyDescent="0.3">
      <c r="A26" s="428" t="s">
        <v>449</v>
      </c>
      <c r="B26" s="429" t="s">
        <v>450</v>
      </c>
      <c r="C26" s="429" t="s">
        <v>296</v>
      </c>
      <c r="D26" s="429" t="s">
        <v>442</v>
      </c>
      <c r="E26" s="429" t="s">
        <v>456</v>
      </c>
      <c r="F26" s="429" t="s">
        <v>465</v>
      </c>
      <c r="G26" s="429" t="s">
        <v>466</v>
      </c>
      <c r="H26" s="432"/>
      <c r="I26" s="432"/>
      <c r="J26" s="429"/>
      <c r="K26" s="429"/>
      <c r="L26" s="432"/>
      <c r="M26" s="432"/>
      <c r="N26" s="429"/>
      <c r="O26" s="429"/>
      <c r="P26" s="432">
        <v>1</v>
      </c>
      <c r="Q26" s="432">
        <v>37</v>
      </c>
      <c r="R26" s="484"/>
      <c r="S26" s="433">
        <v>37</v>
      </c>
    </row>
    <row r="27" spans="1:19" ht="14.4" customHeight="1" x14ac:dyDescent="0.3">
      <c r="A27" s="428" t="s">
        <v>449</v>
      </c>
      <c r="B27" s="429" t="s">
        <v>450</v>
      </c>
      <c r="C27" s="429" t="s">
        <v>296</v>
      </c>
      <c r="D27" s="429" t="s">
        <v>443</v>
      </c>
      <c r="E27" s="429" t="s">
        <v>456</v>
      </c>
      <c r="F27" s="429" t="s">
        <v>465</v>
      </c>
      <c r="G27" s="429" t="s">
        <v>466</v>
      </c>
      <c r="H27" s="432">
        <v>6</v>
      </c>
      <c r="I27" s="432">
        <v>216</v>
      </c>
      <c r="J27" s="429"/>
      <c r="K27" s="429">
        <v>36</v>
      </c>
      <c r="L27" s="432"/>
      <c r="M27" s="432"/>
      <c r="N27" s="429"/>
      <c r="O27" s="429"/>
      <c r="P27" s="432"/>
      <c r="Q27" s="432"/>
      <c r="R27" s="484"/>
      <c r="S27" s="433"/>
    </row>
    <row r="28" spans="1:19" ht="14.4" customHeight="1" x14ac:dyDescent="0.3">
      <c r="A28" s="428" t="s">
        <v>449</v>
      </c>
      <c r="B28" s="429" t="s">
        <v>450</v>
      </c>
      <c r="C28" s="429" t="s">
        <v>296</v>
      </c>
      <c r="D28" s="429" t="s">
        <v>443</v>
      </c>
      <c r="E28" s="429" t="s">
        <v>456</v>
      </c>
      <c r="F28" s="429" t="s">
        <v>467</v>
      </c>
      <c r="G28" s="429" t="s">
        <v>468</v>
      </c>
      <c r="H28" s="432">
        <v>4</v>
      </c>
      <c r="I28" s="432">
        <v>500</v>
      </c>
      <c r="J28" s="429"/>
      <c r="K28" s="429">
        <v>125</v>
      </c>
      <c r="L28" s="432"/>
      <c r="M28" s="432"/>
      <c r="N28" s="429"/>
      <c r="O28" s="429"/>
      <c r="P28" s="432"/>
      <c r="Q28" s="432"/>
      <c r="R28" s="484"/>
      <c r="S28" s="433"/>
    </row>
    <row r="29" spans="1:19" ht="14.4" customHeight="1" x14ac:dyDescent="0.3">
      <c r="A29" s="428" t="s">
        <v>449</v>
      </c>
      <c r="B29" s="429" t="s">
        <v>450</v>
      </c>
      <c r="C29" s="429" t="s">
        <v>296</v>
      </c>
      <c r="D29" s="429" t="s">
        <v>443</v>
      </c>
      <c r="E29" s="429" t="s">
        <v>456</v>
      </c>
      <c r="F29" s="429" t="s">
        <v>475</v>
      </c>
      <c r="G29" s="429" t="s">
        <v>476</v>
      </c>
      <c r="H29" s="432"/>
      <c r="I29" s="432"/>
      <c r="J29" s="429"/>
      <c r="K29" s="429"/>
      <c r="L29" s="432">
        <v>1</v>
      </c>
      <c r="M29" s="432">
        <v>59</v>
      </c>
      <c r="N29" s="429">
        <v>1</v>
      </c>
      <c r="O29" s="429">
        <v>59</v>
      </c>
      <c r="P29" s="432"/>
      <c r="Q29" s="432"/>
      <c r="R29" s="484"/>
      <c r="S29" s="433"/>
    </row>
    <row r="30" spans="1:19" ht="14.4" customHeight="1" x14ac:dyDescent="0.3">
      <c r="A30" s="428" t="s">
        <v>449</v>
      </c>
      <c r="B30" s="429" t="s">
        <v>450</v>
      </c>
      <c r="C30" s="429" t="s">
        <v>296</v>
      </c>
      <c r="D30" s="429" t="s">
        <v>444</v>
      </c>
      <c r="E30" s="429" t="s">
        <v>456</v>
      </c>
      <c r="F30" s="429" t="s">
        <v>465</v>
      </c>
      <c r="G30" s="429" t="s">
        <v>466</v>
      </c>
      <c r="H30" s="432"/>
      <c r="I30" s="432"/>
      <c r="J30" s="429"/>
      <c r="K30" s="429"/>
      <c r="L30" s="432">
        <v>7</v>
      </c>
      <c r="M30" s="432">
        <v>259</v>
      </c>
      <c r="N30" s="429">
        <v>1</v>
      </c>
      <c r="O30" s="429">
        <v>37</v>
      </c>
      <c r="P30" s="432"/>
      <c r="Q30" s="432"/>
      <c r="R30" s="484"/>
      <c r="S30" s="433"/>
    </row>
    <row r="31" spans="1:19" ht="14.4" customHeight="1" x14ac:dyDescent="0.3">
      <c r="A31" s="428" t="s">
        <v>449</v>
      </c>
      <c r="B31" s="429" t="s">
        <v>450</v>
      </c>
      <c r="C31" s="429" t="s">
        <v>296</v>
      </c>
      <c r="D31" s="429" t="s">
        <v>445</v>
      </c>
      <c r="E31" s="429" t="s">
        <v>456</v>
      </c>
      <c r="F31" s="429" t="s">
        <v>459</v>
      </c>
      <c r="G31" s="429" t="s">
        <v>460</v>
      </c>
      <c r="H31" s="432">
        <v>67</v>
      </c>
      <c r="I31" s="432">
        <v>2345</v>
      </c>
      <c r="J31" s="429">
        <v>0.42823228634039445</v>
      </c>
      <c r="K31" s="429">
        <v>35</v>
      </c>
      <c r="L31" s="432">
        <v>148</v>
      </c>
      <c r="M31" s="432">
        <v>5476</v>
      </c>
      <c r="N31" s="429">
        <v>1</v>
      </c>
      <c r="O31" s="429">
        <v>37</v>
      </c>
      <c r="P31" s="432">
        <v>188</v>
      </c>
      <c r="Q31" s="432">
        <v>6956</v>
      </c>
      <c r="R31" s="484">
        <v>1.2702702702702702</v>
      </c>
      <c r="S31" s="433">
        <v>37</v>
      </c>
    </row>
    <row r="32" spans="1:19" ht="14.4" customHeight="1" x14ac:dyDescent="0.3">
      <c r="A32" s="428" t="s">
        <v>449</v>
      </c>
      <c r="B32" s="429" t="s">
        <v>450</v>
      </c>
      <c r="C32" s="429" t="s">
        <v>296</v>
      </c>
      <c r="D32" s="429" t="s">
        <v>445</v>
      </c>
      <c r="E32" s="429" t="s">
        <v>456</v>
      </c>
      <c r="F32" s="429" t="s">
        <v>461</v>
      </c>
      <c r="G32" s="429" t="s">
        <v>462</v>
      </c>
      <c r="H32" s="432">
        <v>39</v>
      </c>
      <c r="I32" s="432">
        <v>17082</v>
      </c>
      <c r="J32" s="429">
        <v>0.60703624733475481</v>
      </c>
      <c r="K32" s="429">
        <v>438</v>
      </c>
      <c r="L32" s="432">
        <v>60</v>
      </c>
      <c r="M32" s="432">
        <v>28140</v>
      </c>
      <c r="N32" s="429">
        <v>1</v>
      </c>
      <c r="O32" s="429">
        <v>469</v>
      </c>
      <c r="P32" s="432">
        <v>76</v>
      </c>
      <c r="Q32" s="432">
        <v>35720</v>
      </c>
      <c r="R32" s="484">
        <v>1.2693674484719262</v>
      </c>
      <c r="S32" s="433">
        <v>470</v>
      </c>
    </row>
    <row r="33" spans="1:19" ht="14.4" customHeight="1" x14ac:dyDescent="0.3">
      <c r="A33" s="428" t="s">
        <v>449</v>
      </c>
      <c r="B33" s="429" t="s">
        <v>450</v>
      </c>
      <c r="C33" s="429" t="s">
        <v>296</v>
      </c>
      <c r="D33" s="429" t="s">
        <v>445</v>
      </c>
      <c r="E33" s="429" t="s">
        <v>456</v>
      </c>
      <c r="F33" s="429" t="s">
        <v>463</v>
      </c>
      <c r="G33" s="429" t="s">
        <v>464</v>
      </c>
      <c r="H33" s="432">
        <v>20</v>
      </c>
      <c r="I33" s="432">
        <v>333.33</v>
      </c>
      <c r="J33" s="429">
        <v>0.14705713668068138</v>
      </c>
      <c r="K33" s="429">
        <v>16.666499999999999</v>
      </c>
      <c r="L33" s="432">
        <v>68</v>
      </c>
      <c r="M33" s="432">
        <v>2266.6699999999996</v>
      </c>
      <c r="N33" s="429">
        <v>1</v>
      </c>
      <c r="O33" s="429">
        <v>33.333382352941172</v>
      </c>
      <c r="P33" s="432">
        <v>89</v>
      </c>
      <c r="Q33" s="432">
        <v>2966.66</v>
      </c>
      <c r="R33" s="484">
        <v>1.3088186635019656</v>
      </c>
      <c r="S33" s="433">
        <v>33.333258426966289</v>
      </c>
    </row>
    <row r="34" spans="1:19" ht="14.4" customHeight="1" x14ac:dyDescent="0.3">
      <c r="A34" s="428" t="s">
        <v>449</v>
      </c>
      <c r="B34" s="429" t="s">
        <v>450</v>
      </c>
      <c r="C34" s="429" t="s">
        <v>296</v>
      </c>
      <c r="D34" s="429" t="s">
        <v>445</v>
      </c>
      <c r="E34" s="429" t="s">
        <v>456</v>
      </c>
      <c r="F34" s="429" t="s">
        <v>465</v>
      </c>
      <c r="G34" s="429" t="s">
        <v>466</v>
      </c>
      <c r="H34" s="432">
        <v>1</v>
      </c>
      <c r="I34" s="432">
        <v>36</v>
      </c>
      <c r="J34" s="429"/>
      <c r="K34" s="429">
        <v>36</v>
      </c>
      <c r="L34" s="432"/>
      <c r="M34" s="432"/>
      <c r="N34" s="429"/>
      <c r="O34" s="429"/>
      <c r="P34" s="432">
        <v>2</v>
      </c>
      <c r="Q34" s="432">
        <v>74</v>
      </c>
      <c r="R34" s="484"/>
      <c r="S34" s="433">
        <v>37</v>
      </c>
    </row>
    <row r="35" spans="1:19" ht="14.4" customHeight="1" x14ac:dyDescent="0.3">
      <c r="A35" s="428" t="s">
        <v>449</v>
      </c>
      <c r="B35" s="429" t="s">
        <v>450</v>
      </c>
      <c r="C35" s="429" t="s">
        <v>296</v>
      </c>
      <c r="D35" s="429" t="s">
        <v>445</v>
      </c>
      <c r="E35" s="429" t="s">
        <v>456</v>
      </c>
      <c r="F35" s="429" t="s">
        <v>467</v>
      </c>
      <c r="G35" s="429" t="s">
        <v>468</v>
      </c>
      <c r="H35" s="432">
        <v>1</v>
      </c>
      <c r="I35" s="432">
        <v>125</v>
      </c>
      <c r="J35" s="429"/>
      <c r="K35" s="429">
        <v>125</v>
      </c>
      <c r="L35" s="432"/>
      <c r="M35" s="432"/>
      <c r="N35" s="429"/>
      <c r="O35" s="429"/>
      <c r="P35" s="432"/>
      <c r="Q35" s="432"/>
      <c r="R35" s="484"/>
      <c r="S35" s="433"/>
    </row>
    <row r="36" spans="1:19" ht="14.4" customHeight="1" x14ac:dyDescent="0.3">
      <c r="A36" s="428" t="s">
        <v>449</v>
      </c>
      <c r="B36" s="429" t="s">
        <v>450</v>
      </c>
      <c r="C36" s="429" t="s">
        <v>296</v>
      </c>
      <c r="D36" s="429" t="s">
        <v>445</v>
      </c>
      <c r="E36" s="429" t="s">
        <v>456</v>
      </c>
      <c r="F36" s="429" t="s">
        <v>469</v>
      </c>
      <c r="G36" s="429" t="s">
        <v>470</v>
      </c>
      <c r="H36" s="432">
        <v>2</v>
      </c>
      <c r="I36" s="432">
        <v>1306</v>
      </c>
      <c r="J36" s="429"/>
      <c r="K36" s="429">
        <v>653</v>
      </c>
      <c r="L36" s="432"/>
      <c r="M36" s="432"/>
      <c r="N36" s="429"/>
      <c r="O36" s="429"/>
      <c r="P36" s="432"/>
      <c r="Q36" s="432"/>
      <c r="R36" s="484"/>
      <c r="S36" s="433"/>
    </row>
    <row r="37" spans="1:19" ht="14.4" customHeight="1" x14ac:dyDescent="0.3">
      <c r="A37" s="428" t="s">
        <v>449</v>
      </c>
      <c r="B37" s="429" t="s">
        <v>450</v>
      </c>
      <c r="C37" s="429" t="s">
        <v>296</v>
      </c>
      <c r="D37" s="429" t="s">
        <v>445</v>
      </c>
      <c r="E37" s="429" t="s">
        <v>456</v>
      </c>
      <c r="F37" s="429" t="s">
        <v>471</v>
      </c>
      <c r="G37" s="429" t="s">
        <v>472</v>
      </c>
      <c r="H37" s="432">
        <v>5</v>
      </c>
      <c r="I37" s="432">
        <v>1095</v>
      </c>
      <c r="J37" s="429">
        <v>0.58244680851063835</v>
      </c>
      <c r="K37" s="429">
        <v>219</v>
      </c>
      <c r="L37" s="432">
        <v>8</v>
      </c>
      <c r="M37" s="432">
        <v>1880</v>
      </c>
      <c r="N37" s="429">
        <v>1</v>
      </c>
      <c r="O37" s="429">
        <v>235</v>
      </c>
      <c r="P37" s="432">
        <v>16</v>
      </c>
      <c r="Q37" s="432">
        <v>3760</v>
      </c>
      <c r="R37" s="484">
        <v>2</v>
      </c>
      <c r="S37" s="433">
        <v>235</v>
      </c>
    </row>
    <row r="38" spans="1:19" ht="14.4" customHeight="1" x14ac:dyDescent="0.3">
      <c r="A38" s="428" t="s">
        <v>449</v>
      </c>
      <c r="B38" s="429" t="s">
        <v>450</v>
      </c>
      <c r="C38" s="429" t="s">
        <v>296</v>
      </c>
      <c r="D38" s="429" t="s">
        <v>445</v>
      </c>
      <c r="E38" s="429" t="s">
        <v>456</v>
      </c>
      <c r="F38" s="429" t="s">
        <v>475</v>
      </c>
      <c r="G38" s="429" t="s">
        <v>476</v>
      </c>
      <c r="H38" s="432"/>
      <c r="I38" s="432"/>
      <c r="J38" s="429"/>
      <c r="K38" s="429"/>
      <c r="L38" s="432">
        <v>1</v>
      </c>
      <c r="M38" s="432">
        <v>59</v>
      </c>
      <c r="N38" s="429">
        <v>1</v>
      </c>
      <c r="O38" s="429">
        <v>59</v>
      </c>
      <c r="P38" s="432">
        <v>1</v>
      </c>
      <c r="Q38" s="432">
        <v>59</v>
      </c>
      <c r="R38" s="484">
        <v>1</v>
      </c>
      <c r="S38" s="433">
        <v>59</v>
      </c>
    </row>
    <row r="39" spans="1:19" ht="14.4" customHeight="1" x14ac:dyDescent="0.3">
      <c r="A39" s="428" t="s">
        <v>449</v>
      </c>
      <c r="B39" s="429" t="s">
        <v>450</v>
      </c>
      <c r="C39" s="429" t="s">
        <v>296</v>
      </c>
      <c r="D39" s="429" t="s">
        <v>445</v>
      </c>
      <c r="E39" s="429" t="s">
        <v>456</v>
      </c>
      <c r="F39" s="429" t="s">
        <v>477</v>
      </c>
      <c r="G39" s="429" t="s">
        <v>478</v>
      </c>
      <c r="H39" s="432">
        <v>609</v>
      </c>
      <c r="I39" s="432">
        <v>159558</v>
      </c>
      <c r="J39" s="429">
        <v>0.69839449541284404</v>
      </c>
      <c r="K39" s="429">
        <v>262</v>
      </c>
      <c r="L39" s="432">
        <v>872</v>
      </c>
      <c r="M39" s="432">
        <v>228464</v>
      </c>
      <c r="N39" s="429">
        <v>1</v>
      </c>
      <c r="O39" s="429">
        <v>262</v>
      </c>
      <c r="P39" s="432">
        <v>1276</v>
      </c>
      <c r="Q39" s="432">
        <v>334312</v>
      </c>
      <c r="R39" s="484">
        <v>1.463302752293578</v>
      </c>
      <c r="S39" s="433">
        <v>262</v>
      </c>
    </row>
    <row r="40" spans="1:19" ht="14.4" customHeight="1" x14ac:dyDescent="0.3">
      <c r="A40" s="428" t="s">
        <v>449</v>
      </c>
      <c r="B40" s="429" t="s">
        <v>450</v>
      </c>
      <c r="C40" s="429" t="s">
        <v>296</v>
      </c>
      <c r="D40" s="429" t="s">
        <v>445</v>
      </c>
      <c r="E40" s="429" t="s">
        <v>456</v>
      </c>
      <c r="F40" s="429" t="s">
        <v>479</v>
      </c>
      <c r="G40" s="429" t="s">
        <v>480</v>
      </c>
      <c r="H40" s="432">
        <v>65</v>
      </c>
      <c r="I40" s="432">
        <v>233090</v>
      </c>
      <c r="J40" s="429">
        <v>0.70652173913043481</v>
      </c>
      <c r="K40" s="429">
        <v>3586</v>
      </c>
      <c r="L40" s="432">
        <v>92</v>
      </c>
      <c r="M40" s="432">
        <v>329912</v>
      </c>
      <c r="N40" s="429">
        <v>1</v>
      </c>
      <c r="O40" s="429">
        <v>3586</v>
      </c>
      <c r="P40" s="432">
        <v>270</v>
      </c>
      <c r="Q40" s="432">
        <v>968220</v>
      </c>
      <c r="R40" s="484">
        <v>2.9347826086956523</v>
      </c>
      <c r="S40" s="433">
        <v>3586</v>
      </c>
    </row>
    <row r="41" spans="1:19" ht="14.4" customHeight="1" x14ac:dyDescent="0.3">
      <c r="A41" s="428" t="s">
        <v>449</v>
      </c>
      <c r="B41" s="429" t="s">
        <v>450</v>
      </c>
      <c r="C41" s="429" t="s">
        <v>296</v>
      </c>
      <c r="D41" s="429" t="s">
        <v>445</v>
      </c>
      <c r="E41" s="429" t="s">
        <v>456</v>
      </c>
      <c r="F41" s="429" t="s">
        <v>481</v>
      </c>
      <c r="G41" s="429" t="s">
        <v>480</v>
      </c>
      <c r="H41" s="432">
        <v>3</v>
      </c>
      <c r="I41" s="432">
        <v>15600</v>
      </c>
      <c r="J41" s="429"/>
      <c r="K41" s="429">
        <v>5200</v>
      </c>
      <c r="L41" s="432"/>
      <c r="M41" s="432"/>
      <c r="N41" s="429"/>
      <c r="O41" s="429"/>
      <c r="P41" s="432"/>
      <c r="Q41" s="432"/>
      <c r="R41" s="484"/>
      <c r="S41" s="433"/>
    </row>
    <row r="42" spans="1:19" ht="14.4" customHeight="1" x14ac:dyDescent="0.3">
      <c r="A42" s="428" t="s">
        <v>449</v>
      </c>
      <c r="B42" s="429" t="s">
        <v>450</v>
      </c>
      <c r="C42" s="429" t="s">
        <v>296</v>
      </c>
      <c r="D42" s="429" t="s">
        <v>446</v>
      </c>
      <c r="E42" s="429" t="s">
        <v>456</v>
      </c>
      <c r="F42" s="429" t="s">
        <v>467</v>
      </c>
      <c r="G42" s="429" t="s">
        <v>468</v>
      </c>
      <c r="H42" s="432">
        <v>1</v>
      </c>
      <c r="I42" s="432">
        <v>125</v>
      </c>
      <c r="J42" s="429"/>
      <c r="K42" s="429">
        <v>125</v>
      </c>
      <c r="L42" s="432"/>
      <c r="M42" s="432"/>
      <c r="N42" s="429"/>
      <c r="O42" s="429"/>
      <c r="P42" s="432"/>
      <c r="Q42" s="432"/>
      <c r="R42" s="484"/>
      <c r="S42" s="433"/>
    </row>
    <row r="43" spans="1:19" ht="14.4" customHeight="1" x14ac:dyDescent="0.3">
      <c r="A43" s="428" t="s">
        <v>449</v>
      </c>
      <c r="B43" s="429" t="s">
        <v>450</v>
      </c>
      <c r="C43" s="429" t="s">
        <v>296</v>
      </c>
      <c r="D43" s="429" t="s">
        <v>447</v>
      </c>
      <c r="E43" s="429" t="s">
        <v>451</v>
      </c>
      <c r="F43" s="429" t="s">
        <v>452</v>
      </c>
      <c r="G43" s="429" t="s">
        <v>453</v>
      </c>
      <c r="H43" s="432"/>
      <c r="I43" s="432"/>
      <c r="J43" s="429"/>
      <c r="K43" s="429"/>
      <c r="L43" s="432"/>
      <c r="M43" s="432"/>
      <c r="N43" s="429"/>
      <c r="O43" s="429"/>
      <c r="P43" s="432">
        <v>1</v>
      </c>
      <c r="Q43" s="432">
        <v>6.09</v>
      </c>
      <c r="R43" s="484"/>
      <c r="S43" s="433">
        <v>6.09</v>
      </c>
    </row>
    <row r="44" spans="1:19" ht="14.4" customHeight="1" x14ac:dyDescent="0.3">
      <c r="A44" s="428" t="s">
        <v>449</v>
      </c>
      <c r="B44" s="429" t="s">
        <v>450</v>
      </c>
      <c r="C44" s="429" t="s">
        <v>296</v>
      </c>
      <c r="D44" s="429" t="s">
        <v>447</v>
      </c>
      <c r="E44" s="429" t="s">
        <v>451</v>
      </c>
      <c r="F44" s="429" t="s">
        <v>454</v>
      </c>
      <c r="G44" s="429" t="s">
        <v>455</v>
      </c>
      <c r="H44" s="432"/>
      <c r="I44" s="432"/>
      <c r="J44" s="429"/>
      <c r="K44" s="429"/>
      <c r="L44" s="432"/>
      <c r="M44" s="432"/>
      <c r="N44" s="429"/>
      <c r="O44" s="429"/>
      <c r="P44" s="432">
        <v>1</v>
      </c>
      <c r="Q44" s="432">
        <v>1118.9000000000001</v>
      </c>
      <c r="R44" s="484"/>
      <c r="S44" s="433">
        <v>1118.9000000000001</v>
      </c>
    </row>
    <row r="45" spans="1:19" ht="14.4" customHeight="1" x14ac:dyDescent="0.3">
      <c r="A45" s="428" t="s">
        <v>449</v>
      </c>
      <c r="B45" s="429" t="s">
        <v>450</v>
      </c>
      <c r="C45" s="429" t="s">
        <v>296</v>
      </c>
      <c r="D45" s="429" t="s">
        <v>447</v>
      </c>
      <c r="E45" s="429" t="s">
        <v>456</v>
      </c>
      <c r="F45" s="429" t="s">
        <v>457</v>
      </c>
      <c r="G45" s="429" t="s">
        <v>458</v>
      </c>
      <c r="H45" s="432"/>
      <c r="I45" s="432"/>
      <c r="J45" s="429"/>
      <c r="K45" s="429"/>
      <c r="L45" s="432"/>
      <c r="M45" s="432"/>
      <c r="N45" s="429"/>
      <c r="O45" s="429"/>
      <c r="P45" s="432">
        <v>1</v>
      </c>
      <c r="Q45" s="432">
        <v>147</v>
      </c>
      <c r="R45" s="484"/>
      <c r="S45" s="433">
        <v>147</v>
      </c>
    </row>
    <row r="46" spans="1:19" ht="14.4" customHeight="1" x14ac:dyDescent="0.3">
      <c r="A46" s="428" t="s">
        <v>449</v>
      </c>
      <c r="B46" s="429" t="s">
        <v>450</v>
      </c>
      <c r="C46" s="429" t="s">
        <v>296</v>
      </c>
      <c r="D46" s="429" t="s">
        <v>447</v>
      </c>
      <c r="E46" s="429" t="s">
        <v>456</v>
      </c>
      <c r="F46" s="429" t="s">
        <v>465</v>
      </c>
      <c r="G46" s="429" t="s">
        <v>466</v>
      </c>
      <c r="H46" s="432">
        <v>3</v>
      </c>
      <c r="I46" s="432">
        <v>108</v>
      </c>
      <c r="J46" s="429"/>
      <c r="K46" s="429">
        <v>36</v>
      </c>
      <c r="L46" s="432"/>
      <c r="M46" s="432"/>
      <c r="N46" s="429"/>
      <c r="O46" s="429"/>
      <c r="P46" s="432">
        <v>3</v>
      </c>
      <c r="Q46" s="432">
        <v>111</v>
      </c>
      <c r="R46" s="484"/>
      <c r="S46" s="433">
        <v>37</v>
      </c>
    </row>
    <row r="47" spans="1:19" ht="14.4" customHeight="1" x14ac:dyDescent="0.3">
      <c r="A47" s="428" t="s">
        <v>449</v>
      </c>
      <c r="B47" s="429" t="s">
        <v>450</v>
      </c>
      <c r="C47" s="429" t="s">
        <v>296</v>
      </c>
      <c r="D47" s="429" t="s">
        <v>447</v>
      </c>
      <c r="E47" s="429" t="s">
        <v>456</v>
      </c>
      <c r="F47" s="429" t="s">
        <v>467</v>
      </c>
      <c r="G47" s="429" t="s">
        <v>468</v>
      </c>
      <c r="H47" s="432">
        <v>2</v>
      </c>
      <c r="I47" s="432">
        <v>250</v>
      </c>
      <c r="J47" s="429"/>
      <c r="K47" s="429">
        <v>125</v>
      </c>
      <c r="L47" s="432"/>
      <c r="M47" s="432"/>
      <c r="N47" s="429"/>
      <c r="O47" s="429"/>
      <c r="P47" s="432"/>
      <c r="Q47" s="432"/>
      <c r="R47" s="484"/>
      <c r="S47" s="433"/>
    </row>
    <row r="48" spans="1:19" ht="14.4" customHeight="1" x14ac:dyDescent="0.3">
      <c r="A48" s="428" t="s">
        <v>449</v>
      </c>
      <c r="B48" s="429" t="s">
        <v>482</v>
      </c>
      <c r="C48" s="429" t="s">
        <v>296</v>
      </c>
      <c r="D48" s="429" t="s">
        <v>437</v>
      </c>
      <c r="E48" s="429" t="s">
        <v>456</v>
      </c>
      <c r="F48" s="429" t="s">
        <v>483</v>
      </c>
      <c r="G48" s="429" t="s">
        <v>484</v>
      </c>
      <c r="H48" s="432">
        <v>6</v>
      </c>
      <c r="I48" s="432">
        <v>1410</v>
      </c>
      <c r="J48" s="429">
        <v>5.617529880478088</v>
      </c>
      <c r="K48" s="429">
        <v>235</v>
      </c>
      <c r="L48" s="432">
        <v>1</v>
      </c>
      <c r="M48" s="432">
        <v>251</v>
      </c>
      <c r="N48" s="429">
        <v>1</v>
      </c>
      <c r="O48" s="429">
        <v>251</v>
      </c>
      <c r="P48" s="432"/>
      <c r="Q48" s="432"/>
      <c r="R48" s="484"/>
      <c r="S48" s="433"/>
    </row>
    <row r="49" spans="1:19" ht="14.4" customHeight="1" x14ac:dyDescent="0.3">
      <c r="A49" s="428" t="s">
        <v>449</v>
      </c>
      <c r="B49" s="429" t="s">
        <v>482</v>
      </c>
      <c r="C49" s="429" t="s">
        <v>296</v>
      </c>
      <c r="D49" s="429" t="s">
        <v>437</v>
      </c>
      <c r="E49" s="429" t="s">
        <v>456</v>
      </c>
      <c r="F49" s="429" t="s">
        <v>463</v>
      </c>
      <c r="G49" s="429" t="s">
        <v>464</v>
      </c>
      <c r="H49" s="432">
        <v>6</v>
      </c>
      <c r="I49" s="432">
        <v>0</v>
      </c>
      <c r="J49" s="429"/>
      <c r="K49" s="429">
        <v>0</v>
      </c>
      <c r="L49" s="432"/>
      <c r="M49" s="432"/>
      <c r="N49" s="429"/>
      <c r="O49" s="429"/>
      <c r="P49" s="432"/>
      <c r="Q49" s="432"/>
      <c r="R49" s="484"/>
      <c r="S49" s="433"/>
    </row>
    <row r="50" spans="1:19" ht="14.4" customHeight="1" x14ac:dyDescent="0.3">
      <c r="A50" s="428" t="s">
        <v>449</v>
      </c>
      <c r="B50" s="429" t="s">
        <v>485</v>
      </c>
      <c r="C50" s="429" t="s">
        <v>285</v>
      </c>
      <c r="D50" s="429" t="s">
        <v>424</v>
      </c>
      <c r="E50" s="429" t="s">
        <v>456</v>
      </c>
      <c r="F50" s="429" t="s">
        <v>486</v>
      </c>
      <c r="G50" s="429" t="s">
        <v>487</v>
      </c>
      <c r="H50" s="432">
        <v>21</v>
      </c>
      <c r="I50" s="432">
        <v>7182</v>
      </c>
      <c r="J50" s="429"/>
      <c r="K50" s="429">
        <v>342</v>
      </c>
      <c r="L50" s="432"/>
      <c r="M50" s="432"/>
      <c r="N50" s="429"/>
      <c r="O50" s="429"/>
      <c r="P50" s="432"/>
      <c r="Q50" s="432"/>
      <c r="R50" s="484"/>
      <c r="S50" s="433"/>
    </row>
    <row r="51" spans="1:19" ht="14.4" customHeight="1" x14ac:dyDescent="0.3">
      <c r="A51" s="428" t="s">
        <v>449</v>
      </c>
      <c r="B51" s="429" t="s">
        <v>485</v>
      </c>
      <c r="C51" s="429" t="s">
        <v>285</v>
      </c>
      <c r="D51" s="429" t="s">
        <v>424</v>
      </c>
      <c r="E51" s="429" t="s">
        <v>456</v>
      </c>
      <c r="F51" s="429" t="s">
        <v>490</v>
      </c>
      <c r="G51" s="429" t="s">
        <v>491</v>
      </c>
      <c r="H51" s="432">
        <v>16</v>
      </c>
      <c r="I51" s="432">
        <v>1568</v>
      </c>
      <c r="J51" s="429"/>
      <c r="K51" s="429">
        <v>98</v>
      </c>
      <c r="L51" s="432"/>
      <c r="M51" s="432"/>
      <c r="N51" s="429"/>
      <c r="O51" s="429"/>
      <c r="P51" s="432"/>
      <c r="Q51" s="432"/>
      <c r="R51" s="484"/>
      <c r="S51" s="433"/>
    </row>
    <row r="52" spans="1:19" ht="14.4" customHeight="1" x14ac:dyDescent="0.3">
      <c r="A52" s="428" t="s">
        <v>449</v>
      </c>
      <c r="B52" s="429" t="s">
        <v>485</v>
      </c>
      <c r="C52" s="429" t="s">
        <v>285</v>
      </c>
      <c r="D52" s="429" t="s">
        <v>424</v>
      </c>
      <c r="E52" s="429" t="s">
        <v>456</v>
      </c>
      <c r="F52" s="429" t="s">
        <v>477</v>
      </c>
      <c r="G52" s="429" t="s">
        <v>478</v>
      </c>
      <c r="H52" s="432">
        <v>7</v>
      </c>
      <c r="I52" s="432">
        <v>1834</v>
      </c>
      <c r="J52" s="429"/>
      <c r="K52" s="429">
        <v>262</v>
      </c>
      <c r="L52" s="432"/>
      <c r="M52" s="432"/>
      <c r="N52" s="429"/>
      <c r="O52" s="429"/>
      <c r="P52" s="432"/>
      <c r="Q52" s="432"/>
      <c r="R52" s="484"/>
      <c r="S52" s="433"/>
    </row>
    <row r="53" spans="1:19" ht="14.4" customHeight="1" x14ac:dyDescent="0.3">
      <c r="A53" s="428" t="s">
        <v>449</v>
      </c>
      <c r="B53" s="429" t="s">
        <v>485</v>
      </c>
      <c r="C53" s="429" t="s">
        <v>285</v>
      </c>
      <c r="D53" s="429" t="s">
        <v>424</v>
      </c>
      <c r="E53" s="429" t="s">
        <v>456</v>
      </c>
      <c r="F53" s="429" t="s">
        <v>492</v>
      </c>
      <c r="G53" s="429" t="s">
        <v>493</v>
      </c>
      <c r="H53" s="432">
        <v>3</v>
      </c>
      <c r="I53" s="432">
        <v>618</v>
      </c>
      <c r="J53" s="429"/>
      <c r="K53" s="429">
        <v>206</v>
      </c>
      <c r="L53" s="432"/>
      <c r="M53" s="432"/>
      <c r="N53" s="429"/>
      <c r="O53" s="429"/>
      <c r="P53" s="432"/>
      <c r="Q53" s="432"/>
      <c r="R53" s="484"/>
      <c r="S53" s="433"/>
    </row>
    <row r="54" spans="1:19" ht="14.4" customHeight="1" x14ac:dyDescent="0.3">
      <c r="A54" s="428" t="s">
        <v>449</v>
      </c>
      <c r="B54" s="429" t="s">
        <v>485</v>
      </c>
      <c r="C54" s="429" t="s">
        <v>285</v>
      </c>
      <c r="D54" s="429" t="s">
        <v>433</v>
      </c>
      <c r="E54" s="429" t="s">
        <v>456</v>
      </c>
      <c r="F54" s="429" t="s">
        <v>477</v>
      </c>
      <c r="G54" s="429" t="s">
        <v>478</v>
      </c>
      <c r="H54" s="432">
        <v>22</v>
      </c>
      <c r="I54" s="432">
        <v>5764</v>
      </c>
      <c r="J54" s="429"/>
      <c r="K54" s="429">
        <v>262</v>
      </c>
      <c r="L54" s="432"/>
      <c r="M54" s="432"/>
      <c r="N54" s="429"/>
      <c r="O54" s="429"/>
      <c r="P54" s="432"/>
      <c r="Q54" s="432"/>
      <c r="R54" s="484"/>
      <c r="S54" s="433"/>
    </row>
    <row r="55" spans="1:19" ht="14.4" customHeight="1" x14ac:dyDescent="0.3">
      <c r="A55" s="428" t="s">
        <v>449</v>
      </c>
      <c r="B55" s="429" t="s">
        <v>485</v>
      </c>
      <c r="C55" s="429" t="s">
        <v>285</v>
      </c>
      <c r="D55" s="429" t="s">
        <v>437</v>
      </c>
      <c r="E55" s="429" t="s">
        <v>456</v>
      </c>
      <c r="F55" s="429" t="s">
        <v>488</v>
      </c>
      <c r="G55" s="429" t="s">
        <v>489</v>
      </c>
      <c r="H55" s="432">
        <v>38</v>
      </c>
      <c r="I55" s="432">
        <v>8930</v>
      </c>
      <c r="J55" s="429"/>
      <c r="K55" s="429">
        <v>235</v>
      </c>
      <c r="L55" s="432"/>
      <c r="M55" s="432"/>
      <c r="N55" s="429"/>
      <c r="O55" s="429"/>
      <c r="P55" s="432"/>
      <c r="Q55" s="432"/>
      <c r="R55" s="484"/>
      <c r="S55" s="433"/>
    </row>
    <row r="56" spans="1:19" ht="14.4" customHeight="1" x14ac:dyDescent="0.3">
      <c r="A56" s="428" t="s">
        <v>449</v>
      </c>
      <c r="B56" s="429" t="s">
        <v>485</v>
      </c>
      <c r="C56" s="429" t="s">
        <v>285</v>
      </c>
      <c r="D56" s="429" t="s">
        <v>437</v>
      </c>
      <c r="E56" s="429" t="s">
        <v>456</v>
      </c>
      <c r="F56" s="429" t="s">
        <v>492</v>
      </c>
      <c r="G56" s="429" t="s">
        <v>493</v>
      </c>
      <c r="H56" s="432">
        <v>1</v>
      </c>
      <c r="I56" s="432">
        <v>206</v>
      </c>
      <c r="J56" s="429"/>
      <c r="K56" s="429">
        <v>206</v>
      </c>
      <c r="L56" s="432"/>
      <c r="M56" s="432"/>
      <c r="N56" s="429"/>
      <c r="O56" s="429"/>
      <c r="P56" s="432"/>
      <c r="Q56" s="432"/>
      <c r="R56" s="484"/>
      <c r="S56" s="433"/>
    </row>
    <row r="57" spans="1:19" ht="14.4" customHeight="1" x14ac:dyDescent="0.3">
      <c r="A57" s="428" t="s">
        <v>449</v>
      </c>
      <c r="B57" s="429" t="s">
        <v>485</v>
      </c>
      <c r="C57" s="429" t="s">
        <v>285</v>
      </c>
      <c r="D57" s="429" t="s">
        <v>438</v>
      </c>
      <c r="E57" s="429" t="s">
        <v>456</v>
      </c>
      <c r="F57" s="429" t="s">
        <v>459</v>
      </c>
      <c r="G57" s="429" t="s">
        <v>460</v>
      </c>
      <c r="H57" s="432">
        <v>3</v>
      </c>
      <c r="I57" s="432">
        <v>105</v>
      </c>
      <c r="J57" s="429"/>
      <c r="K57" s="429">
        <v>35</v>
      </c>
      <c r="L57" s="432"/>
      <c r="M57" s="432"/>
      <c r="N57" s="429"/>
      <c r="O57" s="429"/>
      <c r="P57" s="432"/>
      <c r="Q57" s="432"/>
      <c r="R57" s="484"/>
      <c r="S57" s="433"/>
    </row>
    <row r="58" spans="1:19" ht="14.4" customHeight="1" x14ac:dyDescent="0.3">
      <c r="A58" s="428" t="s">
        <v>449</v>
      </c>
      <c r="B58" s="429" t="s">
        <v>485</v>
      </c>
      <c r="C58" s="429" t="s">
        <v>285</v>
      </c>
      <c r="D58" s="429" t="s">
        <v>438</v>
      </c>
      <c r="E58" s="429" t="s">
        <v>456</v>
      </c>
      <c r="F58" s="429" t="s">
        <v>488</v>
      </c>
      <c r="G58" s="429" t="s">
        <v>489</v>
      </c>
      <c r="H58" s="432">
        <v>6</v>
      </c>
      <c r="I58" s="432">
        <v>1410</v>
      </c>
      <c r="J58" s="429"/>
      <c r="K58" s="429">
        <v>235</v>
      </c>
      <c r="L58" s="432"/>
      <c r="M58" s="432"/>
      <c r="N58" s="429"/>
      <c r="O58" s="429"/>
      <c r="P58" s="432"/>
      <c r="Q58" s="432"/>
      <c r="R58" s="484"/>
      <c r="S58" s="433"/>
    </row>
    <row r="59" spans="1:19" ht="14.4" customHeight="1" x14ac:dyDescent="0.3">
      <c r="A59" s="428" t="s">
        <v>449</v>
      </c>
      <c r="B59" s="429" t="s">
        <v>485</v>
      </c>
      <c r="C59" s="429" t="s">
        <v>285</v>
      </c>
      <c r="D59" s="429" t="s">
        <v>438</v>
      </c>
      <c r="E59" s="429" t="s">
        <v>456</v>
      </c>
      <c r="F59" s="429" t="s">
        <v>477</v>
      </c>
      <c r="G59" s="429" t="s">
        <v>478</v>
      </c>
      <c r="H59" s="432">
        <v>328</v>
      </c>
      <c r="I59" s="432">
        <v>85936</v>
      </c>
      <c r="J59" s="429"/>
      <c r="K59" s="429">
        <v>262</v>
      </c>
      <c r="L59" s="432"/>
      <c r="M59" s="432"/>
      <c r="N59" s="429"/>
      <c r="O59" s="429"/>
      <c r="P59" s="432"/>
      <c r="Q59" s="432"/>
      <c r="R59" s="484"/>
      <c r="S59" s="433"/>
    </row>
    <row r="60" spans="1:19" ht="14.4" customHeight="1" x14ac:dyDescent="0.3">
      <c r="A60" s="428" t="s">
        <v>449</v>
      </c>
      <c r="B60" s="429" t="s">
        <v>485</v>
      </c>
      <c r="C60" s="429" t="s">
        <v>285</v>
      </c>
      <c r="D60" s="429" t="s">
        <v>438</v>
      </c>
      <c r="E60" s="429" t="s">
        <v>456</v>
      </c>
      <c r="F60" s="429" t="s">
        <v>479</v>
      </c>
      <c r="G60" s="429" t="s">
        <v>480</v>
      </c>
      <c r="H60" s="432">
        <v>24</v>
      </c>
      <c r="I60" s="432">
        <v>86064</v>
      </c>
      <c r="J60" s="429"/>
      <c r="K60" s="429">
        <v>3586</v>
      </c>
      <c r="L60" s="432"/>
      <c r="M60" s="432"/>
      <c r="N60" s="429"/>
      <c r="O60" s="429"/>
      <c r="P60" s="432"/>
      <c r="Q60" s="432"/>
      <c r="R60" s="484"/>
      <c r="S60" s="433"/>
    </row>
    <row r="61" spans="1:19" ht="14.4" customHeight="1" x14ac:dyDescent="0.3">
      <c r="A61" s="428" t="s">
        <v>449</v>
      </c>
      <c r="B61" s="429" t="s">
        <v>485</v>
      </c>
      <c r="C61" s="429" t="s">
        <v>285</v>
      </c>
      <c r="D61" s="429" t="s">
        <v>445</v>
      </c>
      <c r="E61" s="429" t="s">
        <v>456</v>
      </c>
      <c r="F61" s="429" t="s">
        <v>488</v>
      </c>
      <c r="G61" s="429" t="s">
        <v>489</v>
      </c>
      <c r="H61" s="432">
        <v>23</v>
      </c>
      <c r="I61" s="432">
        <v>5405</v>
      </c>
      <c r="J61" s="429"/>
      <c r="K61" s="429">
        <v>235</v>
      </c>
      <c r="L61" s="432"/>
      <c r="M61" s="432"/>
      <c r="N61" s="429"/>
      <c r="O61" s="429"/>
      <c r="P61" s="432"/>
      <c r="Q61" s="432"/>
      <c r="R61" s="484"/>
      <c r="S61" s="433"/>
    </row>
    <row r="62" spans="1:19" ht="14.4" customHeight="1" x14ac:dyDescent="0.3">
      <c r="A62" s="428" t="s">
        <v>449</v>
      </c>
      <c r="B62" s="429" t="s">
        <v>485</v>
      </c>
      <c r="C62" s="429" t="s">
        <v>285</v>
      </c>
      <c r="D62" s="429" t="s">
        <v>445</v>
      </c>
      <c r="E62" s="429" t="s">
        <v>456</v>
      </c>
      <c r="F62" s="429" t="s">
        <v>477</v>
      </c>
      <c r="G62" s="429" t="s">
        <v>478</v>
      </c>
      <c r="H62" s="432">
        <v>354</v>
      </c>
      <c r="I62" s="432">
        <v>92748</v>
      </c>
      <c r="J62" s="429"/>
      <c r="K62" s="429">
        <v>262</v>
      </c>
      <c r="L62" s="432"/>
      <c r="M62" s="432"/>
      <c r="N62" s="429"/>
      <c r="O62" s="429"/>
      <c r="P62" s="432"/>
      <c r="Q62" s="432"/>
      <c r="R62" s="484"/>
      <c r="S62" s="433"/>
    </row>
    <row r="63" spans="1:19" ht="14.4" customHeight="1" thickBot="1" x14ac:dyDescent="0.35">
      <c r="A63" s="434" t="s">
        <v>449</v>
      </c>
      <c r="B63" s="435" t="s">
        <v>485</v>
      </c>
      <c r="C63" s="435" t="s">
        <v>285</v>
      </c>
      <c r="D63" s="435" t="s">
        <v>445</v>
      </c>
      <c r="E63" s="435" t="s">
        <v>456</v>
      </c>
      <c r="F63" s="435" t="s">
        <v>479</v>
      </c>
      <c r="G63" s="435" t="s">
        <v>480</v>
      </c>
      <c r="H63" s="438">
        <v>38</v>
      </c>
      <c r="I63" s="438">
        <v>136268</v>
      </c>
      <c r="J63" s="435"/>
      <c r="K63" s="435">
        <v>3586</v>
      </c>
      <c r="L63" s="438"/>
      <c r="M63" s="438"/>
      <c r="N63" s="435"/>
      <c r="O63" s="435"/>
      <c r="P63" s="438"/>
      <c r="Q63" s="438"/>
      <c r="R63" s="485"/>
      <c r="S63" s="439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36" t="s">
        <v>104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4.4" customHeight="1" thickBot="1" x14ac:dyDescent="0.35">
      <c r="A2" s="198" t="s">
        <v>227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11323.33</v>
      </c>
      <c r="C3" s="189">
        <f t="shared" ref="C3:R3" si="0">SUBTOTAL(9,C6:C1048576)</f>
        <v>16.965352623302007</v>
      </c>
      <c r="D3" s="189">
        <f t="shared" si="0"/>
        <v>4912</v>
      </c>
      <c r="E3" s="189">
        <f t="shared" si="0"/>
        <v>6</v>
      </c>
      <c r="F3" s="189">
        <f t="shared" si="0"/>
        <v>3965.33</v>
      </c>
      <c r="G3" s="192">
        <f>IF(D3&lt;&gt;0,F3/D3,"")</f>
        <v>0.80727402280130289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64" t="s">
        <v>86</v>
      </c>
      <c r="B4" s="365" t="s">
        <v>80</v>
      </c>
      <c r="C4" s="366"/>
      <c r="D4" s="366"/>
      <c r="E4" s="366"/>
      <c r="F4" s="366"/>
      <c r="G4" s="368"/>
      <c r="H4" s="365" t="s">
        <v>81</v>
      </c>
      <c r="I4" s="366"/>
      <c r="J4" s="366"/>
      <c r="K4" s="366"/>
      <c r="L4" s="366"/>
      <c r="M4" s="368"/>
      <c r="N4" s="365" t="s">
        <v>82</v>
      </c>
      <c r="O4" s="366"/>
      <c r="P4" s="366"/>
      <c r="Q4" s="366"/>
      <c r="R4" s="366"/>
      <c r="S4" s="368"/>
    </row>
    <row r="5" spans="1:19" ht="14.4" customHeight="1" thickBot="1" x14ac:dyDescent="0.35">
      <c r="A5" s="440"/>
      <c r="B5" s="441">
        <v>2015</v>
      </c>
      <c r="C5" s="442"/>
      <c r="D5" s="442">
        <v>2016</v>
      </c>
      <c r="E5" s="442"/>
      <c r="F5" s="442">
        <v>2017</v>
      </c>
      <c r="G5" s="487" t="s">
        <v>2</v>
      </c>
      <c r="H5" s="441">
        <v>2015</v>
      </c>
      <c r="I5" s="442"/>
      <c r="J5" s="442">
        <v>2016</v>
      </c>
      <c r="K5" s="442"/>
      <c r="L5" s="442">
        <v>2017</v>
      </c>
      <c r="M5" s="487" t="s">
        <v>2</v>
      </c>
      <c r="N5" s="441">
        <v>2015</v>
      </c>
      <c r="O5" s="442"/>
      <c r="P5" s="442">
        <v>2016</v>
      </c>
      <c r="Q5" s="442"/>
      <c r="R5" s="442">
        <v>2017</v>
      </c>
      <c r="S5" s="487" t="s">
        <v>2</v>
      </c>
    </row>
    <row r="6" spans="1:19" ht="14.4" customHeight="1" x14ac:dyDescent="0.3">
      <c r="A6" s="470" t="s">
        <v>496</v>
      </c>
      <c r="B6" s="464"/>
      <c r="C6" s="423"/>
      <c r="D6" s="464"/>
      <c r="E6" s="423"/>
      <c r="F6" s="464">
        <v>37</v>
      </c>
      <c r="G6" s="483"/>
      <c r="H6" s="464"/>
      <c r="I6" s="423"/>
      <c r="J6" s="464"/>
      <c r="K6" s="423"/>
      <c r="L6" s="464"/>
      <c r="M6" s="483"/>
      <c r="N6" s="464"/>
      <c r="O6" s="423"/>
      <c r="P6" s="464"/>
      <c r="Q6" s="423"/>
      <c r="R6" s="464"/>
      <c r="S6" s="488"/>
    </row>
    <row r="7" spans="1:19" ht="14.4" customHeight="1" x14ac:dyDescent="0.3">
      <c r="A7" s="471" t="s">
        <v>497</v>
      </c>
      <c r="B7" s="466">
        <v>5391</v>
      </c>
      <c r="C7" s="429">
        <v>2.8736673773987205</v>
      </c>
      <c r="D7" s="466">
        <v>1876</v>
      </c>
      <c r="E7" s="429">
        <v>1</v>
      </c>
      <c r="F7" s="466">
        <v>1715.33</v>
      </c>
      <c r="G7" s="484">
        <v>0.91435501066098079</v>
      </c>
      <c r="H7" s="466"/>
      <c r="I7" s="429"/>
      <c r="J7" s="466"/>
      <c r="K7" s="429"/>
      <c r="L7" s="466"/>
      <c r="M7" s="484"/>
      <c r="N7" s="466"/>
      <c r="O7" s="429"/>
      <c r="P7" s="466"/>
      <c r="Q7" s="429"/>
      <c r="R7" s="466"/>
      <c r="S7" s="489"/>
    </row>
    <row r="8" spans="1:19" ht="14.4" customHeight="1" x14ac:dyDescent="0.3">
      <c r="A8" s="471" t="s">
        <v>498</v>
      </c>
      <c r="B8" s="466">
        <v>908</v>
      </c>
      <c r="C8" s="429">
        <v>0.89723320158102771</v>
      </c>
      <c r="D8" s="466">
        <v>1012</v>
      </c>
      <c r="E8" s="429">
        <v>1</v>
      </c>
      <c r="F8" s="466">
        <v>37</v>
      </c>
      <c r="G8" s="484">
        <v>3.6561264822134384E-2</v>
      </c>
      <c r="H8" s="466"/>
      <c r="I8" s="429"/>
      <c r="J8" s="466"/>
      <c r="K8" s="429"/>
      <c r="L8" s="466"/>
      <c r="M8" s="484"/>
      <c r="N8" s="466"/>
      <c r="O8" s="429"/>
      <c r="P8" s="466"/>
      <c r="Q8" s="429"/>
      <c r="R8" s="466"/>
      <c r="S8" s="489"/>
    </row>
    <row r="9" spans="1:19" ht="14.4" customHeight="1" x14ac:dyDescent="0.3">
      <c r="A9" s="471" t="s">
        <v>499</v>
      </c>
      <c r="B9" s="466">
        <v>1880</v>
      </c>
      <c r="C9" s="429">
        <v>3.7154150197628457</v>
      </c>
      <c r="D9" s="466">
        <v>506</v>
      </c>
      <c r="E9" s="429">
        <v>1</v>
      </c>
      <c r="F9" s="466">
        <v>581</v>
      </c>
      <c r="G9" s="484">
        <v>1.1482213438735178</v>
      </c>
      <c r="H9" s="466"/>
      <c r="I9" s="429"/>
      <c r="J9" s="466"/>
      <c r="K9" s="429"/>
      <c r="L9" s="466"/>
      <c r="M9" s="484"/>
      <c r="N9" s="466"/>
      <c r="O9" s="429"/>
      <c r="P9" s="466"/>
      <c r="Q9" s="429"/>
      <c r="R9" s="466"/>
      <c r="S9" s="489"/>
    </row>
    <row r="10" spans="1:19" ht="14.4" customHeight="1" x14ac:dyDescent="0.3">
      <c r="A10" s="471" t="s">
        <v>500</v>
      </c>
      <c r="B10" s="466">
        <v>235</v>
      </c>
      <c r="C10" s="429"/>
      <c r="D10" s="466"/>
      <c r="E10" s="429"/>
      <c r="F10" s="466"/>
      <c r="G10" s="484"/>
      <c r="H10" s="466"/>
      <c r="I10" s="429"/>
      <c r="J10" s="466"/>
      <c r="K10" s="429"/>
      <c r="L10" s="466"/>
      <c r="M10" s="484"/>
      <c r="N10" s="466"/>
      <c r="O10" s="429"/>
      <c r="P10" s="466"/>
      <c r="Q10" s="429"/>
      <c r="R10" s="466"/>
      <c r="S10" s="489"/>
    </row>
    <row r="11" spans="1:19" ht="14.4" customHeight="1" x14ac:dyDescent="0.3">
      <c r="A11" s="471" t="s">
        <v>501</v>
      </c>
      <c r="B11" s="466">
        <v>35</v>
      </c>
      <c r="C11" s="429"/>
      <c r="D11" s="466"/>
      <c r="E11" s="429"/>
      <c r="F11" s="466"/>
      <c r="G11" s="484"/>
      <c r="H11" s="466"/>
      <c r="I11" s="429"/>
      <c r="J11" s="466"/>
      <c r="K11" s="429"/>
      <c r="L11" s="466"/>
      <c r="M11" s="484"/>
      <c r="N11" s="466"/>
      <c r="O11" s="429"/>
      <c r="P11" s="466"/>
      <c r="Q11" s="429"/>
      <c r="R11" s="466"/>
      <c r="S11" s="489"/>
    </row>
    <row r="12" spans="1:19" ht="14.4" customHeight="1" x14ac:dyDescent="0.3">
      <c r="A12" s="471" t="s">
        <v>502</v>
      </c>
      <c r="B12" s="466">
        <v>921.33</v>
      </c>
      <c r="C12" s="429">
        <v>1.9644562899786782</v>
      </c>
      <c r="D12" s="466">
        <v>469</v>
      </c>
      <c r="E12" s="429">
        <v>1</v>
      </c>
      <c r="F12" s="466"/>
      <c r="G12" s="484"/>
      <c r="H12" s="466"/>
      <c r="I12" s="429"/>
      <c r="J12" s="466"/>
      <c r="K12" s="429"/>
      <c r="L12" s="466"/>
      <c r="M12" s="484"/>
      <c r="N12" s="466"/>
      <c r="O12" s="429"/>
      <c r="P12" s="466"/>
      <c r="Q12" s="429"/>
      <c r="R12" s="466"/>
      <c r="S12" s="489"/>
    </row>
    <row r="13" spans="1:19" ht="14.4" customHeight="1" x14ac:dyDescent="0.3">
      <c r="A13" s="471" t="s">
        <v>503</v>
      </c>
      <c r="B13" s="466">
        <v>673</v>
      </c>
      <c r="C13" s="429">
        <v>0.69025641025641027</v>
      </c>
      <c r="D13" s="466">
        <v>975</v>
      </c>
      <c r="E13" s="429">
        <v>1</v>
      </c>
      <c r="F13" s="466">
        <v>1088</v>
      </c>
      <c r="G13" s="484">
        <v>1.1158974358974358</v>
      </c>
      <c r="H13" s="466"/>
      <c r="I13" s="429"/>
      <c r="J13" s="466"/>
      <c r="K13" s="429"/>
      <c r="L13" s="466"/>
      <c r="M13" s="484"/>
      <c r="N13" s="466"/>
      <c r="O13" s="429"/>
      <c r="P13" s="466"/>
      <c r="Q13" s="429"/>
      <c r="R13" s="466"/>
      <c r="S13" s="489"/>
    </row>
    <row r="14" spans="1:19" ht="14.4" customHeight="1" x14ac:dyDescent="0.3">
      <c r="A14" s="471" t="s">
        <v>504</v>
      </c>
      <c r="B14" s="466">
        <v>505</v>
      </c>
      <c r="C14" s="429">
        <v>6.8243243243243246</v>
      </c>
      <c r="D14" s="466">
        <v>74</v>
      </c>
      <c r="E14" s="429">
        <v>1</v>
      </c>
      <c r="F14" s="466">
        <v>37</v>
      </c>
      <c r="G14" s="484">
        <v>0.5</v>
      </c>
      <c r="H14" s="466"/>
      <c r="I14" s="429"/>
      <c r="J14" s="466"/>
      <c r="K14" s="429"/>
      <c r="L14" s="466"/>
      <c r="M14" s="484"/>
      <c r="N14" s="466"/>
      <c r="O14" s="429"/>
      <c r="P14" s="466"/>
      <c r="Q14" s="429"/>
      <c r="R14" s="466"/>
      <c r="S14" s="489"/>
    </row>
    <row r="15" spans="1:19" ht="14.4" customHeight="1" x14ac:dyDescent="0.3">
      <c r="A15" s="471" t="s">
        <v>505</v>
      </c>
      <c r="B15" s="466">
        <v>70</v>
      </c>
      <c r="C15" s="429"/>
      <c r="D15" s="466"/>
      <c r="E15" s="429"/>
      <c r="F15" s="466">
        <v>470</v>
      </c>
      <c r="G15" s="484"/>
      <c r="H15" s="466"/>
      <c r="I15" s="429"/>
      <c r="J15" s="466"/>
      <c r="K15" s="429"/>
      <c r="L15" s="466"/>
      <c r="M15" s="484"/>
      <c r="N15" s="466"/>
      <c r="O15" s="429"/>
      <c r="P15" s="466"/>
      <c r="Q15" s="429"/>
      <c r="R15" s="466"/>
      <c r="S15" s="489"/>
    </row>
    <row r="16" spans="1:19" ht="14.4" customHeight="1" x14ac:dyDescent="0.3">
      <c r="A16" s="471" t="s">
        <v>506</v>
      </c>
      <c r="B16" s="466">
        <v>470</v>
      </c>
      <c r="C16" s="429"/>
      <c r="D16" s="466"/>
      <c r="E16" s="429"/>
      <c r="F16" s="466"/>
      <c r="G16" s="484"/>
      <c r="H16" s="466"/>
      <c r="I16" s="429"/>
      <c r="J16" s="466"/>
      <c r="K16" s="429"/>
      <c r="L16" s="466"/>
      <c r="M16" s="484"/>
      <c r="N16" s="466"/>
      <c r="O16" s="429"/>
      <c r="P16" s="466"/>
      <c r="Q16" s="429"/>
      <c r="R16" s="466"/>
      <c r="S16" s="489"/>
    </row>
    <row r="17" spans="1:19" ht="14.4" customHeight="1" thickBot="1" x14ac:dyDescent="0.35">
      <c r="A17" s="472" t="s">
        <v>507</v>
      </c>
      <c r="B17" s="468">
        <v>235</v>
      </c>
      <c r="C17" s="435"/>
      <c r="D17" s="468"/>
      <c r="E17" s="435"/>
      <c r="F17" s="468"/>
      <c r="G17" s="485"/>
      <c r="H17" s="468"/>
      <c r="I17" s="435"/>
      <c r="J17" s="468"/>
      <c r="K17" s="435"/>
      <c r="L17" s="468"/>
      <c r="M17" s="485"/>
      <c r="N17" s="468"/>
      <c r="O17" s="435"/>
      <c r="P17" s="468"/>
      <c r="Q17" s="435"/>
      <c r="R17" s="468"/>
      <c r="S17" s="49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24" t="s">
        <v>520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198" t="s">
        <v>227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47</v>
      </c>
      <c r="G3" s="78">
        <f t="shared" si="0"/>
        <v>11323.33</v>
      </c>
      <c r="H3" s="78"/>
      <c r="I3" s="78"/>
      <c r="J3" s="78">
        <f t="shared" si="0"/>
        <v>16</v>
      </c>
      <c r="K3" s="78">
        <f t="shared" si="0"/>
        <v>4912</v>
      </c>
      <c r="L3" s="78"/>
      <c r="M3" s="78"/>
      <c r="N3" s="78">
        <f t="shared" si="0"/>
        <v>20</v>
      </c>
      <c r="O3" s="78">
        <f t="shared" si="0"/>
        <v>3965.33</v>
      </c>
      <c r="P3" s="59">
        <f>IF(K3=0,0,O3/K3)</f>
        <v>0.80727402280130289</v>
      </c>
      <c r="Q3" s="79">
        <f>IF(N3=0,0,O3/N3)</f>
        <v>198.26650000000001</v>
      </c>
    </row>
    <row r="4" spans="1:17" ht="14.4" customHeight="1" x14ac:dyDescent="0.3">
      <c r="A4" s="373" t="s">
        <v>50</v>
      </c>
      <c r="B4" s="371" t="s">
        <v>76</v>
      </c>
      <c r="C4" s="373" t="s">
        <v>77</v>
      </c>
      <c r="D4" s="382" t="s">
        <v>78</v>
      </c>
      <c r="E4" s="374" t="s">
        <v>51</v>
      </c>
      <c r="F4" s="380">
        <v>2015</v>
      </c>
      <c r="G4" s="381"/>
      <c r="H4" s="80"/>
      <c r="I4" s="80"/>
      <c r="J4" s="380">
        <v>2016</v>
      </c>
      <c r="K4" s="381"/>
      <c r="L4" s="80"/>
      <c r="M4" s="80"/>
      <c r="N4" s="380">
        <v>2017</v>
      </c>
      <c r="O4" s="381"/>
      <c r="P4" s="383" t="s">
        <v>2</v>
      </c>
      <c r="Q4" s="372" t="s">
        <v>79</v>
      </c>
    </row>
    <row r="5" spans="1:17" ht="14.4" customHeight="1" thickBot="1" x14ac:dyDescent="0.35">
      <c r="A5" s="475"/>
      <c r="B5" s="473"/>
      <c r="C5" s="475"/>
      <c r="D5" s="491"/>
      <c r="E5" s="477"/>
      <c r="F5" s="492" t="s">
        <v>53</v>
      </c>
      <c r="G5" s="493" t="s">
        <v>10</v>
      </c>
      <c r="H5" s="494"/>
      <c r="I5" s="494"/>
      <c r="J5" s="492" t="s">
        <v>53</v>
      </c>
      <c r="K5" s="493" t="s">
        <v>10</v>
      </c>
      <c r="L5" s="494"/>
      <c r="M5" s="494"/>
      <c r="N5" s="492" t="s">
        <v>53</v>
      </c>
      <c r="O5" s="493" t="s">
        <v>10</v>
      </c>
      <c r="P5" s="495"/>
      <c r="Q5" s="482"/>
    </row>
    <row r="6" spans="1:17" ht="14.4" customHeight="1" x14ac:dyDescent="0.3">
      <c r="A6" s="422" t="s">
        <v>508</v>
      </c>
      <c r="B6" s="423" t="s">
        <v>450</v>
      </c>
      <c r="C6" s="423" t="s">
        <v>456</v>
      </c>
      <c r="D6" s="423" t="s">
        <v>459</v>
      </c>
      <c r="E6" s="423" t="s">
        <v>460</v>
      </c>
      <c r="F6" s="426"/>
      <c r="G6" s="426"/>
      <c r="H6" s="426"/>
      <c r="I6" s="426"/>
      <c r="J6" s="426"/>
      <c r="K6" s="426"/>
      <c r="L6" s="426"/>
      <c r="M6" s="426"/>
      <c r="N6" s="426">
        <v>1</v>
      </c>
      <c r="O6" s="426">
        <v>37</v>
      </c>
      <c r="P6" s="483"/>
      <c r="Q6" s="427">
        <v>37</v>
      </c>
    </row>
    <row r="7" spans="1:17" ht="14.4" customHeight="1" x14ac:dyDescent="0.3">
      <c r="A7" s="428" t="s">
        <v>509</v>
      </c>
      <c r="B7" s="429" t="s">
        <v>450</v>
      </c>
      <c r="C7" s="429" t="s">
        <v>456</v>
      </c>
      <c r="D7" s="429" t="s">
        <v>459</v>
      </c>
      <c r="E7" s="429" t="s">
        <v>460</v>
      </c>
      <c r="F7" s="432">
        <v>1</v>
      </c>
      <c r="G7" s="432">
        <v>35</v>
      </c>
      <c r="H7" s="432"/>
      <c r="I7" s="432">
        <v>35</v>
      </c>
      <c r="J7" s="432"/>
      <c r="K7" s="432"/>
      <c r="L7" s="432"/>
      <c r="M7" s="432"/>
      <c r="N7" s="432">
        <v>1</v>
      </c>
      <c r="O7" s="432">
        <v>37</v>
      </c>
      <c r="P7" s="484"/>
      <c r="Q7" s="433">
        <v>37</v>
      </c>
    </row>
    <row r="8" spans="1:17" ht="14.4" customHeight="1" x14ac:dyDescent="0.3">
      <c r="A8" s="428" t="s">
        <v>509</v>
      </c>
      <c r="B8" s="429" t="s">
        <v>450</v>
      </c>
      <c r="C8" s="429" t="s">
        <v>456</v>
      </c>
      <c r="D8" s="429" t="s">
        <v>461</v>
      </c>
      <c r="E8" s="429" t="s">
        <v>462</v>
      </c>
      <c r="F8" s="432">
        <v>12</v>
      </c>
      <c r="G8" s="432">
        <v>5256</v>
      </c>
      <c r="H8" s="432">
        <v>2.8017057569296377</v>
      </c>
      <c r="I8" s="432">
        <v>438</v>
      </c>
      <c r="J8" s="432">
        <v>4</v>
      </c>
      <c r="K8" s="432">
        <v>1876</v>
      </c>
      <c r="L8" s="432">
        <v>1</v>
      </c>
      <c r="M8" s="432">
        <v>469</v>
      </c>
      <c r="N8" s="432">
        <v>3</v>
      </c>
      <c r="O8" s="432">
        <v>1410</v>
      </c>
      <c r="P8" s="484">
        <v>0.75159914712153519</v>
      </c>
      <c r="Q8" s="433">
        <v>470</v>
      </c>
    </row>
    <row r="9" spans="1:17" ht="14.4" customHeight="1" x14ac:dyDescent="0.3">
      <c r="A9" s="428" t="s">
        <v>509</v>
      </c>
      <c r="B9" s="429" t="s">
        <v>450</v>
      </c>
      <c r="C9" s="429" t="s">
        <v>456</v>
      </c>
      <c r="D9" s="429" t="s">
        <v>463</v>
      </c>
      <c r="E9" s="429" t="s">
        <v>464</v>
      </c>
      <c r="F9" s="432">
        <v>4</v>
      </c>
      <c r="G9" s="432">
        <v>100</v>
      </c>
      <c r="H9" s="432"/>
      <c r="I9" s="432">
        <v>25</v>
      </c>
      <c r="J9" s="432"/>
      <c r="K9" s="432"/>
      <c r="L9" s="432"/>
      <c r="M9" s="432"/>
      <c r="N9" s="432">
        <v>1</v>
      </c>
      <c r="O9" s="432">
        <v>33.33</v>
      </c>
      <c r="P9" s="484"/>
      <c r="Q9" s="433">
        <v>33.33</v>
      </c>
    </row>
    <row r="10" spans="1:17" ht="14.4" customHeight="1" x14ac:dyDescent="0.3">
      <c r="A10" s="428" t="s">
        <v>509</v>
      </c>
      <c r="B10" s="429" t="s">
        <v>450</v>
      </c>
      <c r="C10" s="429" t="s">
        <v>456</v>
      </c>
      <c r="D10" s="429" t="s">
        <v>471</v>
      </c>
      <c r="E10" s="429" t="s">
        <v>472</v>
      </c>
      <c r="F10" s="432"/>
      <c r="G10" s="432"/>
      <c r="H10" s="432"/>
      <c r="I10" s="432"/>
      <c r="J10" s="432"/>
      <c r="K10" s="432"/>
      <c r="L10" s="432"/>
      <c r="M10" s="432"/>
      <c r="N10" s="432">
        <v>1</v>
      </c>
      <c r="O10" s="432">
        <v>235</v>
      </c>
      <c r="P10" s="484"/>
      <c r="Q10" s="433">
        <v>235</v>
      </c>
    </row>
    <row r="11" spans="1:17" ht="14.4" customHeight="1" x14ac:dyDescent="0.3">
      <c r="A11" s="428" t="s">
        <v>510</v>
      </c>
      <c r="B11" s="429" t="s">
        <v>450</v>
      </c>
      <c r="C11" s="429" t="s">
        <v>456</v>
      </c>
      <c r="D11" s="429" t="s">
        <v>459</v>
      </c>
      <c r="E11" s="429" t="s">
        <v>460</v>
      </c>
      <c r="F11" s="432"/>
      <c r="G11" s="432"/>
      <c r="H11" s="432"/>
      <c r="I11" s="432"/>
      <c r="J11" s="432">
        <v>2</v>
      </c>
      <c r="K11" s="432">
        <v>74</v>
      </c>
      <c r="L11" s="432">
        <v>1</v>
      </c>
      <c r="M11" s="432">
        <v>37</v>
      </c>
      <c r="N11" s="432">
        <v>1</v>
      </c>
      <c r="O11" s="432">
        <v>37</v>
      </c>
      <c r="P11" s="484">
        <v>0.5</v>
      </c>
      <c r="Q11" s="433">
        <v>37</v>
      </c>
    </row>
    <row r="12" spans="1:17" ht="14.4" customHeight="1" x14ac:dyDescent="0.3">
      <c r="A12" s="428" t="s">
        <v>510</v>
      </c>
      <c r="B12" s="429" t="s">
        <v>450</v>
      </c>
      <c r="C12" s="429" t="s">
        <v>456</v>
      </c>
      <c r="D12" s="429" t="s">
        <v>461</v>
      </c>
      <c r="E12" s="429" t="s">
        <v>462</v>
      </c>
      <c r="F12" s="432">
        <v>1</v>
      </c>
      <c r="G12" s="432">
        <v>438</v>
      </c>
      <c r="H12" s="432">
        <v>0.46695095948827292</v>
      </c>
      <c r="I12" s="432">
        <v>438</v>
      </c>
      <c r="J12" s="432">
        <v>2</v>
      </c>
      <c r="K12" s="432">
        <v>938</v>
      </c>
      <c r="L12" s="432">
        <v>1</v>
      </c>
      <c r="M12" s="432">
        <v>469</v>
      </c>
      <c r="N12" s="432"/>
      <c r="O12" s="432"/>
      <c r="P12" s="484"/>
      <c r="Q12" s="433"/>
    </row>
    <row r="13" spans="1:17" ht="14.4" customHeight="1" x14ac:dyDescent="0.3">
      <c r="A13" s="428" t="s">
        <v>510</v>
      </c>
      <c r="B13" s="429" t="s">
        <v>485</v>
      </c>
      <c r="C13" s="429" t="s">
        <v>456</v>
      </c>
      <c r="D13" s="429" t="s">
        <v>488</v>
      </c>
      <c r="E13" s="429" t="s">
        <v>489</v>
      </c>
      <c r="F13" s="432">
        <v>2</v>
      </c>
      <c r="G13" s="432">
        <v>470</v>
      </c>
      <c r="H13" s="432"/>
      <c r="I13" s="432">
        <v>235</v>
      </c>
      <c r="J13" s="432"/>
      <c r="K13" s="432"/>
      <c r="L13" s="432"/>
      <c r="M13" s="432"/>
      <c r="N13" s="432"/>
      <c r="O13" s="432"/>
      <c r="P13" s="484"/>
      <c r="Q13" s="433"/>
    </row>
    <row r="14" spans="1:17" ht="14.4" customHeight="1" x14ac:dyDescent="0.3">
      <c r="A14" s="428" t="s">
        <v>511</v>
      </c>
      <c r="B14" s="429" t="s">
        <v>450</v>
      </c>
      <c r="C14" s="429" t="s">
        <v>456</v>
      </c>
      <c r="D14" s="429" t="s">
        <v>459</v>
      </c>
      <c r="E14" s="429" t="s">
        <v>460</v>
      </c>
      <c r="F14" s="432"/>
      <c r="G14" s="432"/>
      <c r="H14" s="432"/>
      <c r="I14" s="432"/>
      <c r="J14" s="432">
        <v>1</v>
      </c>
      <c r="K14" s="432">
        <v>37</v>
      </c>
      <c r="L14" s="432">
        <v>1</v>
      </c>
      <c r="M14" s="432">
        <v>37</v>
      </c>
      <c r="N14" s="432">
        <v>3</v>
      </c>
      <c r="O14" s="432">
        <v>111</v>
      </c>
      <c r="P14" s="484">
        <v>3</v>
      </c>
      <c r="Q14" s="433">
        <v>37</v>
      </c>
    </row>
    <row r="15" spans="1:17" ht="14.4" customHeight="1" x14ac:dyDescent="0.3">
      <c r="A15" s="428" t="s">
        <v>511</v>
      </c>
      <c r="B15" s="429" t="s">
        <v>450</v>
      </c>
      <c r="C15" s="429" t="s">
        <v>456</v>
      </c>
      <c r="D15" s="429" t="s">
        <v>461</v>
      </c>
      <c r="E15" s="429" t="s">
        <v>462</v>
      </c>
      <c r="F15" s="432"/>
      <c r="G15" s="432"/>
      <c r="H15" s="432"/>
      <c r="I15" s="432"/>
      <c r="J15" s="432">
        <v>1</v>
      </c>
      <c r="K15" s="432">
        <v>469</v>
      </c>
      <c r="L15" s="432">
        <v>1</v>
      </c>
      <c r="M15" s="432">
        <v>469</v>
      </c>
      <c r="N15" s="432">
        <v>1</v>
      </c>
      <c r="O15" s="432">
        <v>470</v>
      </c>
      <c r="P15" s="484">
        <v>1.0021321961620469</v>
      </c>
      <c r="Q15" s="433">
        <v>470</v>
      </c>
    </row>
    <row r="16" spans="1:17" ht="14.4" customHeight="1" x14ac:dyDescent="0.3">
      <c r="A16" s="428" t="s">
        <v>511</v>
      </c>
      <c r="B16" s="429" t="s">
        <v>482</v>
      </c>
      <c r="C16" s="429" t="s">
        <v>456</v>
      </c>
      <c r="D16" s="429" t="s">
        <v>483</v>
      </c>
      <c r="E16" s="429" t="s">
        <v>484</v>
      </c>
      <c r="F16" s="432">
        <v>2</v>
      </c>
      <c r="G16" s="432">
        <v>470</v>
      </c>
      <c r="H16" s="432"/>
      <c r="I16" s="432">
        <v>235</v>
      </c>
      <c r="J16" s="432"/>
      <c r="K16" s="432"/>
      <c r="L16" s="432"/>
      <c r="M16" s="432"/>
      <c r="N16" s="432"/>
      <c r="O16" s="432"/>
      <c r="P16" s="484"/>
      <c r="Q16" s="433"/>
    </row>
    <row r="17" spans="1:17" ht="14.4" customHeight="1" x14ac:dyDescent="0.3">
      <c r="A17" s="428" t="s">
        <v>511</v>
      </c>
      <c r="B17" s="429" t="s">
        <v>482</v>
      </c>
      <c r="C17" s="429" t="s">
        <v>456</v>
      </c>
      <c r="D17" s="429" t="s">
        <v>463</v>
      </c>
      <c r="E17" s="429" t="s">
        <v>464</v>
      </c>
      <c r="F17" s="432">
        <v>2</v>
      </c>
      <c r="G17" s="432">
        <v>0</v>
      </c>
      <c r="H17" s="432"/>
      <c r="I17" s="432">
        <v>0</v>
      </c>
      <c r="J17" s="432"/>
      <c r="K17" s="432"/>
      <c r="L17" s="432"/>
      <c r="M17" s="432"/>
      <c r="N17" s="432"/>
      <c r="O17" s="432"/>
      <c r="P17" s="484"/>
      <c r="Q17" s="433"/>
    </row>
    <row r="18" spans="1:17" ht="14.4" customHeight="1" x14ac:dyDescent="0.3">
      <c r="A18" s="428" t="s">
        <v>511</v>
      </c>
      <c r="B18" s="429" t="s">
        <v>485</v>
      </c>
      <c r="C18" s="429" t="s">
        <v>456</v>
      </c>
      <c r="D18" s="429" t="s">
        <v>488</v>
      </c>
      <c r="E18" s="429" t="s">
        <v>489</v>
      </c>
      <c r="F18" s="432">
        <v>6</v>
      </c>
      <c r="G18" s="432">
        <v>1410</v>
      </c>
      <c r="H18" s="432"/>
      <c r="I18" s="432">
        <v>235</v>
      </c>
      <c r="J18" s="432"/>
      <c r="K18" s="432"/>
      <c r="L18" s="432"/>
      <c r="M18" s="432"/>
      <c r="N18" s="432"/>
      <c r="O18" s="432"/>
      <c r="P18" s="484"/>
      <c r="Q18" s="433"/>
    </row>
    <row r="19" spans="1:17" ht="14.4" customHeight="1" x14ac:dyDescent="0.3">
      <c r="A19" s="428" t="s">
        <v>512</v>
      </c>
      <c r="B19" s="429" t="s">
        <v>485</v>
      </c>
      <c r="C19" s="429" t="s">
        <v>456</v>
      </c>
      <c r="D19" s="429" t="s">
        <v>488</v>
      </c>
      <c r="E19" s="429" t="s">
        <v>489</v>
      </c>
      <c r="F19" s="432">
        <v>1</v>
      </c>
      <c r="G19" s="432">
        <v>235</v>
      </c>
      <c r="H19" s="432"/>
      <c r="I19" s="432">
        <v>235</v>
      </c>
      <c r="J19" s="432"/>
      <c r="K19" s="432"/>
      <c r="L19" s="432"/>
      <c r="M19" s="432"/>
      <c r="N19" s="432"/>
      <c r="O19" s="432"/>
      <c r="P19" s="484"/>
      <c r="Q19" s="433"/>
    </row>
    <row r="20" spans="1:17" ht="14.4" customHeight="1" x14ac:dyDescent="0.3">
      <c r="A20" s="428" t="s">
        <v>513</v>
      </c>
      <c r="B20" s="429" t="s">
        <v>450</v>
      </c>
      <c r="C20" s="429" t="s">
        <v>456</v>
      </c>
      <c r="D20" s="429" t="s">
        <v>459</v>
      </c>
      <c r="E20" s="429" t="s">
        <v>460</v>
      </c>
      <c r="F20" s="432">
        <v>1</v>
      </c>
      <c r="G20" s="432">
        <v>35</v>
      </c>
      <c r="H20" s="432"/>
      <c r="I20" s="432">
        <v>35</v>
      </c>
      <c r="J20" s="432"/>
      <c r="K20" s="432"/>
      <c r="L20" s="432"/>
      <c r="M20" s="432"/>
      <c r="N20" s="432"/>
      <c r="O20" s="432"/>
      <c r="P20" s="484"/>
      <c r="Q20" s="433"/>
    </row>
    <row r="21" spans="1:17" ht="14.4" customHeight="1" x14ac:dyDescent="0.3">
      <c r="A21" s="428" t="s">
        <v>514</v>
      </c>
      <c r="B21" s="429" t="s">
        <v>450</v>
      </c>
      <c r="C21" s="429" t="s">
        <v>456</v>
      </c>
      <c r="D21" s="429" t="s">
        <v>461</v>
      </c>
      <c r="E21" s="429" t="s">
        <v>462</v>
      </c>
      <c r="F21" s="432"/>
      <c r="G21" s="432"/>
      <c r="H21" s="432"/>
      <c r="I21" s="432"/>
      <c r="J21" s="432">
        <v>1</v>
      </c>
      <c r="K21" s="432">
        <v>469</v>
      </c>
      <c r="L21" s="432">
        <v>1</v>
      </c>
      <c r="M21" s="432">
        <v>469</v>
      </c>
      <c r="N21" s="432"/>
      <c r="O21" s="432"/>
      <c r="P21" s="484"/>
      <c r="Q21" s="433"/>
    </row>
    <row r="22" spans="1:17" ht="14.4" customHeight="1" x14ac:dyDescent="0.3">
      <c r="A22" s="428" t="s">
        <v>514</v>
      </c>
      <c r="B22" s="429" t="s">
        <v>450</v>
      </c>
      <c r="C22" s="429" t="s">
        <v>456</v>
      </c>
      <c r="D22" s="429" t="s">
        <v>463</v>
      </c>
      <c r="E22" s="429" t="s">
        <v>464</v>
      </c>
      <c r="F22" s="432">
        <v>1</v>
      </c>
      <c r="G22" s="432">
        <v>33.33</v>
      </c>
      <c r="H22" s="432"/>
      <c r="I22" s="432">
        <v>33.33</v>
      </c>
      <c r="J22" s="432"/>
      <c r="K22" s="432"/>
      <c r="L22" s="432"/>
      <c r="M22" s="432"/>
      <c r="N22" s="432"/>
      <c r="O22" s="432"/>
      <c r="P22" s="484"/>
      <c r="Q22" s="433"/>
    </row>
    <row r="23" spans="1:17" ht="14.4" customHeight="1" x14ac:dyDescent="0.3">
      <c r="A23" s="428" t="s">
        <v>514</v>
      </c>
      <c r="B23" s="429" t="s">
        <v>450</v>
      </c>
      <c r="C23" s="429" t="s">
        <v>456</v>
      </c>
      <c r="D23" s="429" t="s">
        <v>469</v>
      </c>
      <c r="E23" s="429" t="s">
        <v>470</v>
      </c>
      <c r="F23" s="432">
        <v>1</v>
      </c>
      <c r="G23" s="432">
        <v>653</v>
      </c>
      <c r="H23" s="432"/>
      <c r="I23" s="432">
        <v>653</v>
      </c>
      <c r="J23" s="432"/>
      <c r="K23" s="432"/>
      <c r="L23" s="432"/>
      <c r="M23" s="432"/>
      <c r="N23" s="432"/>
      <c r="O23" s="432"/>
      <c r="P23" s="484"/>
      <c r="Q23" s="433"/>
    </row>
    <row r="24" spans="1:17" ht="14.4" customHeight="1" x14ac:dyDescent="0.3">
      <c r="A24" s="428" t="s">
        <v>514</v>
      </c>
      <c r="B24" s="429" t="s">
        <v>485</v>
      </c>
      <c r="C24" s="429" t="s">
        <v>456</v>
      </c>
      <c r="D24" s="429" t="s">
        <v>488</v>
      </c>
      <c r="E24" s="429" t="s">
        <v>489</v>
      </c>
      <c r="F24" s="432">
        <v>1</v>
      </c>
      <c r="G24" s="432">
        <v>235</v>
      </c>
      <c r="H24" s="432"/>
      <c r="I24" s="432">
        <v>235</v>
      </c>
      <c r="J24" s="432"/>
      <c r="K24" s="432"/>
      <c r="L24" s="432"/>
      <c r="M24" s="432"/>
      <c r="N24" s="432"/>
      <c r="O24" s="432"/>
      <c r="P24" s="484"/>
      <c r="Q24" s="433"/>
    </row>
    <row r="25" spans="1:17" ht="14.4" customHeight="1" x14ac:dyDescent="0.3">
      <c r="A25" s="428" t="s">
        <v>515</v>
      </c>
      <c r="B25" s="429" t="s">
        <v>450</v>
      </c>
      <c r="C25" s="429" t="s">
        <v>456</v>
      </c>
      <c r="D25" s="429" t="s">
        <v>459</v>
      </c>
      <c r="E25" s="429" t="s">
        <v>460</v>
      </c>
      <c r="F25" s="432"/>
      <c r="G25" s="432"/>
      <c r="H25" s="432"/>
      <c r="I25" s="432"/>
      <c r="J25" s="432">
        <v>1</v>
      </c>
      <c r="K25" s="432">
        <v>37</v>
      </c>
      <c r="L25" s="432">
        <v>1</v>
      </c>
      <c r="M25" s="432">
        <v>37</v>
      </c>
      <c r="N25" s="432">
        <v>4</v>
      </c>
      <c r="O25" s="432">
        <v>148</v>
      </c>
      <c r="P25" s="484">
        <v>4</v>
      </c>
      <c r="Q25" s="433">
        <v>37</v>
      </c>
    </row>
    <row r="26" spans="1:17" ht="14.4" customHeight="1" x14ac:dyDescent="0.3">
      <c r="A26" s="428" t="s">
        <v>515</v>
      </c>
      <c r="B26" s="429" t="s">
        <v>450</v>
      </c>
      <c r="C26" s="429" t="s">
        <v>456</v>
      </c>
      <c r="D26" s="429" t="s">
        <v>461</v>
      </c>
      <c r="E26" s="429" t="s">
        <v>462</v>
      </c>
      <c r="F26" s="432">
        <v>1</v>
      </c>
      <c r="G26" s="432">
        <v>438</v>
      </c>
      <c r="H26" s="432">
        <v>0.46695095948827292</v>
      </c>
      <c r="I26" s="432">
        <v>438</v>
      </c>
      <c r="J26" s="432">
        <v>2</v>
      </c>
      <c r="K26" s="432">
        <v>938</v>
      </c>
      <c r="L26" s="432">
        <v>1</v>
      </c>
      <c r="M26" s="432">
        <v>469</v>
      </c>
      <c r="N26" s="432">
        <v>2</v>
      </c>
      <c r="O26" s="432">
        <v>940</v>
      </c>
      <c r="P26" s="484">
        <v>1.0021321961620469</v>
      </c>
      <c r="Q26" s="433">
        <v>470</v>
      </c>
    </row>
    <row r="27" spans="1:17" ht="14.4" customHeight="1" x14ac:dyDescent="0.3">
      <c r="A27" s="428" t="s">
        <v>515</v>
      </c>
      <c r="B27" s="429" t="s">
        <v>485</v>
      </c>
      <c r="C27" s="429" t="s">
        <v>456</v>
      </c>
      <c r="D27" s="429" t="s">
        <v>488</v>
      </c>
      <c r="E27" s="429" t="s">
        <v>489</v>
      </c>
      <c r="F27" s="432">
        <v>1</v>
      </c>
      <c r="G27" s="432">
        <v>235</v>
      </c>
      <c r="H27" s="432"/>
      <c r="I27" s="432">
        <v>235</v>
      </c>
      <c r="J27" s="432"/>
      <c r="K27" s="432"/>
      <c r="L27" s="432"/>
      <c r="M27" s="432"/>
      <c r="N27" s="432"/>
      <c r="O27" s="432"/>
      <c r="P27" s="484"/>
      <c r="Q27" s="433"/>
    </row>
    <row r="28" spans="1:17" ht="14.4" customHeight="1" x14ac:dyDescent="0.3">
      <c r="A28" s="428" t="s">
        <v>516</v>
      </c>
      <c r="B28" s="429" t="s">
        <v>450</v>
      </c>
      <c r="C28" s="429" t="s">
        <v>456</v>
      </c>
      <c r="D28" s="429" t="s">
        <v>459</v>
      </c>
      <c r="E28" s="429" t="s">
        <v>460</v>
      </c>
      <c r="F28" s="432">
        <v>1</v>
      </c>
      <c r="G28" s="432">
        <v>35</v>
      </c>
      <c r="H28" s="432">
        <v>0.47297297297297297</v>
      </c>
      <c r="I28" s="432">
        <v>35</v>
      </c>
      <c r="J28" s="432">
        <v>2</v>
      </c>
      <c r="K28" s="432">
        <v>74</v>
      </c>
      <c r="L28" s="432">
        <v>1</v>
      </c>
      <c r="M28" s="432">
        <v>37</v>
      </c>
      <c r="N28" s="432">
        <v>1</v>
      </c>
      <c r="O28" s="432">
        <v>37</v>
      </c>
      <c r="P28" s="484">
        <v>0.5</v>
      </c>
      <c r="Q28" s="433">
        <v>37</v>
      </c>
    </row>
    <row r="29" spans="1:17" ht="14.4" customHeight="1" x14ac:dyDescent="0.3">
      <c r="A29" s="428" t="s">
        <v>516</v>
      </c>
      <c r="B29" s="429" t="s">
        <v>482</v>
      </c>
      <c r="C29" s="429" t="s">
        <v>456</v>
      </c>
      <c r="D29" s="429" t="s">
        <v>483</v>
      </c>
      <c r="E29" s="429" t="s">
        <v>484</v>
      </c>
      <c r="F29" s="432">
        <v>2</v>
      </c>
      <c r="G29" s="432">
        <v>470</v>
      </c>
      <c r="H29" s="432"/>
      <c r="I29" s="432">
        <v>235</v>
      </c>
      <c r="J29" s="432"/>
      <c r="K29" s="432"/>
      <c r="L29" s="432"/>
      <c r="M29" s="432"/>
      <c r="N29" s="432"/>
      <c r="O29" s="432"/>
      <c r="P29" s="484"/>
      <c r="Q29" s="433"/>
    </row>
    <row r="30" spans="1:17" ht="14.4" customHeight="1" x14ac:dyDescent="0.3">
      <c r="A30" s="428" t="s">
        <v>516</v>
      </c>
      <c r="B30" s="429" t="s">
        <v>482</v>
      </c>
      <c r="C30" s="429" t="s">
        <v>456</v>
      </c>
      <c r="D30" s="429" t="s">
        <v>463</v>
      </c>
      <c r="E30" s="429" t="s">
        <v>464</v>
      </c>
      <c r="F30" s="432">
        <v>2</v>
      </c>
      <c r="G30" s="432">
        <v>0</v>
      </c>
      <c r="H30" s="432"/>
      <c r="I30" s="432">
        <v>0</v>
      </c>
      <c r="J30" s="432"/>
      <c r="K30" s="432"/>
      <c r="L30" s="432"/>
      <c r="M30" s="432"/>
      <c r="N30" s="432"/>
      <c r="O30" s="432"/>
      <c r="P30" s="484"/>
      <c r="Q30" s="433"/>
    </row>
    <row r="31" spans="1:17" ht="14.4" customHeight="1" x14ac:dyDescent="0.3">
      <c r="A31" s="428" t="s">
        <v>517</v>
      </c>
      <c r="B31" s="429" t="s">
        <v>450</v>
      </c>
      <c r="C31" s="429" t="s">
        <v>456</v>
      </c>
      <c r="D31" s="429" t="s">
        <v>459</v>
      </c>
      <c r="E31" s="429" t="s">
        <v>460</v>
      </c>
      <c r="F31" s="432">
        <v>2</v>
      </c>
      <c r="G31" s="432">
        <v>70</v>
      </c>
      <c r="H31" s="432"/>
      <c r="I31" s="432">
        <v>35</v>
      </c>
      <c r="J31" s="432"/>
      <c r="K31" s="432"/>
      <c r="L31" s="432"/>
      <c r="M31" s="432"/>
      <c r="N31" s="432"/>
      <c r="O31" s="432"/>
      <c r="P31" s="484"/>
      <c r="Q31" s="433"/>
    </row>
    <row r="32" spans="1:17" ht="14.4" customHeight="1" x14ac:dyDescent="0.3">
      <c r="A32" s="428" t="s">
        <v>517</v>
      </c>
      <c r="B32" s="429" t="s">
        <v>450</v>
      </c>
      <c r="C32" s="429" t="s">
        <v>456</v>
      </c>
      <c r="D32" s="429" t="s">
        <v>461</v>
      </c>
      <c r="E32" s="429" t="s">
        <v>462</v>
      </c>
      <c r="F32" s="432"/>
      <c r="G32" s="432"/>
      <c r="H32" s="432"/>
      <c r="I32" s="432"/>
      <c r="J32" s="432"/>
      <c r="K32" s="432"/>
      <c r="L32" s="432"/>
      <c r="M32" s="432"/>
      <c r="N32" s="432">
        <v>1</v>
      </c>
      <c r="O32" s="432">
        <v>470</v>
      </c>
      <c r="P32" s="484"/>
      <c r="Q32" s="433">
        <v>470</v>
      </c>
    </row>
    <row r="33" spans="1:17" ht="14.4" customHeight="1" x14ac:dyDescent="0.3">
      <c r="A33" s="428" t="s">
        <v>518</v>
      </c>
      <c r="B33" s="429" t="s">
        <v>482</v>
      </c>
      <c r="C33" s="429" t="s">
        <v>456</v>
      </c>
      <c r="D33" s="429" t="s">
        <v>483</v>
      </c>
      <c r="E33" s="429" t="s">
        <v>484</v>
      </c>
      <c r="F33" s="432">
        <v>1</v>
      </c>
      <c r="G33" s="432">
        <v>235</v>
      </c>
      <c r="H33" s="432"/>
      <c r="I33" s="432">
        <v>235</v>
      </c>
      <c r="J33" s="432"/>
      <c r="K33" s="432"/>
      <c r="L33" s="432"/>
      <c r="M33" s="432"/>
      <c r="N33" s="432"/>
      <c r="O33" s="432"/>
      <c r="P33" s="484"/>
      <c r="Q33" s="433"/>
    </row>
    <row r="34" spans="1:17" ht="14.4" customHeight="1" x14ac:dyDescent="0.3">
      <c r="A34" s="428" t="s">
        <v>518</v>
      </c>
      <c r="B34" s="429" t="s">
        <v>485</v>
      </c>
      <c r="C34" s="429" t="s">
        <v>456</v>
      </c>
      <c r="D34" s="429" t="s">
        <v>488</v>
      </c>
      <c r="E34" s="429" t="s">
        <v>489</v>
      </c>
      <c r="F34" s="432">
        <v>1</v>
      </c>
      <c r="G34" s="432">
        <v>235</v>
      </c>
      <c r="H34" s="432"/>
      <c r="I34" s="432">
        <v>235</v>
      </c>
      <c r="J34" s="432"/>
      <c r="K34" s="432"/>
      <c r="L34" s="432"/>
      <c r="M34" s="432"/>
      <c r="N34" s="432"/>
      <c r="O34" s="432"/>
      <c r="P34" s="484"/>
      <c r="Q34" s="433"/>
    </row>
    <row r="35" spans="1:17" ht="14.4" customHeight="1" thickBot="1" x14ac:dyDescent="0.35">
      <c r="A35" s="434" t="s">
        <v>519</v>
      </c>
      <c r="B35" s="435" t="s">
        <v>485</v>
      </c>
      <c r="C35" s="435" t="s">
        <v>456</v>
      </c>
      <c r="D35" s="435" t="s">
        <v>488</v>
      </c>
      <c r="E35" s="435" t="s">
        <v>489</v>
      </c>
      <c r="F35" s="438">
        <v>1</v>
      </c>
      <c r="G35" s="438">
        <v>235</v>
      </c>
      <c r="H35" s="438"/>
      <c r="I35" s="438">
        <v>235</v>
      </c>
      <c r="J35" s="438"/>
      <c r="K35" s="438"/>
      <c r="L35" s="438"/>
      <c r="M35" s="438"/>
      <c r="N35" s="438"/>
      <c r="O35" s="438"/>
      <c r="P35" s="485"/>
      <c r="Q35" s="43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24" t="s">
        <v>98</v>
      </c>
      <c r="B1" s="324"/>
      <c r="C1" s="325"/>
      <c r="D1" s="325"/>
      <c r="E1" s="325"/>
    </row>
    <row r="2" spans="1:5" ht="14.4" customHeight="1" thickBot="1" x14ac:dyDescent="0.35">
      <c r="A2" s="198" t="s">
        <v>227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597.60932908630366</v>
      </c>
      <c r="D4" s="133">
        <f ca="1">IF(ISERROR(VLOOKUP("Náklady celkem",INDIRECT("HI!$A:$G"),5,0)),0,VLOOKUP("Náklady celkem",INDIRECT("HI!$A:$G"),5,0))</f>
        <v>601.63963000000012</v>
      </c>
      <c r="E4" s="134">
        <f ca="1">IF(C4=0,0,D4/C4)</f>
        <v>1.0067440394879017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7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554.67722656249998</v>
      </c>
      <c r="D11" s="141">
        <f>IF(ISERROR(HI!E6),"",HI!E6)</f>
        <v>559.79141000000016</v>
      </c>
      <c r="E11" s="138">
        <f t="shared" si="0"/>
        <v>1.0092201071048008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597.86767000000009</v>
      </c>
      <c r="D14" s="156">
        <f ca="1">IF(ISERROR(VLOOKUP("Výnosy celkem",INDIRECT("HI!$A:$G"),5,0)),0,VLOOKUP("Výnosy celkem",INDIRECT("HI!$A:$G"),5,0))</f>
        <v>1367.82266</v>
      </c>
      <c r="E14" s="157">
        <f t="shared" ref="E14:E19" ca="1" si="1">IF(C14=0,0,D14/C14)</f>
        <v>2.2878351324800685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597.86767000000009</v>
      </c>
      <c r="D15" s="137">
        <f ca="1">IF(ISERROR(VLOOKUP("Ambulance *",INDIRECT("HI!$A:$G"),5,0)),0,VLOOKUP("Ambulance *",INDIRECT("HI!$A:$G"),5,0))</f>
        <v>1367.82266</v>
      </c>
      <c r="E15" s="138">
        <f t="shared" ca="1" si="1"/>
        <v>2.2878351324800685</v>
      </c>
    </row>
    <row r="16" spans="1:5" ht="14.4" customHeight="1" x14ac:dyDescent="0.3">
      <c r="A16" s="284" t="str">
        <f>HYPERLINK("#'ZV Vykáz.-A'!A1","Zdravotní výkony vykázané u ambulantních pacientů (min. 100 % 2016)")</f>
        <v>Zdravotní výkony vykázané u ambulantních pacientů (min. 100 % 2016)</v>
      </c>
      <c r="B16" s="285" t="s">
        <v>100</v>
      </c>
      <c r="C16" s="142">
        <v>1</v>
      </c>
      <c r="D16" s="142">
        <f>IF(ISERROR(VLOOKUP("Celkem:",'ZV Vykáz.-A'!$A:$AB,10,0)),"",VLOOKUP("Celkem:",'ZV Vykáz.-A'!$A:$AB,10,0))</f>
        <v>2.287835132480069</v>
      </c>
      <c r="E16" s="138">
        <f t="shared" si="1"/>
        <v>2.287835132480069</v>
      </c>
    </row>
    <row r="17" spans="1:5" ht="14.4" customHeight="1" x14ac:dyDescent="0.3">
      <c r="A17" s="283" t="str">
        <f>HYPERLINK("#'ZV Vykáz.-A'!A1","Specializovaná ambulantní péče")</f>
        <v>Specializovaná ambulantní péče</v>
      </c>
      <c r="B17" s="285" t="s">
        <v>100</v>
      </c>
      <c r="C17" s="142">
        <v>1</v>
      </c>
      <c r="D17" s="270">
        <f>IF(ISERROR(VLOOKUP("Specializovaná ambulantní péče",'ZV Vykáz.-A'!$A:$AB,10,0)),"",VLOOKUP("Specializovaná ambulantní péče",'ZV Vykáz.-A'!$A:$AB,10,0))</f>
        <v>2.287835132480069</v>
      </c>
      <c r="E17" s="138">
        <f t="shared" si="1"/>
        <v>2.287835132480069</v>
      </c>
    </row>
    <row r="18" spans="1:5" ht="14.4" customHeight="1" x14ac:dyDescent="0.3">
      <c r="A18" s="283" t="str">
        <f>HYPERLINK("#'ZV Vykáz.-A'!A1","Ambulantní péče ve vyjmenovaných odbornostech (§9)")</f>
        <v>Ambulantní péče ve vyjmenovaných odbornostech (§9)</v>
      </c>
      <c r="B18" s="285" t="s">
        <v>100</v>
      </c>
      <c r="C18" s="142">
        <v>1</v>
      </c>
      <c r="D18" s="270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85" t="s">
        <v>102</v>
      </c>
      <c r="C19" s="142">
        <v>0.85</v>
      </c>
      <c r="D19" s="142">
        <f>IF(ISERROR(VLOOKUP("Celkem:",'ZV Vykáz.-H'!$A:$S,7,0)),"",VLOOKUP("Celkem:",'ZV Vykáz.-H'!$A:$S,7,0))</f>
        <v>0.80727402280130289</v>
      </c>
      <c r="E19" s="138">
        <f t="shared" si="1"/>
        <v>0.94973414447212112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4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3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3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35" t="s">
        <v>107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ht="14.4" customHeight="1" thickBot="1" x14ac:dyDescent="0.35">
      <c r="A2" s="198" t="s">
        <v>227</v>
      </c>
      <c r="B2" s="86"/>
      <c r="C2" s="86"/>
      <c r="D2" s="86"/>
      <c r="E2" s="86"/>
      <c r="F2" s="86"/>
    </row>
    <row r="3" spans="1:10" ht="14.4" customHeight="1" x14ac:dyDescent="0.3">
      <c r="A3" s="326"/>
      <c r="B3" s="82">
        <v>2015</v>
      </c>
      <c r="C3" s="40">
        <v>2016</v>
      </c>
      <c r="D3" s="7"/>
      <c r="E3" s="330">
        <v>2017</v>
      </c>
      <c r="F3" s="331"/>
      <c r="G3" s="331"/>
      <c r="H3" s="332"/>
      <c r="I3" s="333">
        <v>2017</v>
      </c>
      <c r="J3" s="334"/>
    </row>
    <row r="4" spans="1:10" ht="14.4" customHeight="1" thickBot="1" x14ac:dyDescent="0.35">
      <c r="A4" s="327"/>
      <c r="B4" s="328" t="s">
        <v>54</v>
      </c>
      <c r="C4" s="329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88" t="s">
        <v>217</v>
      </c>
      <c r="J4" s="289" t="s">
        <v>218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287.54228000000001</v>
      </c>
      <c r="C6" s="31">
        <v>208.58725000000001</v>
      </c>
      <c r="D6" s="8"/>
      <c r="E6" s="93">
        <v>559.79141000000016</v>
      </c>
      <c r="F6" s="30">
        <v>554.67722656249998</v>
      </c>
      <c r="G6" s="94">
        <f>E6-F6</f>
        <v>5.1141834375001736</v>
      </c>
      <c r="H6" s="98">
        <f>IF(F6&lt;0.00000001,"",E6/F6)</f>
        <v>1.0092201071048008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31.339549999999974</v>
      </c>
      <c r="C8" s="33">
        <v>24.834409999999991</v>
      </c>
      <c r="D8" s="8"/>
      <c r="E8" s="95">
        <v>41.848219999999969</v>
      </c>
      <c r="F8" s="32">
        <v>42.932102523803678</v>
      </c>
      <c r="G8" s="96">
        <f>E8-F8</f>
        <v>-1.0838825238037089</v>
      </c>
      <c r="H8" s="99">
        <f>IF(F8&lt;0.00000001,"",E8/F8)</f>
        <v>0.97475356527897161</v>
      </c>
    </row>
    <row r="9" spans="1:10" ht="14.4" customHeight="1" thickBot="1" x14ac:dyDescent="0.35">
      <c r="A9" s="2" t="s">
        <v>58</v>
      </c>
      <c r="B9" s="3">
        <v>318.88182999999998</v>
      </c>
      <c r="C9" s="35">
        <v>233.42166</v>
      </c>
      <c r="D9" s="8"/>
      <c r="E9" s="3">
        <v>601.63963000000012</v>
      </c>
      <c r="F9" s="34">
        <v>597.60932908630366</v>
      </c>
      <c r="G9" s="34">
        <f>E9-F9</f>
        <v>4.0303009136964647</v>
      </c>
      <c r="H9" s="100">
        <f>IF(F9&lt;0.00000001,"",E9/F9)</f>
        <v>1.0067440394879017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869.93565999999998</v>
      </c>
      <c r="C11" s="29">
        <f>IF(ISERROR(VLOOKUP("Celkem:",'ZV Vykáz.-A'!A:H,5,0)),0,VLOOKUP("Celkem:",'ZV Vykáz.-A'!A:H,5,0)/1000)</f>
        <v>597.86767000000009</v>
      </c>
      <c r="D11" s="8"/>
      <c r="E11" s="92">
        <f>IF(ISERROR(VLOOKUP("Celkem:",'ZV Vykáz.-A'!A:H,8,0)),0,VLOOKUP("Celkem:",'ZV Vykáz.-A'!A:H,8,0)/1000)</f>
        <v>1367.82266</v>
      </c>
      <c r="F11" s="28">
        <f>C11</f>
        <v>597.86767000000009</v>
      </c>
      <c r="G11" s="91">
        <f>E11-F11</f>
        <v>769.95498999999995</v>
      </c>
      <c r="H11" s="97">
        <f>IF(F11&lt;0.00000001,"",E11/F11)</f>
        <v>2.2878351324800685</v>
      </c>
      <c r="I11" s="91">
        <f>E11-B11</f>
        <v>497.88700000000006</v>
      </c>
      <c r="J11" s="97">
        <f>IF(B11&lt;0.00000001,"",E11/B11)</f>
        <v>1.5723262338734338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869.93565999999998</v>
      </c>
      <c r="C13" s="37">
        <f>SUM(C11:C12)</f>
        <v>597.86767000000009</v>
      </c>
      <c r="D13" s="8"/>
      <c r="E13" s="5">
        <f>SUM(E11:E12)</f>
        <v>1367.82266</v>
      </c>
      <c r="F13" s="36">
        <f>SUM(F11:F12)</f>
        <v>597.86767000000009</v>
      </c>
      <c r="G13" s="36">
        <f>E13-F13</f>
        <v>769.95498999999995</v>
      </c>
      <c r="H13" s="101">
        <f>IF(F13&lt;0.00000001,"",E13/F13)</f>
        <v>2.2878351324800685</v>
      </c>
      <c r="I13" s="36">
        <f>SUM(I11:I12)</f>
        <v>497.88700000000006</v>
      </c>
      <c r="J13" s="101">
        <f>IF(B13&lt;0.00000001,"",E13/B13)</f>
        <v>1.5723262338734338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2.7280816219600847</v>
      </c>
      <c r="C15" s="39">
        <f>IF(C9=0,"",C13/C9)</f>
        <v>2.5613204447265097</v>
      </c>
      <c r="D15" s="8"/>
      <c r="E15" s="6">
        <f>IF(E9=0,"",E13/E9)</f>
        <v>2.2734916248785004</v>
      </c>
      <c r="F15" s="38">
        <f>IF(F9=0,"",F13/F9)</f>
        <v>1.0004322906305552</v>
      </c>
      <c r="G15" s="38">
        <f>IF(ISERROR(F15-E15),"",E15-F15)</f>
        <v>1.2730593342479453</v>
      </c>
      <c r="H15" s="102">
        <f>IF(ISERROR(F15-E15),"",IF(F15&lt;0.00000001,"",E15/F15))</f>
        <v>2.2725092404260141</v>
      </c>
    </row>
    <row r="17" spans="1:8" ht="14.4" customHeight="1" x14ac:dyDescent="0.3">
      <c r="A17" s="88" t="s">
        <v>120</v>
      </c>
    </row>
    <row r="18" spans="1:8" ht="14.4" customHeight="1" x14ac:dyDescent="0.3">
      <c r="A18" s="257" t="s">
        <v>141</v>
      </c>
      <c r="B18" s="258"/>
      <c r="C18" s="258"/>
      <c r="D18" s="258"/>
      <c r="E18" s="258"/>
      <c r="F18" s="258"/>
      <c r="G18" s="258"/>
      <c r="H18" s="258"/>
    </row>
    <row r="19" spans="1:8" x14ac:dyDescent="0.3">
      <c r="A19" s="256" t="s">
        <v>140</v>
      </c>
      <c r="B19" s="258"/>
      <c r="C19" s="258"/>
      <c r="D19" s="258"/>
      <c r="E19" s="258"/>
      <c r="F19" s="258"/>
      <c r="G19" s="258"/>
      <c r="H19" s="258"/>
    </row>
    <row r="20" spans="1:8" ht="14.4" customHeight="1" x14ac:dyDescent="0.3">
      <c r="A20" s="89" t="s">
        <v>177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216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2" priority="8" operator="greaterThan">
      <formula>0</formula>
    </cfRule>
  </conditionalFormatting>
  <conditionalFormatting sqref="G11:G13 G15">
    <cfRule type="cellIs" dxfId="31" priority="7" operator="lessThan">
      <formula>0</formula>
    </cfRule>
  </conditionalFormatting>
  <conditionalFormatting sqref="H5:H9">
    <cfRule type="cellIs" dxfId="30" priority="6" operator="greaterThan">
      <formula>1</formula>
    </cfRule>
  </conditionalFormatting>
  <conditionalFormatting sqref="H11:H13 H15">
    <cfRule type="cellIs" dxfId="29" priority="5" operator="lessThan">
      <formula>1</formula>
    </cfRule>
  </conditionalFormatting>
  <conditionalFormatting sqref="I11:I13">
    <cfRule type="cellIs" dxfId="28" priority="4" operator="lessThan">
      <formula>0</formula>
    </cfRule>
  </conditionalFormatting>
  <conditionalFormatting sqref="J11:J13">
    <cfRule type="cellIs" dxfId="2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24" t="s">
        <v>85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3" ht="14.4" customHeight="1" x14ac:dyDescent="0.3">
      <c r="A2" s="198" t="s">
        <v>227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2.5138676654716621</v>
      </c>
      <c r="C4" s="174">
        <f t="shared" ref="C4:M4" si="0">(C10+C8)/C6</f>
        <v>3.3809966448100899</v>
      </c>
      <c r="D4" s="174">
        <f t="shared" si="0"/>
        <v>3.0337717645853077</v>
      </c>
      <c r="E4" s="174">
        <f t="shared" si="0"/>
        <v>2.9567428304850933</v>
      </c>
      <c r="F4" s="174">
        <f t="shared" si="0"/>
        <v>2.8448351808538788</v>
      </c>
      <c r="G4" s="174">
        <f t="shared" si="0"/>
        <v>2.3181183084978265</v>
      </c>
      <c r="H4" s="174">
        <f t="shared" si="0"/>
        <v>2.2734916414997457</v>
      </c>
      <c r="I4" s="174">
        <f t="shared" si="0"/>
        <v>2.2734916414997457</v>
      </c>
      <c r="J4" s="174">
        <f t="shared" si="0"/>
        <v>2.2734916414997457</v>
      </c>
      <c r="K4" s="174">
        <f t="shared" si="0"/>
        <v>2.2734916414997457</v>
      </c>
      <c r="L4" s="174">
        <f t="shared" si="0"/>
        <v>2.2734916414997457</v>
      </c>
      <c r="M4" s="174">
        <f t="shared" si="0"/>
        <v>2.2734916414997457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72.895110000000003</v>
      </c>
      <c r="C5" s="174">
        <f>IF(ISERROR(VLOOKUP($A5,'Man Tab'!$A:$Q,COLUMN()+2,0)),0,VLOOKUP($A5,'Man Tab'!$A:$Q,COLUMN()+2,0))</f>
        <v>35.90052</v>
      </c>
      <c r="D5" s="174">
        <f>IF(ISERROR(VLOOKUP($A5,'Man Tab'!$A:$Q,COLUMN()+2,0)),0,VLOOKUP($A5,'Man Tab'!$A:$Q,COLUMN()+2,0))</f>
        <v>83.031480000000002</v>
      </c>
      <c r="E5" s="174">
        <f>IF(ISERROR(VLOOKUP($A5,'Man Tab'!$A:$Q,COLUMN()+2,0)),0,VLOOKUP($A5,'Man Tab'!$A:$Q,COLUMN()+2,0))</f>
        <v>79.249110000000002</v>
      </c>
      <c r="F5" s="174">
        <f>IF(ISERROR(VLOOKUP($A5,'Man Tab'!$A:$Q,COLUMN()+2,0)),0,VLOOKUP($A5,'Man Tab'!$A:$Q,COLUMN()+2,0))</f>
        <v>87.570220000000006</v>
      </c>
      <c r="G5" s="174">
        <f>IF(ISERROR(VLOOKUP($A5,'Man Tab'!$A:$Q,COLUMN()+2,0)),0,VLOOKUP($A5,'Man Tab'!$A:$Q,COLUMN()+2,0))</f>
        <v>162.63412</v>
      </c>
      <c r="H5" s="174">
        <f>IF(ISERROR(VLOOKUP($A5,'Man Tab'!$A:$Q,COLUMN()+2,0)),0,VLOOKUP($A5,'Man Tab'!$A:$Q,COLUMN()+2,0))</f>
        <v>80.359070000000003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72.895110000000003</v>
      </c>
      <c r="C6" s="176">
        <f t="shared" ref="C6:M6" si="1">C5+B6</f>
        <v>108.79563</v>
      </c>
      <c r="D6" s="176">
        <f t="shared" si="1"/>
        <v>191.82711</v>
      </c>
      <c r="E6" s="176">
        <f t="shared" si="1"/>
        <v>271.07622000000003</v>
      </c>
      <c r="F6" s="176">
        <f t="shared" si="1"/>
        <v>358.64644000000004</v>
      </c>
      <c r="G6" s="176">
        <f t="shared" si="1"/>
        <v>521.28056000000004</v>
      </c>
      <c r="H6" s="176">
        <f t="shared" si="1"/>
        <v>601.63963000000001</v>
      </c>
      <c r="I6" s="176">
        <f t="shared" si="1"/>
        <v>601.63963000000001</v>
      </c>
      <c r="J6" s="176">
        <f t="shared" si="1"/>
        <v>601.63963000000001</v>
      </c>
      <c r="K6" s="176">
        <f t="shared" si="1"/>
        <v>601.63963000000001</v>
      </c>
      <c r="L6" s="176">
        <f t="shared" si="1"/>
        <v>601.63963000000001</v>
      </c>
      <c r="M6" s="176">
        <f t="shared" si="1"/>
        <v>601.63963000000001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183248.66</v>
      </c>
      <c r="C9" s="175">
        <v>184588.99999999997</v>
      </c>
      <c r="D9" s="175">
        <v>214122.01</v>
      </c>
      <c r="E9" s="175">
        <v>219543</v>
      </c>
      <c r="F9" s="175">
        <v>218787.34000000003</v>
      </c>
      <c r="G9" s="175">
        <v>188100</v>
      </c>
      <c r="H9" s="175">
        <v>159432.66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183.24866</v>
      </c>
      <c r="C10" s="176">
        <f t="shared" ref="C10:M10" si="3">C9/1000+B10</f>
        <v>367.83765999999997</v>
      </c>
      <c r="D10" s="176">
        <f t="shared" si="3"/>
        <v>581.95966999999996</v>
      </c>
      <c r="E10" s="176">
        <f t="shared" si="3"/>
        <v>801.50266999999997</v>
      </c>
      <c r="F10" s="176">
        <f t="shared" si="3"/>
        <v>1020.2900099999999</v>
      </c>
      <c r="G10" s="176">
        <f t="shared" si="3"/>
        <v>1208.3900099999998</v>
      </c>
      <c r="H10" s="176">
        <f t="shared" si="3"/>
        <v>1367.8226699999998</v>
      </c>
      <c r="I10" s="176">
        <f t="shared" si="3"/>
        <v>1367.8226699999998</v>
      </c>
      <c r="J10" s="176">
        <f t="shared" si="3"/>
        <v>1367.8226699999998</v>
      </c>
      <c r="K10" s="176">
        <f t="shared" si="3"/>
        <v>1367.8226699999998</v>
      </c>
      <c r="L10" s="176">
        <f t="shared" si="3"/>
        <v>1367.8226699999998</v>
      </c>
      <c r="M10" s="176">
        <f t="shared" si="3"/>
        <v>1367.8226699999998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1.0004322906305552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1.0004322906305552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36" t="s">
        <v>229</v>
      </c>
      <c r="B1" s="336"/>
      <c r="C1" s="336"/>
      <c r="D1" s="336"/>
      <c r="E1" s="336"/>
      <c r="F1" s="336"/>
      <c r="G1" s="336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s="177" customFormat="1" ht="14.4" customHeight="1" thickBot="1" x14ac:dyDescent="0.3">
      <c r="A2" s="198" t="s">
        <v>227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37" t="s">
        <v>11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12"/>
      <c r="Q3" s="114"/>
    </row>
    <row r="4" spans="1:17" ht="14.4" customHeight="1" x14ac:dyDescent="0.3">
      <c r="A4" s="61"/>
      <c r="B4" s="20">
        <v>2017</v>
      </c>
      <c r="C4" s="113" t="s">
        <v>12</v>
      </c>
      <c r="D4" s="282" t="s">
        <v>192</v>
      </c>
      <c r="E4" s="282" t="s">
        <v>193</v>
      </c>
      <c r="F4" s="282" t="s">
        <v>194</v>
      </c>
      <c r="G4" s="282" t="s">
        <v>195</v>
      </c>
      <c r="H4" s="282" t="s">
        <v>196</v>
      </c>
      <c r="I4" s="282" t="s">
        <v>197</v>
      </c>
      <c r="J4" s="282" t="s">
        <v>198</v>
      </c>
      <c r="K4" s="282" t="s">
        <v>199</v>
      </c>
      <c r="L4" s="282" t="s">
        <v>200</v>
      </c>
      <c r="M4" s="282" t="s">
        <v>201</v>
      </c>
      <c r="N4" s="282" t="s">
        <v>202</v>
      </c>
      <c r="O4" s="282" t="s">
        <v>203</v>
      </c>
      <c r="P4" s="339" t="s">
        <v>3</v>
      </c>
      <c r="Q4" s="340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228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228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228</v>
      </c>
    </row>
    <row r="9" spans="1:17" ht="14.4" customHeight="1" x14ac:dyDescent="0.3">
      <c r="A9" s="15" t="s">
        <v>19</v>
      </c>
      <c r="B9" s="46">
        <v>950.87526973767103</v>
      </c>
      <c r="C9" s="47">
        <v>79.239605811472003</v>
      </c>
      <c r="D9" s="47">
        <v>68.720330000000004</v>
      </c>
      <c r="E9" s="47">
        <v>32.641840000000002</v>
      </c>
      <c r="F9" s="47">
        <v>80.113699999999994</v>
      </c>
      <c r="G9" s="47">
        <v>75.969480000000004</v>
      </c>
      <c r="H9" s="47">
        <v>72.575749999999999</v>
      </c>
      <c r="I9" s="47">
        <v>151.62932000000001</v>
      </c>
      <c r="J9" s="47">
        <v>78.140990000000002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559.79141000000004</v>
      </c>
      <c r="Q9" s="71">
        <v>1.009220081417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228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12.44364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12.44364</v>
      </c>
      <c r="Q11" s="71" t="s">
        <v>228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228</v>
      </c>
    </row>
    <row r="13" spans="1:17" ht="14.4" customHeight="1" x14ac:dyDescent="0.3">
      <c r="A13" s="15" t="s">
        <v>23</v>
      </c>
      <c r="B13" s="46">
        <v>3.2526060071309999</v>
      </c>
      <c r="C13" s="47">
        <v>0.27105050059399999</v>
      </c>
      <c r="D13" s="47">
        <v>0.23377999999999999</v>
      </c>
      <c r="E13" s="47">
        <v>0.12867999999999999</v>
      </c>
      <c r="F13" s="47">
        <v>0.17158000000000001</v>
      </c>
      <c r="G13" s="47">
        <v>0.87263000000000002</v>
      </c>
      <c r="H13" s="47">
        <v>0.61982999999999999</v>
      </c>
      <c r="I13" s="47">
        <v>0</v>
      </c>
      <c r="J13" s="47">
        <v>0.76607999999999998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2.7925800000000001</v>
      </c>
      <c r="Q13" s="71">
        <v>1.4718290470790001</v>
      </c>
    </row>
    <row r="14" spans="1:17" ht="14.4" customHeight="1" x14ac:dyDescent="0.3">
      <c r="A14" s="15" t="s">
        <v>24</v>
      </c>
      <c r="B14" s="46">
        <v>28.999999999999002</v>
      </c>
      <c r="C14" s="47">
        <v>2.4166666666659999</v>
      </c>
      <c r="D14" s="47">
        <v>3.9409999999999998</v>
      </c>
      <c r="E14" s="47">
        <v>3.13</v>
      </c>
      <c r="F14" s="47">
        <v>2.746</v>
      </c>
      <c r="G14" s="47">
        <v>2.407</v>
      </c>
      <c r="H14" s="47">
        <v>1.931</v>
      </c>
      <c r="I14" s="47">
        <v>1.56</v>
      </c>
      <c r="J14" s="47">
        <v>1.452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17.167000000000002</v>
      </c>
      <c r="Q14" s="71">
        <v>1.014798029556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228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228</v>
      </c>
    </row>
    <row r="17" spans="1:17" ht="14.4" customHeight="1" x14ac:dyDescent="0.3">
      <c r="A17" s="15" t="s">
        <v>27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2.3353000000000002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2.3353000000000002</v>
      </c>
      <c r="Q17" s="71" t="s">
        <v>228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228</v>
      </c>
    </row>
    <row r="19" spans="1:17" ht="14.4" customHeight="1" x14ac:dyDescent="0.3">
      <c r="A19" s="15" t="s">
        <v>29</v>
      </c>
      <c r="B19" s="46">
        <v>6.7351172822879999</v>
      </c>
      <c r="C19" s="47">
        <v>0.56125977352400003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7.1094999999999997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7.1094999999999997</v>
      </c>
      <c r="Q19" s="71">
        <v>1.8095771424439999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228</v>
      </c>
    </row>
    <row r="21" spans="1:17" ht="14.4" customHeight="1" x14ac:dyDescent="0.3">
      <c r="A21" s="16" t="s">
        <v>31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1" t="s">
        <v>228</v>
      </c>
    </row>
    <row r="22" spans="1:17" ht="14.4" customHeight="1" x14ac:dyDescent="0.3">
      <c r="A22" s="15" t="s">
        <v>32</v>
      </c>
      <c r="B22" s="46">
        <v>13</v>
      </c>
      <c r="C22" s="47">
        <v>1.083333333333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>
        <v>0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228</v>
      </c>
    </row>
    <row r="24" spans="1:17" ht="14.4" customHeight="1" x14ac:dyDescent="0.3">
      <c r="A24" s="16" t="s">
        <v>34</v>
      </c>
      <c r="B24" s="46">
        <v>0</v>
      </c>
      <c r="C24" s="47">
        <v>1.4210854715202001E-14</v>
      </c>
      <c r="D24" s="47">
        <v>1.4210854715202001E-14</v>
      </c>
      <c r="E24" s="47">
        <v>-7.1054273576010003E-15</v>
      </c>
      <c r="F24" s="47">
        <v>2.0000000000000001E-4</v>
      </c>
      <c r="G24" s="47">
        <v>0</v>
      </c>
      <c r="H24" s="47">
        <v>2.8421709430404001E-14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2.0000000000000001E-4</v>
      </c>
      <c r="Q24" s="71"/>
    </row>
    <row r="25" spans="1:17" ht="14.4" customHeight="1" x14ac:dyDescent="0.3">
      <c r="A25" s="17" t="s">
        <v>35</v>
      </c>
      <c r="B25" s="49">
        <v>1002.8629930270901</v>
      </c>
      <c r="C25" s="50">
        <v>83.571916085590004</v>
      </c>
      <c r="D25" s="50">
        <v>72.895110000000003</v>
      </c>
      <c r="E25" s="50">
        <v>35.90052</v>
      </c>
      <c r="F25" s="50">
        <v>83.031480000000002</v>
      </c>
      <c r="G25" s="50">
        <v>79.249110000000002</v>
      </c>
      <c r="H25" s="50">
        <v>87.570220000000006</v>
      </c>
      <c r="I25" s="50">
        <v>162.63412</v>
      </c>
      <c r="J25" s="50">
        <v>80.359070000000003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601.63963000000001</v>
      </c>
      <c r="Q25" s="72">
        <v>1.02843781257</v>
      </c>
    </row>
    <row r="26" spans="1:17" ht="14.4" customHeight="1" x14ac:dyDescent="0.3">
      <c r="A26" s="15" t="s">
        <v>36</v>
      </c>
      <c r="B26" s="46">
        <v>1.586127332987</v>
      </c>
      <c r="C26" s="47">
        <v>0.132177277748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>
        <v>0</v>
      </c>
    </row>
    <row r="27" spans="1:17" ht="14.4" customHeight="1" x14ac:dyDescent="0.3">
      <c r="A27" s="18" t="s">
        <v>37</v>
      </c>
      <c r="B27" s="49">
        <v>1004.44912036008</v>
      </c>
      <c r="C27" s="50">
        <v>83.704093363338998</v>
      </c>
      <c r="D27" s="50">
        <v>72.895110000000003</v>
      </c>
      <c r="E27" s="50">
        <v>35.90052</v>
      </c>
      <c r="F27" s="50">
        <v>83.031480000000002</v>
      </c>
      <c r="G27" s="50">
        <v>79.249110000000002</v>
      </c>
      <c r="H27" s="50">
        <v>87.570220000000006</v>
      </c>
      <c r="I27" s="50">
        <v>162.63412</v>
      </c>
      <c r="J27" s="50">
        <v>80.359070000000003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601.63963000000001</v>
      </c>
      <c r="Q27" s="72">
        <v>1.0268138046519999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228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228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36" t="s">
        <v>43</v>
      </c>
      <c r="B1" s="336"/>
      <c r="C1" s="336"/>
      <c r="D1" s="336"/>
      <c r="E1" s="336"/>
      <c r="F1" s="336"/>
      <c r="G1" s="336"/>
      <c r="H1" s="341"/>
      <c r="I1" s="341"/>
      <c r="J1" s="341"/>
      <c r="K1" s="341"/>
    </row>
    <row r="2" spans="1:11" s="55" customFormat="1" ht="14.4" customHeight="1" thickBot="1" x14ac:dyDescent="0.35">
      <c r="A2" s="198" t="s">
        <v>227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37" t="s">
        <v>44</v>
      </c>
      <c r="C3" s="338"/>
      <c r="D3" s="338"/>
      <c r="E3" s="338"/>
      <c r="F3" s="344" t="s">
        <v>45</v>
      </c>
      <c r="G3" s="338"/>
      <c r="H3" s="338"/>
      <c r="I3" s="338"/>
      <c r="J3" s="338"/>
      <c r="K3" s="345"/>
    </row>
    <row r="4" spans="1:11" ht="14.4" customHeight="1" x14ac:dyDescent="0.3">
      <c r="A4" s="61"/>
      <c r="B4" s="342"/>
      <c r="C4" s="343"/>
      <c r="D4" s="343"/>
      <c r="E4" s="343"/>
      <c r="F4" s="346" t="s">
        <v>205</v>
      </c>
      <c r="G4" s="348" t="s">
        <v>46</v>
      </c>
      <c r="H4" s="115" t="s">
        <v>110</v>
      </c>
      <c r="I4" s="346" t="s">
        <v>47</v>
      </c>
      <c r="J4" s="348" t="s">
        <v>212</v>
      </c>
      <c r="K4" s="349" t="s">
        <v>206</v>
      </c>
    </row>
    <row r="5" spans="1:11" ht="42" thickBot="1" x14ac:dyDescent="0.35">
      <c r="A5" s="62"/>
      <c r="B5" s="24" t="s">
        <v>208</v>
      </c>
      <c r="C5" s="25" t="s">
        <v>209</v>
      </c>
      <c r="D5" s="26" t="s">
        <v>210</v>
      </c>
      <c r="E5" s="26" t="s">
        <v>211</v>
      </c>
      <c r="F5" s="347"/>
      <c r="G5" s="347"/>
      <c r="H5" s="25" t="s">
        <v>207</v>
      </c>
      <c r="I5" s="347"/>
      <c r="J5" s="347"/>
      <c r="K5" s="350"/>
    </row>
    <row r="6" spans="1:11" ht="14.4" customHeight="1" thickBot="1" x14ac:dyDescent="0.35">
      <c r="A6" s="402" t="s">
        <v>230</v>
      </c>
      <c r="B6" s="384">
        <v>553.85591339607095</v>
      </c>
      <c r="C6" s="384">
        <v>492.54966999999999</v>
      </c>
      <c r="D6" s="385">
        <v>-61.306243396070002</v>
      </c>
      <c r="E6" s="386">
        <v>0.889310122157</v>
      </c>
      <c r="F6" s="384">
        <v>1002.8629930270901</v>
      </c>
      <c r="G6" s="385">
        <v>585.00341259913603</v>
      </c>
      <c r="H6" s="387">
        <v>80.359070000000003</v>
      </c>
      <c r="I6" s="384">
        <v>601.63963000000001</v>
      </c>
      <c r="J6" s="385">
        <v>16.636217400863</v>
      </c>
      <c r="K6" s="388">
        <v>0.59992205733299997</v>
      </c>
    </row>
    <row r="7" spans="1:11" ht="14.4" customHeight="1" thickBot="1" x14ac:dyDescent="0.35">
      <c r="A7" s="403" t="s">
        <v>231</v>
      </c>
      <c r="B7" s="384">
        <v>549.59921112023903</v>
      </c>
      <c r="C7" s="384">
        <v>485.90262000000001</v>
      </c>
      <c r="D7" s="385">
        <v>-63.696591120237997</v>
      </c>
      <c r="E7" s="386">
        <v>0.88410356159199999</v>
      </c>
      <c r="F7" s="384">
        <v>983.12787574480205</v>
      </c>
      <c r="G7" s="385">
        <v>573.49126085113403</v>
      </c>
      <c r="H7" s="387">
        <v>80.359070000000003</v>
      </c>
      <c r="I7" s="384">
        <v>592.19483000000002</v>
      </c>
      <c r="J7" s="385">
        <v>18.703569148865</v>
      </c>
      <c r="K7" s="388">
        <v>0.602357887117</v>
      </c>
    </row>
    <row r="8" spans="1:11" ht="14.4" customHeight="1" thickBot="1" x14ac:dyDescent="0.35">
      <c r="A8" s="404" t="s">
        <v>232</v>
      </c>
      <c r="B8" s="384">
        <v>523.98011195758897</v>
      </c>
      <c r="C8" s="384">
        <v>456.65661999999998</v>
      </c>
      <c r="D8" s="385">
        <v>-67.323491957588999</v>
      </c>
      <c r="E8" s="386">
        <v>0.87151517696699998</v>
      </c>
      <c r="F8" s="384">
        <v>954.12787574480205</v>
      </c>
      <c r="G8" s="385">
        <v>556.57459418446797</v>
      </c>
      <c r="H8" s="387">
        <v>78.907070000000004</v>
      </c>
      <c r="I8" s="384">
        <v>575.02782999999999</v>
      </c>
      <c r="J8" s="385">
        <v>18.453235815532</v>
      </c>
      <c r="K8" s="388">
        <v>0.60267375539199997</v>
      </c>
    </row>
    <row r="9" spans="1:11" ht="14.4" customHeight="1" thickBot="1" x14ac:dyDescent="0.35">
      <c r="A9" s="405" t="s">
        <v>233</v>
      </c>
      <c r="B9" s="389">
        <v>0</v>
      </c>
      <c r="C9" s="389">
        <v>-9.2000000000000003E-4</v>
      </c>
      <c r="D9" s="390">
        <v>-9.2000000000000003E-4</v>
      </c>
      <c r="E9" s="391" t="s">
        <v>228</v>
      </c>
      <c r="F9" s="389">
        <v>0</v>
      </c>
      <c r="G9" s="390">
        <v>0</v>
      </c>
      <c r="H9" s="392">
        <v>0</v>
      </c>
      <c r="I9" s="389">
        <v>2.0000000000000001E-4</v>
      </c>
      <c r="J9" s="390">
        <v>2.0000000000000001E-4</v>
      </c>
      <c r="K9" s="393" t="s">
        <v>228</v>
      </c>
    </row>
    <row r="10" spans="1:11" ht="14.4" customHeight="1" thickBot="1" x14ac:dyDescent="0.35">
      <c r="A10" s="406" t="s">
        <v>234</v>
      </c>
      <c r="B10" s="384">
        <v>0</v>
      </c>
      <c r="C10" s="384">
        <v>-9.2000000000000003E-4</v>
      </c>
      <c r="D10" s="385">
        <v>-9.2000000000000003E-4</v>
      </c>
      <c r="E10" s="394" t="s">
        <v>228</v>
      </c>
      <c r="F10" s="384">
        <v>0</v>
      </c>
      <c r="G10" s="385">
        <v>0</v>
      </c>
      <c r="H10" s="387">
        <v>0</v>
      </c>
      <c r="I10" s="384">
        <v>2.0000000000000001E-4</v>
      </c>
      <c r="J10" s="385">
        <v>2.0000000000000001E-4</v>
      </c>
      <c r="K10" s="395" t="s">
        <v>228</v>
      </c>
    </row>
    <row r="11" spans="1:11" ht="14.4" customHeight="1" thickBot="1" x14ac:dyDescent="0.35">
      <c r="A11" s="405" t="s">
        <v>235</v>
      </c>
      <c r="B11" s="389">
        <v>521.00004703561103</v>
      </c>
      <c r="C11" s="389">
        <v>451.85942</v>
      </c>
      <c r="D11" s="390">
        <v>-69.140627035611004</v>
      </c>
      <c r="E11" s="396">
        <v>0.86729247448400004</v>
      </c>
      <c r="F11" s="389">
        <v>950.87526973767103</v>
      </c>
      <c r="G11" s="390">
        <v>554.67724068030805</v>
      </c>
      <c r="H11" s="392">
        <v>78.140990000000002</v>
      </c>
      <c r="I11" s="389">
        <v>559.79141000000004</v>
      </c>
      <c r="J11" s="390">
        <v>5.1141693196920004</v>
      </c>
      <c r="K11" s="397">
        <v>0.58871171416000001</v>
      </c>
    </row>
    <row r="12" spans="1:11" ht="14.4" customHeight="1" thickBot="1" x14ac:dyDescent="0.35">
      <c r="A12" s="406" t="s">
        <v>236</v>
      </c>
      <c r="B12" s="384">
        <v>30.000002708383999</v>
      </c>
      <c r="C12" s="384">
        <v>91.612620000000007</v>
      </c>
      <c r="D12" s="385">
        <v>61.612617291615003</v>
      </c>
      <c r="E12" s="386">
        <v>3.0537537243080002</v>
      </c>
      <c r="F12" s="384">
        <v>92.215207480060002</v>
      </c>
      <c r="G12" s="385">
        <v>53.792204363368</v>
      </c>
      <c r="H12" s="387">
        <v>3.7804799999999998</v>
      </c>
      <c r="I12" s="384">
        <v>55.204650000000001</v>
      </c>
      <c r="J12" s="385">
        <v>1.4124456366310001</v>
      </c>
      <c r="K12" s="388">
        <v>0.59865017396300002</v>
      </c>
    </row>
    <row r="13" spans="1:11" ht="14.4" customHeight="1" thickBot="1" x14ac:dyDescent="0.35">
      <c r="A13" s="406" t="s">
        <v>237</v>
      </c>
      <c r="B13" s="384">
        <v>370.00003340340902</v>
      </c>
      <c r="C13" s="384">
        <v>230.59182000000001</v>
      </c>
      <c r="D13" s="385">
        <v>-139.40821340340901</v>
      </c>
      <c r="E13" s="386">
        <v>0.62322107887099998</v>
      </c>
      <c r="F13" s="384">
        <v>250</v>
      </c>
      <c r="G13" s="385">
        <v>145.833333333333</v>
      </c>
      <c r="H13" s="387">
        <v>42.799840000000003</v>
      </c>
      <c r="I13" s="384">
        <v>308.22843</v>
      </c>
      <c r="J13" s="385">
        <v>162.395096666667</v>
      </c>
      <c r="K13" s="388">
        <v>1.23291372</v>
      </c>
    </row>
    <row r="14" spans="1:11" ht="14.4" customHeight="1" thickBot="1" x14ac:dyDescent="0.35">
      <c r="A14" s="406" t="s">
        <v>238</v>
      </c>
      <c r="B14" s="384">
        <v>70.000006319562999</v>
      </c>
      <c r="C14" s="384">
        <v>72.808300000000003</v>
      </c>
      <c r="D14" s="385">
        <v>2.8082936804359999</v>
      </c>
      <c r="E14" s="386">
        <v>1.040118477527</v>
      </c>
      <c r="F14" s="384">
        <v>348.27670943943099</v>
      </c>
      <c r="G14" s="385">
        <v>203.161413839668</v>
      </c>
      <c r="H14" s="387">
        <v>10.65401</v>
      </c>
      <c r="I14" s="384">
        <v>117.60208</v>
      </c>
      <c r="J14" s="385">
        <v>-85.559333839667005</v>
      </c>
      <c r="K14" s="388">
        <v>0.33766851705099998</v>
      </c>
    </row>
    <row r="15" spans="1:11" ht="14.4" customHeight="1" thickBot="1" x14ac:dyDescent="0.35">
      <c r="A15" s="406" t="s">
        <v>239</v>
      </c>
      <c r="B15" s="384">
        <v>17.000001534751</v>
      </c>
      <c r="C15" s="384">
        <v>16.741399999999999</v>
      </c>
      <c r="D15" s="385">
        <v>-0.25860153475100001</v>
      </c>
      <c r="E15" s="386">
        <v>0.98478814638699996</v>
      </c>
      <c r="F15" s="384">
        <v>20</v>
      </c>
      <c r="G15" s="385">
        <v>11.666666666666</v>
      </c>
      <c r="H15" s="387">
        <v>1.9407000000000001</v>
      </c>
      <c r="I15" s="384">
        <v>12.10947</v>
      </c>
      <c r="J15" s="385">
        <v>0.44280333333299998</v>
      </c>
      <c r="K15" s="388">
        <v>0.6054735</v>
      </c>
    </row>
    <row r="16" spans="1:11" ht="14.4" customHeight="1" thickBot="1" x14ac:dyDescent="0.35">
      <c r="A16" s="406" t="s">
        <v>240</v>
      </c>
      <c r="B16" s="384">
        <v>15.000001354191999</v>
      </c>
      <c r="C16" s="384">
        <v>24.488720000000001</v>
      </c>
      <c r="D16" s="385">
        <v>9.4887186458069994</v>
      </c>
      <c r="E16" s="386">
        <v>1.632581185944</v>
      </c>
      <c r="F16" s="384">
        <v>25.383352818178999</v>
      </c>
      <c r="G16" s="385">
        <v>14.806955810604</v>
      </c>
      <c r="H16" s="387">
        <v>2.0857999999999999</v>
      </c>
      <c r="I16" s="384">
        <v>18.589500000000001</v>
      </c>
      <c r="J16" s="385">
        <v>3.7825441893949998</v>
      </c>
      <c r="K16" s="388">
        <v>0.73235006159899996</v>
      </c>
    </row>
    <row r="17" spans="1:11" ht="14.4" customHeight="1" thickBot="1" x14ac:dyDescent="0.35">
      <c r="A17" s="406" t="s">
        <v>241</v>
      </c>
      <c r="B17" s="384">
        <v>19.000001715309999</v>
      </c>
      <c r="C17" s="384">
        <v>15.61656</v>
      </c>
      <c r="D17" s="385">
        <v>-3.38344171531</v>
      </c>
      <c r="E17" s="386">
        <v>0.82192413632299999</v>
      </c>
      <c r="F17" s="384">
        <v>215</v>
      </c>
      <c r="G17" s="385">
        <v>125.416666666667</v>
      </c>
      <c r="H17" s="387">
        <v>16.88016</v>
      </c>
      <c r="I17" s="384">
        <v>48.057279999999999</v>
      </c>
      <c r="J17" s="385">
        <v>-77.359386666665998</v>
      </c>
      <c r="K17" s="388">
        <v>0.22352223255799999</v>
      </c>
    </row>
    <row r="18" spans="1:11" ht="14.4" customHeight="1" thickBot="1" x14ac:dyDescent="0.35">
      <c r="A18" s="405" t="s">
        <v>242</v>
      </c>
      <c r="B18" s="389">
        <v>0</v>
      </c>
      <c r="C18" s="389">
        <v>1.2099999999999999E-3</v>
      </c>
      <c r="D18" s="390">
        <v>1.2099999999999999E-3</v>
      </c>
      <c r="E18" s="391" t="s">
        <v>243</v>
      </c>
      <c r="F18" s="389">
        <v>0</v>
      </c>
      <c r="G18" s="390">
        <v>0</v>
      </c>
      <c r="H18" s="392">
        <v>0</v>
      </c>
      <c r="I18" s="389">
        <v>12.44364</v>
      </c>
      <c r="J18" s="390">
        <v>12.44364</v>
      </c>
      <c r="K18" s="393" t="s">
        <v>228</v>
      </c>
    </row>
    <row r="19" spans="1:11" ht="14.4" customHeight="1" thickBot="1" x14ac:dyDescent="0.35">
      <c r="A19" s="406" t="s">
        <v>244</v>
      </c>
      <c r="B19" s="384">
        <v>0</v>
      </c>
      <c r="C19" s="384">
        <v>1.2099999999999999E-3</v>
      </c>
      <c r="D19" s="385">
        <v>1.2099999999999999E-3</v>
      </c>
      <c r="E19" s="394" t="s">
        <v>243</v>
      </c>
      <c r="F19" s="384">
        <v>0</v>
      </c>
      <c r="G19" s="385">
        <v>0</v>
      </c>
      <c r="H19" s="387">
        <v>0</v>
      </c>
      <c r="I19" s="384">
        <v>12.44364</v>
      </c>
      <c r="J19" s="385">
        <v>12.44364</v>
      </c>
      <c r="K19" s="395" t="s">
        <v>228</v>
      </c>
    </row>
    <row r="20" spans="1:11" ht="14.4" customHeight="1" thickBot="1" x14ac:dyDescent="0.35">
      <c r="A20" s="405" t="s">
        <v>245</v>
      </c>
      <c r="B20" s="389">
        <v>2.9800649219770001</v>
      </c>
      <c r="C20" s="389">
        <v>4.7969099999999996</v>
      </c>
      <c r="D20" s="390">
        <v>1.816845078022</v>
      </c>
      <c r="E20" s="396">
        <v>1.6096662742550001</v>
      </c>
      <c r="F20" s="389">
        <v>3.2526060071309999</v>
      </c>
      <c r="G20" s="390">
        <v>1.8973535041589999</v>
      </c>
      <c r="H20" s="392">
        <v>0.76607999999999998</v>
      </c>
      <c r="I20" s="389">
        <v>2.7925800000000001</v>
      </c>
      <c r="J20" s="390">
        <v>0.89522649584000002</v>
      </c>
      <c r="K20" s="397">
        <v>0.85856694412900003</v>
      </c>
    </row>
    <row r="21" spans="1:11" ht="14.4" customHeight="1" thickBot="1" x14ac:dyDescent="0.35">
      <c r="A21" s="406" t="s">
        <v>246</v>
      </c>
      <c r="B21" s="384">
        <v>0</v>
      </c>
      <c r="C21" s="384">
        <v>0.18659999999999999</v>
      </c>
      <c r="D21" s="385">
        <v>0.18659999999999999</v>
      </c>
      <c r="E21" s="394" t="s">
        <v>243</v>
      </c>
      <c r="F21" s="384">
        <v>0.25260600713100001</v>
      </c>
      <c r="G21" s="385">
        <v>0.147353504159</v>
      </c>
      <c r="H21" s="387">
        <v>0</v>
      </c>
      <c r="I21" s="384">
        <v>0.18659999999999999</v>
      </c>
      <c r="J21" s="385">
        <v>3.9246495839999999E-2</v>
      </c>
      <c r="K21" s="388">
        <v>0.73869977249999996</v>
      </c>
    </row>
    <row r="22" spans="1:11" ht="14.4" customHeight="1" thickBot="1" x14ac:dyDescent="0.35">
      <c r="A22" s="406" t="s">
        <v>247</v>
      </c>
      <c r="B22" s="384">
        <v>2.9800649219770001</v>
      </c>
      <c r="C22" s="384">
        <v>4.6103100000000001</v>
      </c>
      <c r="D22" s="385">
        <v>1.6302450780219999</v>
      </c>
      <c r="E22" s="386">
        <v>1.5470501887379999</v>
      </c>
      <c r="F22" s="384">
        <v>3</v>
      </c>
      <c r="G22" s="385">
        <v>1.75</v>
      </c>
      <c r="H22" s="387">
        <v>0.76607999999999998</v>
      </c>
      <c r="I22" s="384">
        <v>2.6059800000000002</v>
      </c>
      <c r="J22" s="385">
        <v>0.85597999999999996</v>
      </c>
      <c r="K22" s="388">
        <v>0.86865999999999999</v>
      </c>
    </row>
    <row r="23" spans="1:11" ht="14.4" customHeight="1" thickBot="1" x14ac:dyDescent="0.35">
      <c r="A23" s="404" t="s">
        <v>24</v>
      </c>
      <c r="B23" s="384">
        <v>25.619099162649</v>
      </c>
      <c r="C23" s="384">
        <v>29.245999999999999</v>
      </c>
      <c r="D23" s="385">
        <v>3.62690083735</v>
      </c>
      <c r="E23" s="386">
        <v>1.141570193952</v>
      </c>
      <c r="F23" s="384">
        <v>28.999999999999002</v>
      </c>
      <c r="G23" s="385">
        <v>16.916666666666</v>
      </c>
      <c r="H23" s="387">
        <v>1.452</v>
      </c>
      <c r="I23" s="384">
        <v>17.167000000000002</v>
      </c>
      <c r="J23" s="385">
        <v>0.25033333333300001</v>
      </c>
      <c r="K23" s="388">
        <v>0.59196551724099999</v>
      </c>
    </row>
    <row r="24" spans="1:11" ht="14.4" customHeight="1" thickBot="1" x14ac:dyDescent="0.35">
      <c r="A24" s="405" t="s">
        <v>248</v>
      </c>
      <c r="B24" s="389">
        <v>25.619099162649</v>
      </c>
      <c r="C24" s="389">
        <v>29.245999999999999</v>
      </c>
      <c r="D24" s="390">
        <v>3.62690083735</v>
      </c>
      <c r="E24" s="396">
        <v>1.141570193952</v>
      </c>
      <c r="F24" s="389">
        <v>28.999999999999002</v>
      </c>
      <c r="G24" s="390">
        <v>16.916666666666</v>
      </c>
      <c r="H24" s="392">
        <v>1.452</v>
      </c>
      <c r="I24" s="389">
        <v>17.167000000000002</v>
      </c>
      <c r="J24" s="390">
        <v>0.25033333333300001</v>
      </c>
      <c r="K24" s="397">
        <v>0.59196551724099999</v>
      </c>
    </row>
    <row r="25" spans="1:11" ht="14.4" customHeight="1" thickBot="1" x14ac:dyDescent="0.35">
      <c r="A25" s="406" t="s">
        <v>249</v>
      </c>
      <c r="B25" s="384">
        <v>10.999477962368999</v>
      </c>
      <c r="C25" s="384">
        <v>10.157999999999999</v>
      </c>
      <c r="D25" s="385">
        <v>-0.84147796236899997</v>
      </c>
      <c r="E25" s="386">
        <v>0.92349837280900005</v>
      </c>
      <c r="F25" s="384">
        <v>9.9999999999989999</v>
      </c>
      <c r="G25" s="385">
        <v>5.833333333333</v>
      </c>
      <c r="H25" s="387">
        <v>0.85399999999999998</v>
      </c>
      <c r="I25" s="384">
        <v>6.1319999999999997</v>
      </c>
      <c r="J25" s="385">
        <v>0.298666666666</v>
      </c>
      <c r="K25" s="388">
        <v>0.61319999999999997</v>
      </c>
    </row>
    <row r="26" spans="1:11" ht="14.4" customHeight="1" thickBot="1" x14ac:dyDescent="0.35">
      <c r="A26" s="406" t="s">
        <v>250</v>
      </c>
      <c r="B26" s="384">
        <v>14.619621200279999</v>
      </c>
      <c r="C26" s="384">
        <v>19.088000000000001</v>
      </c>
      <c r="D26" s="385">
        <v>4.4683787997189999</v>
      </c>
      <c r="E26" s="386">
        <v>1.305642583929</v>
      </c>
      <c r="F26" s="384">
        <v>18.999999999999002</v>
      </c>
      <c r="G26" s="385">
        <v>11.083333333333</v>
      </c>
      <c r="H26" s="387">
        <v>0.59799999999999998</v>
      </c>
      <c r="I26" s="384">
        <v>11.035</v>
      </c>
      <c r="J26" s="385">
        <v>-4.8333333333000002E-2</v>
      </c>
      <c r="K26" s="388">
        <v>0.58078947368400002</v>
      </c>
    </row>
    <row r="27" spans="1:11" ht="14.4" customHeight="1" thickBot="1" x14ac:dyDescent="0.35">
      <c r="A27" s="407" t="s">
        <v>251</v>
      </c>
      <c r="B27" s="389">
        <v>4.2567022758319997</v>
      </c>
      <c r="C27" s="389">
        <v>6.6470500000000001</v>
      </c>
      <c r="D27" s="390">
        <v>2.3903477241669999</v>
      </c>
      <c r="E27" s="396">
        <v>1.561549192138</v>
      </c>
      <c r="F27" s="389">
        <v>6.7351172822879999</v>
      </c>
      <c r="G27" s="390">
        <v>3.9288184146680001</v>
      </c>
      <c r="H27" s="392">
        <v>0</v>
      </c>
      <c r="I27" s="389">
        <v>9.4448000000000008</v>
      </c>
      <c r="J27" s="390">
        <v>5.5159815853309997</v>
      </c>
      <c r="K27" s="397">
        <v>1.402321534153</v>
      </c>
    </row>
    <row r="28" spans="1:11" ht="14.4" customHeight="1" thickBot="1" x14ac:dyDescent="0.35">
      <c r="A28" s="404" t="s">
        <v>27</v>
      </c>
      <c r="B28" s="384">
        <v>0</v>
      </c>
      <c r="C28" s="384">
        <v>0</v>
      </c>
      <c r="D28" s="385">
        <v>0</v>
      </c>
      <c r="E28" s="386">
        <v>1</v>
      </c>
      <c r="F28" s="384">
        <v>0</v>
      </c>
      <c r="G28" s="385">
        <v>0</v>
      </c>
      <c r="H28" s="387">
        <v>0</v>
      </c>
      <c r="I28" s="384">
        <v>2.3353000000000002</v>
      </c>
      <c r="J28" s="385">
        <v>2.3353000000000002</v>
      </c>
      <c r="K28" s="395" t="s">
        <v>243</v>
      </c>
    </row>
    <row r="29" spans="1:11" ht="14.4" customHeight="1" thickBot="1" x14ac:dyDescent="0.35">
      <c r="A29" s="408" t="s">
        <v>252</v>
      </c>
      <c r="B29" s="384">
        <v>0</v>
      </c>
      <c r="C29" s="384">
        <v>0</v>
      </c>
      <c r="D29" s="385">
        <v>0</v>
      </c>
      <c r="E29" s="386">
        <v>1</v>
      </c>
      <c r="F29" s="384">
        <v>0</v>
      </c>
      <c r="G29" s="385">
        <v>0</v>
      </c>
      <c r="H29" s="387">
        <v>0</v>
      </c>
      <c r="I29" s="384">
        <v>2.3353000000000002</v>
      </c>
      <c r="J29" s="385">
        <v>2.3353000000000002</v>
      </c>
      <c r="K29" s="395" t="s">
        <v>243</v>
      </c>
    </row>
    <row r="30" spans="1:11" ht="14.4" customHeight="1" thickBot="1" x14ac:dyDescent="0.35">
      <c r="A30" s="406" t="s">
        <v>253</v>
      </c>
      <c r="B30" s="384">
        <v>0</v>
      </c>
      <c r="C30" s="384">
        <v>0</v>
      </c>
      <c r="D30" s="385">
        <v>0</v>
      </c>
      <c r="E30" s="386">
        <v>1</v>
      </c>
      <c r="F30" s="384">
        <v>0</v>
      </c>
      <c r="G30" s="385">
        <v>0</v>
      </c>
      <c r="H30" s="387">
        <v>0</v>
      </c>
      <c r="I30" s="384">
        <v>2.3353000000000002</v>
      </c>
      <c r="J30" s="385">
        <v>2.3353000000000002</v>
      </c>
      <c r="K30" s="395" t="s">
        <v>243</v>
      </c>
    </row>
    <row r="31" spans="1:11" ht="14.4" customHeight="1" thickBot="1" x14ac:dyDescent="0.35">
      <c r="A31" s="404" t="s">
        <v>29</v>
      </c>
      <c r="B31" s="384">
        <v>4.2567022758319997</v>
      </c>
      <c r="C31" s="384">
        <v>6.6470500000000001</v>
      </c>
      <c r="D31" s="385">
        <v>2.3903477241669999</v>
      </c>
      <c r="E31" s="386">
        <v>1.561549192138</v>
      </c>
      <c r="F31" s="384">
        <v>6.7351172822879999</v>
      </c>
      <c r="G31" s="385">
        <v>3.9288184146680001</v>
      </c>
      <c r="H31" s="387">
        <v>0</v>
      </c>
      <c r="I31" s="384">
        <v>7.1094999999999997</v>
      </c>
      <c r="J31" s="385">
        <v>3.180681585331</v>
      </c>
      <c r="K31" s="388">
        <v>1.0555866664260001</v>
      </c>
    </row>
    <row r="32" spans="1:11" ht="14.4" customHeight="1" thickBot="1" x14ac:dyDescent="0.35">
      <c r="A32" s="405" t="s">
        <v>254</v>
      </c>
      <c r="B32" s="389">
        <v>4.2567022758319997</v>
      </c>
      <c r="C32" s="389">
        <v>6.6470500000000001</v>
      </c>
      <c r="D32" s="390">
        <v>2.3903477241669999</v>
      </c>
      <c r="E32" s="396">
        <v>1.561549192138</v>
      </c>
      <c r="F32" s="389">
        <v>6.7351172822879999</v>
      </c>
      <c r="G32" s="390">
        <v>3.9288184146680001</v>
      </c>
      <c r="H32" s="392">
        <v>0</v>
      </c>
      <c r="I32" s="389">
        <v>7.1094999999999997</v>
      </c>
      <c r="J32" s="390">
        <v>3.180681585331</v>
      </c>
      <c r="K32" s="397">
        <v>1.0555866664260001</v>
      </c>
    </row>
    <row r="33" spans="1:11" ht="14.4" customHeight="1" thickBot="1" x14ac:dyDescent="0.35">
      <c r="A33" s="406" t="s">
        <v>255</v>
      </c>
      <c r="B33" s="384">
        <v>4.2567022758319997</v>
      </c>
      <c r="C33" s="384">
        <v>6.6470500000000001</v>
      </c>
      <c r="D33" s="385">
        <v>2.3903477241669999</v>
      </c>
      <c r="E33" s="386">
        <v>1.561549192138</v>
      </c>
      <c r="F33" s="384">
        <v>6.7351172822879999</v>
      </c>
      <c r="G33" s="385">
        <v>3.9288184146680001</v>
      </c>
      <c r="H33" s="387">
        <v>0</v>
      </c>
      <c r="I33" s="384">
        <v>7.1094999999999997</v>
      </c>
      <c r="J33" s="385">
        <v>3.180681585331</v>
      </c>
      <c r="K33" s="388">
        <v>1.0555866664260001</v>
      </c>
    </row>
    <row r="34" spans="1:11" ht="14.4" customHeight="1" thickBot="1" x14ac:dyDescent="0.35">
      <c r="A34" s="403" t="s">
        <v>256</v>
      </c>
      <c r="B34" s="384">
        <v>0</v>
      </c>
      <c r="C34" s="384">
        <v>0</v>
      </c>
      <c r="D34" s="385">
        <v>0</v>
      </c>
      <c r="E34" s="394" t="s">
        <v>228</v>
      </c>
      <c r="F34" s="384">
        <v>13</v>
      </c>
      <c r="G34" s="385">
        <v>7.583333333333</v>
      </c>
      <c r="H34" s="387">
        <v>0</v>
      </c>
      <c r="I34" s="384">
        <v>0</v>
      </c>
      <c r="J34" s="385">
        <v>-7.583333333333</v>
      </c>
      <c r="K34" s="388">
        <v>0</v>
      </c>
    </row>
    <row r="35" spans="1:11" ht="14.4" customHeight="1" thickBot="1" x14ac:dyDescent="0.35">
      <c r="A35" s="404" t="s">
        <v>257</v>
      </c>
      <c r="B35" s="384">
        <v>0</v>
      </c>
      <c r="C35" s="384">
        <v>0</v>
      </c>
      <c r="D35" s="385">
        <v>0</v>
      </c>
      <c r="E35" s="386">
        <v>1</v>
      </c>
      <c r="F35" s="384">
        <v>13</v>
      </c>
      <c r="G35" s="385">
        <v>7.583333333333</v>
      </c>
      <c r="H35" s="387">
        <v>0</v>
      </c>
      <c r="I35" s="384">
        <v>0</v>
      </c>
      <c r="J35" s="385">
        <v>-7.583333333333</v>
      </c>
      <c r="K35" s="388">
        <v>0</v>
      </c>
    </row>
    <row r="36" spans="1:11" ht="14.4" customHeight="1" thickBot="1" x14ac:dyDescent="0.35">
      <c r="A36" s="405" t="s">
        <v>258</v>
      </c>
      <c r="B36" s="389">
        <v>0</v>
      </c>
      <c r="C36" s="389">
        <v>0</v>
      </c>
      <c r="D36" s="390">
        <v>0</v>
      </c>
      <c r="E36" s="396">
        <v>1</v>
      </c>
      <c r="F36" s="389">
        <v>13</v>
      </c>
      <c r="G36" s="390">
        <v>7.583333333333</v>
      </c>
      <c r="H36" s="392">
        <v>0</v>
      </c>
      <c r="I36" s="389">
        <v>0</v>
      </c>
      <c r="J36" s="390">
        <v>-7.583333333333</v>
      </c>
      <c r="K36" s="397">
        <v>0</v>
      </c>
    </row>
    <row r="37" spans="1:11" ht="14.4" customHeight="1" thickBot="1" x14ac:dyDescent="0.35">
      <c r="A37" s="406" t="s">
        <v>259</v>
      </c>
      <c r="B37" s="384">
        <v>0</v>
      </c>
      <c r="C37" s="384">
        <v>0</v>
      </c>
      <c r="D37" s="385">
        <v>0</v>
      </c>
      <c r="E37" s="386">
        <v>1</v>
      </c>
      <c r="F37" s="384">
        <v>13</v>
      </c>
      <c r="G37" s="385">
        <v>7.583333333333</v>
      </c>
      <c r="H37" s="387">
        <v>0</v>
      </c>
      <c r="I37" s="384">
        <v>0</v>
      </c>
      <c r="J37" s="385">
        <v>-7.583333333333</v>
      </c>
      <c r="K37" s="388">
        <v>0</v>
      </c>
    </row>
    <row r="38" spans="1:11" ht="14.4" customHeight="1" thickBot="1" x14ac:dyDescent="0.35">
      <c r="A38" s="402" t="s">
        <v>260</v>
      </c>
      <c r="B38" s="384">
        <v>1323.70863475077</v>
      </c>
      <c r="C38" s="384">
        <v>1176.8206700000001</v>
      </c>
      <c r="D38" s="385">
        <v>-146.88796475076501</v>
      </c>
      <c r="E38" s="386">
        <v>0.88903300855199996</v>
      </c>
      <c r="F38" s="384">
        <v>1425.41570264905</v>
      </c>
      <c r="G38" s="385">
        <v>831.49249321194395</v>
      </c>
      <c r="H38" s="387">
        <v>225.08931999999999</v>
      </c>
      <c r="I38" s="384">
        <v>1442.7897599999999</v>
      </c>
      <c r="J38" s="385">
        <v>611.29726678805696</v>
      </c>
      <c r="K38" s="388">
        <v>1.0121887652270001</v>
      </c>
    </row>
    <row r="39" spans="1:11" ht="14.4" customHeight="1" thickBot="1" x14ac:dyDescent="0.35">
      <c r="A39" s="403" t="s">
        <v>261</v>
      </c>
      <c r="B39" s="384">
        <v>1323.70863475077</v>
      </c>
      <c r="C39" s="384">
        <v>1176.8206700000001</v>
      </c>
      <c r="D39" s="385">
        <v>-146.88796475076501</v>
      </c>
      <c r="E39" s="386">
        <v>0.88903300855199996</v>
      </c>
      <c r="F39" s="384">
        <v>1425.41570264905</v>
      </c>
      <c r="G39" s="385">
        <v>831.49249321194395</v>
      </c>
      <c r="H39" s="387">
        <v>225.08931999999999</v>
      </c>
      <c r="I39" s="384">
        <v>1442.7897599999999</v>
      </c>
      <c r="J39" s="385">
        <v>611.29726678805696</v>
      </c>
      <c r="K39" s="388">
        <v>1.0121887652270001</v>
      </c>
    </row>
    <row r="40" spans="1:11" ht="14.4" customHeight="1" thickBot="1" x14ac:dyDescent="0.35">
      <c r="A40" s="404" t="s">
        <v>262</v>
      </c>
      <c r="B40" s="384">
        <v>1323.70863475077</v>
      </c>
      <c r="C40" s="384">
        <v>1176.8206700000001</v>
      </c>
      <c r="D40" s="385">
        <v>-146.88796475076501</v>
      </c>
      <c r="E40" s="386">
        <v>0.88903300855199996</v>
      </c>
      <c r="F40" s="384">
        <v>1425.41570264905</v>
      </c>
      <c r="G40" s="385">
        <v>831.49249321194395</v>
      </c>
      <c r="H40" s="387">
        <v>225.08931999999999</v>
      </c>
      <c r="I40" s="384">
        <v>1442.7897599999999</v>
      </c>
      <c r="J40" s="385">
        <v>611.29726678805696</v>
      </c>
      <c r="K40" s="388">
        <v>1.0121887652270001</v>
      </c>
    </row>
    <row r="41" spans="1:11" ht="14.4" customHeight="1" thickBot="1" x14ac:dyDescent="0.35">
      <c r="A41" s="405" t="s">
        <v>263</v>
      </c>
      <c r="B41" s="389">
        <v>1.7085021955999999</v>
      </c>
      <c r="C41" s="389">
        <v>0.4788</v>
      </c>
      <c r="D41" s="390">
        <v>-1.2297021956</v>
      </c>
      <c r="E41" s="396">
        <v>0.28024546953000001</v>
      </c>
      <c r="F41" s="389">
        <v>2.4157026490460001</v>
      </c>
      <c r="G41" s="390">
        <v>1.4091598786099999</v>
      </c>
      <c r="H41" s="392">
        <v>16.065280000000001</v>
      </c>
      <c r="I41" s="389">
        <v>32.686959999999999</v>
      </c>
      <c r="J41" s="390">
        <v>31.277800121388999</v>
      </c>
      <c r="K41" s="397">
        <v>13.53103620303</v>
      </c>
    </row>
    <row r="42" spans="1:11" ht="14.4" customHeight="1" thickBot="1" x14ac:dyDescent="0.35">
      <c r="A42" s="406" t="s">
        <v>264</v>
      </c>
      <c r="B42" s="384">
        <v>1.0000001002679999</v>
      </c>
      <c r="C42" s="384">
        <v>0.4788</v>
      </c>
      <c r="D42" s="385">
        <v>-0.52120010026800001</v>
      </c>
      <c r="E42" s="386">
        <v>0.47879995199100001</v>
      </c>
      <c r="F42" s="384">
        <v>2.4157026490460001</v>
      </c>
      <c r="G42" s="385">
        <v>1.4091598786099999</v>
      </c>
      <c r="H42" s="387">
        <v>16.065280000000001</v>
      </c>
      <c r="I42" s="384">
        <v>32.686959999999999</v>
      </c>
      <c r="J42" s="385">
        <v>31.277800121388999</v>
      </c>
      <c r="K42" s="388">
        <v>13.53103620303</v>
      </c>
    </row>
    <row r="43" spans="1:11" ht="14.4" customHeight="1" thickBot="1" x14ac:dyDescent="0.35">
      <c r="A43" s="406" t="s">
        <v>265</v>
      </c>
      <c r="B43" s="384">
        <v>0.70850209533200004</v>
      </c>
      <c r="C43" s="384">
        <v>0</v>
      </c>
      <c r="D43" s="385">
        <v>-0.70850209533200004</v>
      </c>
      <c r="E43" s="386">
        <v>0</v>
      </c>
      <c r="F43" s="384">
        <v>0</v>
      </c>
      <c r="G43" s="385">
        <v>0</v>
      </c>
      <c r="H43" s="387">
        <v>0</v>
      </c>
      <c r="I43" s="384">
        <v>0</v>
      </c>
      <c r="J43" s="385">
        <v>0</v>
      </c>
      <c r="K43" s="388">
        <v>0</v>
      </c>
    </row>
    <row r="44" spans="1:11" ht="14.4" customHeight="1" thickBot="1" x14ac:dyDescent="0.35">
      <c r="A44" s="405" t="s">
        <v>266</v>
      </c>
      <c r="B44" s="389">
        <v>0</v>
      </c>
      <c r="C44" s="389">
        <v>0</v>
      </c>
      <c r="D44" s="390">
        <v>0</v>
      </c>
      <c r="E44" s="391" t="s">
        <v>228</v>
      </c>
      <c r="F44" s="389">
        <v>0</v>
      </c>
      <c r="G44" s="390">
        <v>0</v>
      </c>
      <c r="H44" s="392">
        <v>0</v>
      </c>
      <c r="I44" s="389">
        <v>3.7999999999999999E-2</v>
      </c>
      <c r="J44" s="390">
        <v>3.7999999999999999E-2</v>
      </c>
      <c r="K44" s="393" t="s">
        <v>243</v>
      </c>
    </row>
    <row r="45" spans="1:11" ht="14.4" customHeight="1" thickBot="1" x14ac:dyDescent="0.35">
      <c r="A45" s="406" t="s">
        <v>267</v>
      </c>
      <c r="B45" s="384">
        <v>0</v>
      </c>
      <c r="C45" s="384">
        <v>0</v>
      </c>
      <c r="D45" s="385">
        <v>0</v>
      </c>
      <c r="E45" s="394" t="s">
        <v>228</v>
      </c>
      <c r="F45" s="384">
        <v>0</v>
      </c>
      <c r="G45" s="385">
        <v>0</v>
      </c>
      <c r="H45" s="387">
        <v>0</v>
      </c>
      <c r="I45" s="384">
        <v>3.7999999999999999E-2</v>
      </c>
      <c r="J45" s="385">
        <v>3.7999999999999999E-2</v>
      </c>
      <c r="K45" s="395" t="s">
        <v>243</v>
      </c>
    </row>
    <row r="46" spans="1:11" ht="14.4" customHeight="1" thickBot="1" x14ac:dyDescent="0.35">
      <c r="A46" s="405" t="s">
        <v>268</v>
      </c>
      <c r="B46" s="389">
        <v>1322.00013255516</v>
      </c>
      <c r="C46" s="389">
        <v>1077.7545600000001</v>
      </c>
      <c r="D46" s="390">
        <v>-244.24557255516501</v>
      </c>
      <c r="E46" s="396">
        <v>0.815245425064</v>
      </c>
      <c r="F46" s="389">
        <v>1423</v>
      </c>
      <c r="G46" s="390">
        <v>830.08333333333303</v>
      </c>
      <c r="H46" s="392">
        <v>209.02404000000001</v>
      </c>
      <c r="I46" s="389">
        <v>1379.26394</v>
      </c>
      <c r="J46" s="390">
        <v>549.18060666666702</v>
      </c>
      <c r="K46" s="397">
        <v>0.96926489107500002</v>
      </c>
    </row>
    <row r="47" spans="1:11" ht="14.4" customHeight="1" thickBot="1" x14ac:dyDescent="0.35">
      <c r="A47" s="406" t="s">
        <v>269</v>
      </c>
      <c r="B47" s="384">
        <v>524.00005254077598</v>
      </c>
      <c r="C47" s="384">
        <v>510.81576000000001</v>
      </c>
      <c r="D47" s="385">
        <v>-13.184292540775999</v>
      </c>
      <c r="E47" s="386">
        <v>0.97483913889499996</v>
      </c>
      <c r="F47" s="384">
        <v>554</v>
      </c>
      <c r="G47" s="385">
        <v>323.16666666666703</v>
      </c>
      <c r="H47" s="387">
        <v>81.092759999999998</v>
      </c>
      <c r="I47" s="384">
        <v>663.38307999999995</v>
      </c>
      <c r="J47" s="385">
        <v>340.21641333333298</v>
      </c>
      <c r="K47" s="388">
        <v>1.1974423826709999</v>
      </c>
    </row>
    <row r="48" spans="1:11" ht="14.4" customHeight="1" thickBot="1" x14ac:dyDescent="0.35">
      <c r="A48" s="406" t="s">
        <v>270</v>
      </c>
      <c r="B48" s="384">
        <v>798.000080014388</v>
      </c>
      <c r="C48" s="384">
        <v>566.93880000000001</v>
      </c>
      <c r="D48" s="385">
        <v>-231.06128001438799</v>
      </c>
      <c r="E48" s="386">
        <v>0.71044955282400002</v>
      </c>
      <c r="F48" s="384">
        <v>869</v>
      </c>
      <c r="G48" s="385">
        <v>506.91666666666703</v>
      </c>
      <c r="H48" s="387">
        <v>127.93128</v>
      </c>
      <c r="I48" s="384">
        <v>715.88085999999998</v>
      </c>
      <c r="J48" s="385">
        <v>208.96419333333299</v>
      </c>
      <c r="K48" s="388">
        <v>0.82379845799700002</v>
      </c>
    </row>
    <row r="49" spans="1:11" ht="14.4" customHeight="1" thickBot="1" x14ac:dyDescent="0.35">
      <c r="A49" s="405" t="s">
        <v>271</v>
      </c>
      <c r="B49" s="389">
        <v>0</v>
      </c>
      <c r="C49" s="389">
        <v>98.587310000000002</v>
      </c>
      <c r="D49" s="390">
        <v>98.587310000000002</v>
      </c>
      <c r="E49" s="391" t="s">
        <v>228</v>
      </c>
      <c r="F49" s="389">
        <v>0</v>
      </c>
      <c r="G49" s="390">
        <v>0</v>
      </c>
      <c r="H49" s="392">
        <v>0</v>
      </c>
      <c r="I49" s="389">
        <v>30.80086</v>
      </c>
      <c r="J49" s="390">
        <v>30.80086</v>
      </c>
      <c r="K49" s="393" t="s">
        <v>228</v>
      </c>
    </row>
    <row r="50" spans="1:11" ht="14.4" customHeight="1" thickBot="1" x14ac:dyDescent="0.35">
      <c r="A50" s="406" t="s">
        <v>272</v>
      </c>
      <c r="B50" s="384">
        <v>0</v>
      </c>
      <c r="C50" s="384">
        <v>8.0187500000000007</v>
      </c>
      <c r="D50" s="385">
        <v>8.0187500000000007</v>
      </c>
      <c r="E50" s="394" t="s">
        <v>228</v>
      </c>
      <c r="F50" s="384">
        <v>0</v>
      </c>
      <c r="G50" s="385">
        <v>0</v>
      </c>
      <c r="H50" s="387">
        <v>0</v>
      </c>
      <c r="I50" s="384">
        <v>28.51042</v>
      </c>
      <c r="J50" s="385">
        <v>28.51042</v>
      </c>
      <c r="K50" s="395" t="s">
        <v>228</v>
      </c>
    </row>
    <row r="51" spans="1:11" ht="14.4" customHeight="1" thickBot="1" x14ac:dyDescent="0.35">
      <c r="A51" s="406" t="s">
        <v>273</v>
      </c>
      <c r="B51" s="384">
        <v>0</v>
      </c>
      <c r="C51" s="384">
        <v>90.568560000000005</v>
      </c>
      <c r="D51" s="385">
        <v>90.568560000000005</v>
      </c>
      <c r="E51" s="394" t="s">
        <v>228</v>
      </c>
      <c r="F51" s="384">
        <v>0</v>
      </c>
      <c r="G51" s="385">
        <v>0</v>
      </c>
      <c r="H51" s="387">
        <v>0</v>
      </c>
      <c r="I51" s="384">
        <v>2.2904399999999998</v>
      </c>
      <c r="J51" s="385">
        <v>2.2904399999999998</v>
      </c>
      <c r="K51" s="395" t="s">
        <v>228</v>
      </c>
    </row>
    <row r="52" spans="1:11" ht="14.4" customHeight="1" thickBot="1" x14ac:dyDescent="0.35">
      <c r="A52" s="402" t="s">
        <v>274</v>
      </c>
      <c r="B52" s="384">
        <v>0</v>
      </c>
      <c r="C52" s="384">
        <v>1.76217</v>
      </c>
      <c r="D52" s="385">
        <v>1.76217</v>
      </c>
      <c r="E52" s="394" t="s">
        <v>243</v>
      </c>
      <c r="F52" s="384">
        <v>1.586127332987</v>
      </c>
      <c r="G52" s="385">
        <v>0.92524094424199999</v>
      </c>
      <c r="H52" s="387">
        <v>0</v>
      </c>
      <c r="I52" s="384">
        <v>0</v>
      </c>
      <c r="J52" s="385">
        <v>-0.92524094424199999</v>
      </c>
      <c r="K52" s="388">
        <v>0</v>
      </c>
    </row>
    <row r="53" spans="1:11" ht="14.4" customHeight="1" thickBot="1" x14ac:dyDescent="0.35">
      <c r="A53" s="407" t="s">
        <v>275</v>
      </c>
      <c r="B53" s="389">
        <v>0</v>
      </c>
      <c r="C53" s="389">
        <v>1.76217</v>
      </c>
      <c r="D53" s="390">
        <v>1.76217</v>
      </c>
      <c r="E53" s="391" t="s">
        <v>243</v>
      </c>
      <c r="F53" s="389">
        <v>1.586127332987</v>
      </c>
      <c r="G53" s="390">
        <v>0.92524094424199999</v>
      </c>
      <c r="H53" s="392">
        <v>0</v>
      </c>
      <c r="I53" s="389">
        <v>0</v>
      </c>
      <c r="J53" s="390">
        <v>-0.92524094424199999</v>
      </c>
      <c r="K53" s="397">
        <v>0</v>
      </c>
    </row>
    <row r="54" spans="1:11" ht="14.4" customHeight="1" thickBot="1" x14ac:dyDescent="0.35">
      <c r="A54" s="409" t="s">
        <v>36</v>
      </c>
      <c r="B54" s="389">
        <v>0</v>
      </c>
      <c r="C54" s="389">
        <v>1.76217</v>
      </c>
      <c r="D54" s="390">
        <v>1.76217</v>
      </c>
      <c r="E54" s="391" t="s">
        <v>243</v>
      </c>
      <c r="F54" s="389">
        <v>1.586127332987</v>
      </c>
      <c r="G54" s="390">
        <v>0.92524094424199999</v>
      </c>
      <c r="H54" s="392">
        <v>0</v>
      </c>
      <c r="I54" s="389">
        <v>0</v>
      </c>
      <c r="J54" s="390">
        <v>-0.92524094424199999</v>
      </c>
      <c r="K54" s="397">
        <v>0</v>
      </c>
    </row>
    <row r="55" spans="1:11" ht="14.4" customHeight="1" thickBot="1" x14ac:dyDescent="0.35">
      <c r="A55" s="405" t="s">
        <v>276</v>
      </c>
      <c r="B55" s="389">
        <v>0</v>
      </c>
      <c r="C55" s="389">
        <v>1.62094</v>
      </c>
      <c r="D55" s="390">
        <v>1.62094</v>
      </c>
      <c r="E55" s="391" t="s">
        <v>243</v>
      </c>
      <c r="F55" s="389">
        <v>1.586127332987</v>
      </c>
      <c r="G55" s="390">
        <v>0.92524094424199999</v>
      </c>
      <c r="H55" s="392">
        <v>0</v>
      </c>
      <c r="I55" s="389">
        <v>0</v>
      </c>
      <c r="J55" s="390">
        <v>-0.92524094424199999</v>
      </c>
      <c r="K55" s="397">
        <v>0</v>
      </c>
    </row>
    <row r="56" spans="1:11" ht="14.4" customHeight="1" thickBot="1" x14ac:dyDescent="0.35">
      <c r="A56" s="406" t="s">
        <v>277</v>
      </c>
      <c r="B56" s="384">
        <v>0</v>
      </c>
      <c r="C56" s="384">
        <v>1.62094</v>
      </c>
      <c r="D56" s="385">
        <v>1.62094</v>
      </c>
      <c r="E56" s="394" t="s">
        <v>243</v>
      </c>
      <c r="F56" s="384">
        <v>1.586127332987</v>
      </c>
      <c r="G56" s="385">
        <v>0.92524094424199999</v>
      </c>
      <c r="H56" s="387">
        <v>0</v>
      </c>
      <c r="I56" s="384">
        <v>0</v>
      </c>
      <c r="J56" s="385">
        <v>-0.92524094424199999</v>
      </c>
      <c r="K56" s="388">
        <v>0</v>
      </c>
    </row>
    <row r="57" spans="1:11" ht="14.4" customHeight="1" thickBot="1" x14ac:dyDescent="0.35">
      <c r="A57" s="405" t="s">
        <v>278</v>
      </c>
      <c r="B57" s="389">
        <v>0</v>
      </c>
      <c r="C57" s="389">
        <v>0.14122999999999999</v>
      </c>
      <c r="D57" s="390">
        <v>0.14122999999999999</v>
      </c>
      <c r="E57" s="391" t="s">
        <v>243</v>
      </c>
      <c r="F57" s="389">
        <v>0</v>
      </c>
      <c r="G57" s="390">
        <v>0</v>
      </c>
      <c r="H57" s="392">
        <v>0</v>
      </c>
      <c r="I57" s="389">
        <v>0</v>
      </c>
      <c r="J57" s="390">
        <v>0</v>
      </c>
      <c r="K57" s="397">
        <v>0</v>
      </c>
    </row>
    <row r="58" spans="1:11" ht="14.4" customHeight="1" thickBot="1" x14ac:dyDescent="0.35">
      <c r="A58" s="406" t="s">
        <v>279</v>
      </c>
      <c r="B58" s="384">
        <v>0</v>
      </c>
      <c r="C58" s="384">
        <v>0.14122999999999999</v>
      </c>
      <c r="D58" s="385">
        <v>0.14122999999999999</v>
      </c>
      <c r="E58" s="394" t="s">
        <v>243</v>
      </c>
      <c r="F58" s="384">
        <v>0</v>
      </c>
      <c r="G58" s="385">
        <v>0</v>
      </c>
      <c r="H58" s="387">
        <v>0</v>
      </c>
      <c r="I58" s="384">
        <v>0</v>
      </c>
      <c r="J58" s="385">
        <v>0</v>
      </c>
      <c r="K58" s="388">
        <v>0</v>
      </c>
    </row>
    <row r="59" spans="1:11" ht="14.4" customHeight="1" thickBot="1" x14ac:dyDescent="0.35">
      <c r="A59" s="402" t="s">
        <v>280</v>
      </c>
      <c r="B59" s="384">
        <v>0</v>
      </c>
      <c r="C59" s="384">
        <v>0.47064</v>
      </c>
      <c r="D59" s="385">
        <v>0.47064</v>
      </c>
      <c r="E59" s="394" t="s">
        <v>243</v>
      </c>
      <c r="F59" s="384">
        <v>0</v>
      </c>
      <c r="G59" s="385">
        <v>0</v>
      </c>
      <c r="H59" s="387">
        <v>4.5632999999999999</v>
      </c>
      <c r="I59" s="384">
        <v>4.5987499999999999</v>
      </c>
      <c r="J59" s="385">
        <v>4.5987499999999999</v>
      </c>
      <c r="K59" s="395" t="s">
        <v>243</v>
      </c>
    </row>
    <row r="60" spans="1:11" ht="14.4" customHeight="1" thickBot="1" x14ac:dyDescent="0.35">
      <c r="A60" s="407" t="s">
        <v>281</v>
      </c>
      <c r="B60" s="389">
        <v>0</v>
      </c>
      <c r="C60" s="389">
        <v>0.47064</v>
      </c>
      <c r="D60" s="390">
        <v>0.47064</v>
      </c>
      <c r="E60" s="391" t="s">
        <v>243</v>
      </c>
      <c r="F60" s="389">
        <v>0</v>
      </c>
      <c r="G60" s="390">
        <v>0</v>
      </c>
      <c r="H60" s="392">
        <v>4.5632999999999999</v>
      </c>
      <c r="I60" s="389">
        <v>4.5987499999999999</v>
      </c>
      <c r="J60" s="390">
        <v>4.5987499999999999</v>
      </c>
      <c r="K60" s="393" t="s">
        <v>243</v>
      </c>
    </row>
    <row r="61" spans="1:11" ht="14.4" customHeight="1" thickBot="1" x14ac:dyDescent="0.35">
      <c r="A61" s="409" t="s">
        <v>282</v>
      </c>
      <c r="B61" s="389">
        <v>0</v>
      </c>
      <c r="C61" s="389">
        <v>0.47064</v>
      </c>
      <c r="D61" s="390">
        <v>0.47064</v>
      </c>
      <c r="E61" s="391" t="s">
        <v>243</v>
      </c>
      <c r="F61" s="389">
        <v>0</v>
      </c>
      <c r="G61" s="390">
        <v>0</v>
      </c>
      <c r="H61" s="392">
        <v>4.5632999999999999</v>
      </c>
      <c r="I61" s="389">
        <v>4.5987499999999999</v>
      </c>
      <c r="J61" s="390">
        <v>4.5987499999999999</v>
      </c>
      <c r="K61" s="393" t="s">
        <v>243</v>
      </c>
    </row>
    <row r="62" spans="1:11" ht="14.4" customHeight="1" thickBot="1" x14ac:dyDescent="0.35">
      <c r="A62" s="405" t="s">
        <v>283</v>
      </c>
      <c r="B62" s="389">
        <v>0</v>
      </c>
      <c r="C62" s="389">
        <v>0.47064</v>
      </c>
      <c r="D62" s="390">
        <v>0.47064</v>
      </c>
      <c r="E62" s="391" t="s">
        <v>243</v>
      </c>
      <c r="F62" s="389">
        <v>0</v>
      </c>
      <c r="G62" s="390">
        <v>0</v>
      </c>
      <c r="H62" s="392">
        <v>4.5632999999999999</v>
      </c>
      <c r="I62" s="389">
        <v>4.5987499999999999</v>
      </c>
      <c r="J62" s="390">
        <v>4.5987499999999999</v>
      </c>
      <c r="K62" s="393" t="s">
        <v>243</v>
      </c>
    </row>
    <row r="63" spans="1:11" ht="14.4" customHeight="1" thickBot="1" x14ac:dyDescent="0.35">
      <c r="A63" s="406" t="s">
        <v>284</v>
      </c>
      <c r="B63" s="384">
        <v>0</v>
      </c>
      <c r="C63" s="384">
        <v>0.47064</v>
      </c>
      <c r="D63" s="385">
        <v>0.47064</v>
      </c>
      <c r="E63" s="394" t="s">
        <v>243</v>
      </c>
      <c r="F63" s="384">
        <v>0</v>
      </c>
      <c r="G63" s="385">
        <v>0</v>
      </c>
      <c r="H63" s="387">
        <v>4.5632999999999999</v>
      </c>
      <c r="I63" s="384">
        <v>4.5987499999999999</v>
      </c>
      <c r="J63" s="385">
        <v>4.5987499999999999</v>
      </c>
      <c r="K63" s="395" t="s">
        <v>243</v>
      </c>
    </row>
    <row r="64" spans="1:11" ht="14.4" customHeight="1" thickBot="1" x14ac:dyDescent="0.35">
      <c r="A64" s="410"/>
      <c r="B64" s="384">
        <v>769.85272135469404</v>
      </c>
      <c r="C64" s="384">
        <v>682.97946999999999</v>
      </c>
      <c r="D64" s="385">
        <v>-86.873251354694005</v>
      </c>
      <c r="E64" s="386">
        <v>0.88715601186399995</v>
      </c>
      <c r="F64" s="384">
        <v>420.96658228896803</v>
      </c>
      <c r="G64" s="385">
        <v>245.56383966856399</v>
      </c>
      <c r="H64" s="387">
        <v>149.29355000000001</v>
      </c>
      <c r="I64" s="384">
        <v>845.74887999999999</v>
      </c>
      <c r="J64" s="385">
        <v>600.18504033143495</v>
      </c>
      <c r="K64" s="388">
        <v>2.009064176546</v>
      </c>
    </row>
    <row r="65" spans="1:11" ht="14.4" customHeight="1" thickBot="1" x14ac:dyDescent="0.35">
      <c r="A65" s="411" t="s">
        <v>48</v>
      </c>
      <c r="B65" s="398">
        <v>769.85272135469404</v>
      </c>
      <c r="C65" s="398">
        <v>682.97946999999999</v>
      </c>
      <c r="D65" s="399">
        <v>-86.873251354694005</v>
      </c>
      <c r="E65" s="400" t="s">
        <v>243</v>
      </c>
      <c r="F65" s="398">
        <v>420.96658228896803</v>
      </c>
      <c r="G65" s="399">
        <v>245.56383966856399</v>
      </c>
      <c r="H65" s="398">
        <v>149.29355000000001</v>
      </c>
      <c r="I65" s="398">
        <v>845.74887999999999</v>
      </c>
      <c r="J65" s="399">
        <v>600.18504033143597</v>
      </c>
      <c r="K65" s="401">
        <v>2.009064176546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108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198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198"/>
      <c r="B3" s="293"/>
      <c r="C3" s="262">
        <v>2015</v>
      </c>
      <c r="D3" s="263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7" t="s">
        <v>0</v>
      </c>
      <c r="B4" s="268" t="s">
        <v>176</v>
      </c>
      <c r="C4" s="352" t="s">
        <v>54</v>
      </c>
      <c r="D4" s="353"/>
      <c r="E4" s="269"/>
      <c r="F4" s="264" t="s">
        <v>54</v>
      </c>
      <c r="G4" s="265" t="s">
        <v>55</v>
      </c>
      <c r="H4" s="265" t="s">
        <v>49</v>
      </c>
      <c r="I4" s="266" t="s">
        <v>56</v>
      </c>
    </row>
    <row r="5" spans="1:10" ht="14.4" customHeight="1" x14ac:dyDescent="0.3">
      <c r="A5" s="412" t="s">
        <v>285</v>
      </c>
      <c r="B5" s="413" t="s">
        <v>286</v>
      </c>
      <c r="C5" s="414" t="s">
        <v>287</v>
      </c>
      <c r="D5" s="414" t="s">
        <v>287</v>
      </c>
      <c r="E5" s="414"/>
      <c r="F5" s="414" t="s">
        <v>287</v>
      </c>
      <c r="G5" s="414" t="s">
        <v>287</v>
      </c>
      <c r="H5" s="414" t="s">
        <v>287</v>
      </c>
      <c r="I5" s="415" t="s">
        <v>287</v>
      </c>
      <c r="J5" s="416" t="s">
        <v>50</v>
      </c>
    </row>
    <row r="6" spans="1:10" ht="14.4" customHeight="1" x14ac:dyDescent="0.3">
      <c r="A6" s="412" t="s">
        <v>285</v>
      </c>
      <c r="B6" s="413" t="s">
        <v>288</v>
      </c>
      <c r="C6" s="414">
        <v>22.825129999999998</v>
      </c>
      <c r="D6" s="414">
        <v>17.682170000000003</v>
      </c>
      <c r="E6" s="414"/>
      <c r="F6" s="414">
        <v>55.204649999999994</v>
      </c>
      <c r="G6" s="414">
        <v>53.792207031250001</v>
      </c>
      <c r="H6" s="414">
        <v>1.4124429687499926</v>
      </c>
      <c r="I6" s="415">
        <v>1.0262573901816197</v>
      </c>
      <c r="J6" s="416" t="s">
        <v>1</v>
      </c>
    </row>
    <row r="7" spans="1:10" ht="14.4" customHeight="1" x14ac:dyDescent="0.3">
      <c r="A7" s="412" t="s">
        <v>285</v>
      </c>
      <c r="B7" s="413" t="s">
        <v>289</v>
      </c>
      <c r="C7" s="414">
        <v>199.13354000000001</v>
      </c>
      <c r="D7" s="414">
        <v>130.5453</v>
      </c>
      <c r="E7" s="414"/>
      <c r="F7" s="414">
        <v>308.22843000000023</v>
      </c>
      <c r="G7" s="414">
        <v>145.83334375000001</v>
      </c>
      <c r="H7" s="414">
        <v>162.39508625000022</v>
      </c>
      <c r="I7" s="415">
        <v>2.1135662261738424</v>
      </c>
      <c r="J7" s="416" t="s">
        <v>1</v>
      </c>
    </row>
    <row r="8" spans="1:10" ht="14.4" customHeight="1" x14ac:dyDescent="0.3">
      <c r="A8" s="412" t="s">
        <v>285</v>
      </c>
      <c r="B8" s="413" t="s">
        <v>290</v>
      </c>
      <c r="C8" s="414">
        <v>46.496179999999995</v>
      </c>
      <c r="D8" s="414">
        <v>32.327150000000003</v>
      </c>
      <c r="E8" s="414"/>
      <c r="F8" s="414">
        <v>117.60207999999996</v>
      </c>
      <c r="G8" s="414">
        <v>203.161390625</v>
      </c>
      <c r="H8" s="414">
        <v>-85.559310625000037</v>
      </c>
      <c r="I8" s="415">
        <v>0.57886038109018756</v>
      </c>
      <c r="J8" s="416" t="s">
        <v>1</v>
      </c>
    </row>
    <row r="9" spans="1:10" ht="14.4" customHeight="1" x14ac:dyDescent="0.3">
      <c r="A9" s="412" t="s">
        <v>285</v>
      </c>
      <c r="B9" s="413" t="s">
        <v>291</v>
      </c>
      <c r="C9" s="414">
        <v>6.73217</v>
      </c>
      <c r="D9" s="414">
        <v>7.0878399999999999</v>
      </c>
      <c r="E9" s="414"/>
      <c r="F9" s="414">
        <v>12.10947</v>
      </c>
      <c r="G9" s="414">
        <v>11.666666015624999</v>
      </c>
      <c r="H9" s="414">
        <v>0.44280398437500068</v>
      </c>
      <c r="I9" s="415">
        <v>1.0379546293501467</v>
      </c>
      <c r="J9" s="416" t="s">
        <v>1</v>
      </c>
    </row>
    <row r="10" spans="1:10" ht="14.4" customHeight="1" x14ac:dyDescent="0.3">
      <c r="A10" s="412" t="s">
        <v>285</v>
      </c>
      <c r="B10" s="413" t="s">
        <v>292</v>
      </c>
      <c r="C10" s="414">
        <v>7.726</v>
      </c>
      <c r="D10" s="414">
        <v>12.207940000000001</v>
      </c>
      <c r="E10" s="414"/>
      <c r="F10" s="414">
        <v>18.589500000000001</v>
      </c>
      <c r="G10" s="414">
        <v>14.806955078125</v>
      </c>
      <c r="H10" s="414">
        <v>3.7825449218750009</v>
      </c>
      <c r="I10" s="415">
        <v>1.2554573105623268</v>
      </c>
      <c r="J10" s="416" t="s">
        <v>1</v>
      </c>
    </row>
    <row r="11" spans="1:10" ht="14.4" customHeight="1" x14ac:dyDescent="0.3">
      <c r="A11" s="412" t="s">
        <v>285</v>
      </c>
      <c r="B11" s="413" t="s">
        <v>293</v>
      </c>
      <c r="C11" s="414">
        <v>4.6292600000000004</v>
      </c>
      <c r="D11" s="414">
        <v>8.7368500000000004</v>
      </c>
      <c r="E11" s="414"/>
      <c r="F11" s="414">
        <v>48.057279999999999</v>
      </c>
      <c r="G11" s="414">
        <v>125.4166640625</v>
      </c>
      <c r="H11" s="414">
        <v>-77.359384062499998</v>
      </c>
      <c r="I11" s="415">
        <v>0.38318097805608342</v>
      </c>
      <c r="J11" s="416" t="s">
        <v>1</v>
      </c>
    </row>
    <row r="12" spans="1:10" ht="14.4" customHeight="1" x14ac:dyDescent="0.3">
      <c r="A12" s="412" t="s">
        <v>285</v>
      </c>
      <c r="B12" s="413" t="s">
        <v>294</v>
      </c>
      <c r="C12" s="414">
        <v>287.54228000000001</v>
      </c>
      <c r="D12" s="414">
        <v>208.58725000000001</v>
      </c>
      <c r="E12" s="414"/>
      <c r="F12" s="414">
        <v>559.79141000000016</v>
      </c>
      <c r="G12" s="414">
        <v>554.67722656249998</v>
      </c>
      <c r="H12" s="414">
        <v>5.1141834375001736</v>
      </c>
      <c r="I12" s="415">
        <v>1.0092201071048008</v>
      </c>
      <c r="J12" s="416" t="s">
        <v>295</v>
      </c>
    </row>
    <row r="14" spans="1:10" ht="14.4" customHeight="1" x14ac:dyDescent="0.3">
      <c r="A14" s="412" t="s">
        <v>285</v>
      </c>
      <c r="B14" s="413" t="s">
        <v>286</v>
      </c>
      <c r="C14" s="414" t="s">
        <v>287</v>
      </c>
      <c r="D14" s="414" t="s">
        <v>287</v>
      </c>
      <c r="E14" s="414"/>
      <c r="F14" s="414" t="s">
        <v>287</v>
      </c>
      <c r="G14" s="414" t="s">
        <v>287</v>
      </c>
      <c r="H14" s="414" t="s">
        <v>287</v>
      </c>
      <c r="I14" s="415" t="s">
        <v>287</v>
      </c>
      <c r="J14" s="416" t="s">
        <v>50</v>
      </c>
    </row>
    <row r="15" spans="1:10" ht="14.4" customHeight="1" x14ac:dyDescent="0.3">
      <c r="A15" s="412" t="s">
        <v>296</v>
      </c>
      <c r="B15" s="413" t="s">
        <v>297</v>
      </c>
      <c r="C15" s="414" t="s">
        <v>287</v>
      </c>
      <c r="D15" s="414" t="s">
        <v>287</v>
      </c>
      <c r="E15" s="414"/>
      <c r="F15" s="414" t="s">
        <v>287</v>
      </c>
      <c r="G15" s="414" t="s">
        <v>287</v>
      </c>
      <c r="H15" s="414" t="s">
        <v>287</v>
      </c>
      <c r="I15" s="415" t="s">
        <v>287</v>
      </c>
      <c r="J15" s="416" t="s">
        <v>0</v>
      </c>
    </row>
    <row r="16" spans="1:10" ht="14.4" customHeight="1" x14ac:dyDescent="0.3">
      <c r="A16" s="412" t="s">
        <v>296</v>
      </c>
      <c r="B16" s="413" t="s">
        <v>288</v>
      </c>
      <c r="C16" s="414">
        <v>22.825129999999998</v>
      </c>
      <c r="D16" s="414">
        <v>17.682170000000003</v>
      </c>
      <c r="E16" s="414"/>
      <c r="F16" s="414">
        <v>55.204649999999994</v>
      </c>
      <c r="G16" s="414">
        <v>54</v>
      </c>
      <c r="H16" s="414">
        <v>1.2046499999999938</v>
      </c>
      <c r="I16" s="415">
        <v>1.0223083333333332</v>
      </c>
      <c r="J16" s="416" t="s">
        <v>1</v>
      </c>
    </row>
    <row r="17" spans="1:10" ht="14.4" customHeight="1" x14ac:dyDescent="0.3">
      <c r="A17" s="412" t="s">
        <v>296</v>
      </c>
      <c r="B17" s="413" t="s">
        <v>289</v>
      </c>
      <c r="C17" s="414">
        <v>199.13354000000001</v>
      </c>
      <c r="D17" s="414">
        <v>130.5453</v>
      </c>
      <c r="E17" s="414"/>
      <c r="F17" s="414">
        <v>308.22843000000023</v>
      </c>
      <c r="G17" s="414">
        <v>146</v>
      </c>
      <c r="H17" s="414">
        <v>162.22843000000023</v>
      </c>
      <c r="I17" s="415">
        <v>2.1111536301369878</v>
      </c>
      <c r="J17" s="416" t="s">
        <v>1</v>
      </c>
    </row>
    <row r="18" spans="1:10" ht="14.4" customHeight="1" x14ac:dyDescent="0.3">
      <c r="A18" s="412" t="s">
        <v>296</v>
      </c>
      <c r="B18" s="413" t="s">
        <v>290</v>
      </c>
      <c r="C18" s="414">
        <v>46.496179999999995</v>
      </c>
      <c r="D18" s="414">
        <v>32.327150000000003</v>
      </c>
      <c r="E18" s="414"/>
      <c r="F18" s="414">
        <v>117.60207999999996</v>
      </c>
      <c r="G18" s="414">
        <v>203</v>
      </c>
      <c r="H18" s="414">
        <v>-85.397920000000042</v>
      </c>
      <c r="I18" s="415">
        <v>0.57932059113300471</v>
      </c>
      <c r="J18" s="416" t="s">
        <v>1</v>
      </c>
    </row>
    <row r="19" spans="1:10" ht="14.4" customHeight="1" x14ac:dyDescent="0.3">
      <c r="A19" s="412" t="s">
        <v>296</v>
      </c>
      <c r="B19" s="413" t="s">
        <v>291</v>
      </c>
      <c r="C19" s="414">
        <v>6.73217</v>
      </c>
      <c r="D19" s="414">
        <v>7.0878399999999999</v>
      </c>
      <c r="E19" s="414"/>
      <c r="F19" s="414">
        <v>12.10947</v>
      </c>
      <c r="G19" s="414">
        <v>12</v>
      </c>
      <c r="H19" s="414">
        <v>0.10946999999999996</v>
      </c>
      <c r="I19" s="415">
        <v>1.0091224999999999</v>
      </c>
      <c r="J19" s="416" t="s">
        <v>1</v>
      </c>
    </row>
    <row r="20" spans="1:10" ht="14.4" customHeight="1" x14ac:dyDescent="0.3">
      <c r="A20" s="412" t="s">
        <v>296</v>
      </c>
      <c r="B20" s="413" t="s">
        <v>292</v>
      </c>
      <c r="C20" s="414">
        <v>7.726</v>
      </c>
      <c r="D20" s="414">
        <v>12.207940000000001</v>
      </c>
      <c r="E20" s="414"/>
      <c r="F20" s="414">
        <v>18.589500000000001</v>
      </c>
      <c r="G20" s="414">
        <v>15</v>
      </c>
      <c r="H20" s="414">
        <v>3.589500000000001</v>
      </c>
      <c r="I20" s="415">
        <v>1.2393000000000001</v>
      </c>
      <c r="J20" s="416" t="s">
        <v>1</v>
      </c>
    </row>
    <row r="21" spans="1:10" ht="14.4" customHeight="1" x14ac:dyDescent="0.3">
      <c r="A21" s="412" t="s">
        <v>296</v>
      </c>
      <c r="B21" s="413" t="s">
        <v>293</v>
      </c>
      <c r="C21" s="414">
        <v>4.6292600000000004</v>
      </c>
      <c r="D21" s="414">
        <v>8.7368500000000004</v>
      </c>
      <c r="E21" s="414"/>
      <c r="F21" s="414">
        <v>48.057279999999999</v>
      </c>
      <c r="G21" s="414">
        <v>125</v>
      </c>
      <c r="H21" s="414">
        <v>-76.942720000000008</v>
      </c>
      <c r="I21" s="415">
        <v>0.38445824000000001</v>
      </c>
      <c r="J21" s="416" t="s">
        <v>1</v>
      </c>
    </row>
    <row r="22" spans="1:10" ht="14.4" customHeight="1" x14ac:dyDescent="0.3">
      <c r="A22" s="412" t="s">
        <v>296</v>
      </c>
      <c r="B22" s="413" t="s">
        <v>298</v>
      </c>
      <c r="C22" s="414">
        <v>287.54228000000001</v>
      </c>
      <c r="D22" s="414">
        <v>208.58725000000001</v>
      </c>
      <c r="E22" s="414"/>
      <c r="F22" s="414">
        <v>559.79141000000016</v>
      </c>
      <c r="G22" s="414">
        <v>555</v>
      </c>
      <c r="H22" s="414">
        <v>4.7914100000001554</v>
      </c>
      <c r="I22" s="415">
        <v>1.0086331711711713</v>
      </c>
      <c r="J22" s="416" t="s">
        <v>299</v>
      </c>
    </row>
    <row r="23" spans="1:10" ht="14.4" customHeight="1" x14ac:dyDescent="0.3">
      <c r="A23" s="412" t="s">
        <v>287</v>
      </c>
      <c r="B23" s="413" t="s">
        <v>287</v>
      </c>
      <c r="C23" s="414" t="s">
        <v>287</v>
      </c>
      <c r="D23" s="414" t="s">
        <v>287</v>
      </c>
      <c r="E23" s="414"/>
      <c r="F23" s="414" t="s">
        <v>287</v>
      </c>
      <c r="G23" s="414" t="s">
        <v>287</v>
      </c>
      <c r="H23" s="414" t="s">
        <v>287</v>
      </c>
      <c r="I23" s="415" t="s">
        <v>287</v>
      </c>
      <c r="J23" s="416" t="s">
        <v>300</v>
      </c>
    </row>
    <row r="24" spans="1:10" ht="14.4" customHeight="1" x14ac:dyDescent="0.3">
      <c r="A24" s="412" t="s">
        <v>285</v>
      </c>
      <c r="B24" s="413" t="s">
        <v>294</v>
      </c>
      <c r="C24" s="414">
        <v>287.54228000000001</v>
      </c>
      <c r="D24" s="414">
        <v>208.58725000000001</v>
      </c>
      <c r="E24" s="414"/>
      <c r="F24" s="414">
        <v>559.79141000000016</v>
      </c>
      <c r="G24" s="414">
        <v>555</v>
      </c>
      <c r="H24" s="414">
        <v>4.7914100000001554</v>
      </c>
      <c r="I24" s="415">
        <v>1.0086331711711713</v>
      </c>
      <c r="J24" s="416" t="s">
        <v>295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6">
      <formula>$H14&gt;0</formula>
    </cfRule>
  </conditionalFormatting>
  <conditionalFormatting sqref="A14:A24">
    <cfRule type="expression" dxfId="16" priority="5">
      <formula>AND($J14&lt;&gt;"mezeraKL",$J14&lt;&gt;"")</formula>
    </cfRule>
  </conditionalFormatting>
  <conditionalFormatting sqref="I14:I24">
    <cfRule type="expression" dxfId="15" priority="7">
      <formula>$I14&gt;1</formula>
    </cfRule>
  </conditionalFormatting>
  <conditionalFormatting sqref="B14:B24">
    <cfRule type="expression" dxfId="14" priority="4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59" t="s">
        <v>418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4.4" customHeight="1" thickBot="1" x14ac:dyDescent="0.35">
      <c r="A2" s="198" t="s">
        <v>227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57"/>
      <c r="D3" s="358"/>
      <c r="E3" s="358"/>
      <c r="F3" s="358"/>
      <c r="G3" s="358"/>
      <c r="H3" s="116" t="s">
        <v>105</v>
      </c>
      <c r="I3" s="74">
        <f>IF(J3&lt;&gt;0,K3/J3,0)</f>
        <v>16.964898183131989</v>
      </c>
      <c r="J3" s="74">
        <f>SUBTOTAL(9,J5:J1048576)</f>
        <v>28391</v>
      </c>
      <c r="K3" s="75">
        <f>SUBTOTAL(9,K5:K1048576)</f>
        <v>481650.42431730032</v>
      </c>
    </row>
    <row r="4" spans="1:11" s="181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52</v>
      </c>
      <c r="H4" s="419" t="s">
        <v>8</v>
      </c>
      <c r="I4" s="420" t="s">
        <v>111</v>
      </c>
      <c r="J4" s="420" t="s">
        <v>9</v>
      </c>
      <c r="K4" s="421" t="s">
        <v>119</v>
      </c>
    </row>
    <row r="5" spans="1:11" ht="14.4" customHeight="1" x14ac:dyDescent="0.3">
      <c r="A5" s="422" t="s">
        <v>285</v>
      </c>
      <c r="B5" s="423" t="s">
        <v>286</v>
      </c>
      <c r="C5" s="424" t="s">
        <v>296</v>
      </c>
      <c r="D5" s="425" t="s">
        <v>297</v>
      </c>
      <c r="E5" s="424" t="s">
        <v>301</v>
      </c>
      <c r="F5" s="425" t="s">
        <v>302</v>
      </c>
      <c r="G5" s="424" t="s">
        <v>303</v>
      </c>
      <c r="H5" s="424" t="s">
        <v>304</v>
      </c>
      <c r="I5" s="426">
        <v>0.41999998688697815</v>
      </c>
      <c r="J5" s="426">
        <v>1000</v>
      </c>
      <c r="K5" s="427">
        <v>419.75</v>
      </c>
    </row>
    <row r="6" spans="1:11" ht="14.4" customHeight="1" x14ac:dyDescent="0.3">
      <c r="A6" s="428" t="s">
        <v>285</v>
      </c>
      <c r="B6" s="429" t="s">
        <v>286</v>
      </c>
      <c r="C6" s="430" t="s">
        <v>296</v>
      </c>
      <c r="D6" s="431" t="s">
        <v>297</v>
      </c>
      <c r="E6" s="430" t="s">
        <v>301</v>
      </c>
      <c r="F6" s="431" t="s">
        <v>302</v>
      </c>
      <c r="G6" s="430" t="s">
        <v>305</v>
      </c>
      <c r="H6" s="430" t="s">
        <v>306</v>
      </c>
      <c r="I6" s="432">
        <v>0.5899999737739563</v>
      </c>
      <c r="J6" s="432">
        <v>1700</v>
      </c>
      <c r="K6" s="433">
        <v>1003</v>
      </c>
    </row>
    <row r="7" spans="1:11" ht="14.4" customHeight="1" x14ac:dyDescent="0.3">
      <c r="A7" s="428" t="s">
        <v>285</v>
      </c>
      <c r="B7" s="429" t="s">
        <v>286</v>
      </c>
      <c r="C7" s="430" t="s">
        <v>296</v>
      </c>
      <c r="D7" s="431" t="s">
        <v>297</v>
      </c>
      <c r="E7" s="430" t="s">
        <v>301</v>
      </c>
      <c r="F7" s="431" t="s">
        <v>302</v>
      </c>
      <c r="G7" s="430" t="s">
        <v>307</v>
      </c>
      <c r="H7" s="430" t="s">
        <v>308</v>
      </c>
      <c r="I7" s="432">
        <v>1.1733332872390747</v>
      </c>
      <c r="J7" s="432">
        <v>600</v>
      </c>
      <c r="K7" s="433">
        <v>704</v>
      </c>
    </row>
    <row r="8" spans="1:11" ht="14.4" customHeight="1" x14ac:dyDescent="0.3">
      <c r="A8" s="428" t="s">
        <v>285</v>
      </c>
      <c r="B8" s="429" t="s">
        <v>286</v>
      </c>
      <c r="C8" s="430" t="s">
        <v>296</v>
      </c>
      <c r="D8" s="431" t="s">
        <v>297</v>
      </c>
      <c r="E8" s="430" t="s">
        <v>301</v>
      </c>
      <c r="F8" s="431" t="s">
        <v>302</v>
      </c>
      <c r="G8" s="430" t="s">
        <v>309</v>
      </c>
      <c r="H8" s="430" t="s">
        <v>310</v>
      </c>
      <c r="I8" s="432">
        <v>43.860000610351563</v>
      </c>
      <c r="J8" s="432">
        <v>275</v>
      </c>
      <c r="K8" s="433">
        <v>12061.790161132813</v>
      </c>
    </row>
    <row r="9" spans="1:11" ht="14.4" customHeight="1" x14ac:dyDescent="0.3">
      <c r="A9" s="428" t="s">
        <v>285</v>
      </c>
      <c r="B9" s="429" t="s">
        <v>286</v>
      </c>
      <c r="C9" s="430" t="s">
        <v>296</v>
      </c>
      <c r="D9" s="431" t="s">
        <v>297</v>
      </c>
      <c r="E9" s="430" t="s">
        <v>301</v>
      </c>
      <c r="F9" s="431" t="s">
        <v>302</v>
      </c>
      <c r="G9" s="430" t="s">
        <v>311</v>
      </c>
      <c r="H9" s="430" t="s">
        <v>312</v>
      </c>
      <c r="I9" s="432">
        <v>217.80999755859375</v>
      </c>
      <c r="J9" s="432">
        <v>150</v>
      </c>
      <c r="K9" s="433">
        <v>32671.5</v>
      </c>
    </row>
    <row r="10" spans="1:11" ht="14.4" customHeight="1" x14ac:dyDescent="0.3">
      <c r="A10" s="428" t="s">
        <v>285</v>
      </c>
      <c r="B10" s="429" t="s">
        <v>286</v>
      </c>
      <c r="C10" s="430" t="s">
        <v>296</v>
      </c>
      <c r="D10" s="431" t="s">
        <v>297</v>
      </c>
      <c r="E10" s="430" t="s">
        <v>301</v>
      </c>
      <c r="F10" s="431" t="s">
        <v>302</v>
      </c>
      <c r="G10" s="430" t="s">
        <v>313</v>
      </c>
      <c r="H10" s="430" t="s">
        <v>314</v>
      </c>
      <c r="I10" s="432">
        <v>0.8566666841506958</v>
      </c>
      <c r="J10" s="432">
        <v>120</v>
      </c>
      <c r="K10" s="433">
        <v>102.20000076293945</v>
      </c>
    </row>
    <row r="11" spans="1:11" ht="14.4" customHeight="1" x14ac:dyDescent="0.3">
      <c r="A11" s="428" t="s">
        <v>285</v>
      </c>
      <c r="B11" s="429" t="s">
        <v>286</v>
      </c>
      <c r="C11" s="430" t="s">
        <v>296</v>
      </c>
      <c r="D11" s="431" t="s">
        <v>297</v>
      </c>
      <c r="E11" s="430" t="s">
        <v>301</v>
      </c>
      <c r="F11" s="431" t="s">
        <v>302</v>
      </c>
      <c r="G11" s="430" t="s">
        <v>315</v>
      </c>
      <c r="H11" s="430" t="s">
        <v>316</v>
      </c>
      <c r="I11" s="432">
        <v>1.5166666507720947</v>
      </c>
      <c r="J11" s="432">
        <v>365</v>
      </c>
      <c r="K11" s="433">
        <v>552.67000770568848</v>
      </c>
    </row>
    <row r="12" spans="1:11" ht="14.4" customHeight="1" x14ac:dyDescent="0.3">
      <c r="A12" s="428" t="s">
        <v>285</v>
      </c>
      <c r="B12" s="429" t="s">
        <v>286</v>
      </c>
      <c r="C12" s="430" t="s">
        <v>296</v>
      </c>
      <c r="D12" s="431" t="s">
        <v>297</v>
      </c>
      <c r="E12" s="430" t="s">
        <v>301</v>
      </c>
      <c r="F12" s="431" t="s">
        <v>302</v>
      </c>
      <c r="G12" s="430" t="s">
        <v>317</v>
      </c>
      <c r="H12" s="430" t="s">
        <v>318</v>
      </c>
      <c r="I12" s="432">
        <v>2.06333327293396</v>
      </c>
      <c r="J12" s="432">
        <v>60</v>
      </c>
      <c r="K12" s="433">
        <v>123.89999771118164</v>
      </c>
    </row>
    <row r="13" spans="1:11" ht="14.4" customHeight="1" x14ac:dyDescent="0.3">
      <c r="A13" s="428" t="s">
        <v>285</v>
      </c>
      <c r="B13" s="429" t="s">
        <v>286</v>
      </c>
      <c r="C13" s="430" t="s">
        <v>296</v>
      </c>
      <c r="D13" s="431" t="s">
        <v>297</v>
      </c>
      <c r="E13" s="430" t="s">
        <v>301</v>
      </c>
      <c r="F13" s="431" t="s">
        <v>302</v>
      </c>
      <c r="G13" s="430" t="s">
        <v>319</v>
      </c>
      <c r="H13" s="430" t="s">
        <v>320</v>
      </c>
      <c r="I13" s="432">
        <v>13.159999847412109</v>
      </c>
      <c r="J13" s="432">
        <v>24</v>
      </c>
      <c r="K13" s="433">
        <v>315.739990234375</v>
      </c>
    </row>
    <row r="14" spans="1:11" ht="14.4" customHeight="1" x14ac:dyDescent="0.3">
      <c r="A14" s="428" t="s">
        <v>285</v>
      </c>
      <c r="B14" s="429" t="s">
        <v>286</v>
      </c>
      <c r="C14" s="430" t="s">
        <v>296</v>
      </c>
      <c r="D14" s="431" t="s">
        <v>297</v>
      </c>
      <c r="E14" s="430" t="s">
        <v>301</v>
      </c>
      <c r="F14" s="431" t="s">
        <v>302</v>
      </c>
      <c r="G14" s="430" t="s">
        <v>321</v>
      </c>
      <c r="H14" s="430" t="s">
        <v>322</v>
      </c>
      <c r="I14" s="432">
        <v>42.445999908447263</v>
      </c>
      <c r="J14" s="432">
        <v>15</v>
      </c>
      <c r="K14" s="433">
        <v>636.68999481201172</v>
      </c>
    </row>
    <row r="15" spans="1:11" ht="14.4" customHeight="1" x14ac:dyDescent="0.3">
      <c r="A15" s="428" t="s">
        <v>285</v>
      </c>
      <c r="B15" s="429" t="s">
        <v>286</v>
      </c>
      <c r="C15" s="430" t="s">
        <v>296</v>
      </c>
      <c r="D15" s="431" t="s">
        <v>297</v>
      </c>
      <c r="E15" s="430" t="s">
        <v>301</v>
      </c>
      <c r="F15" s="431" t="s">
        <v>302</v>
      </c>
      <c r="G15" s="430" t="s">
        <v>323</v>
      </c>
      <c r="H15" s="430" t="s">
        <v>324</v>
      </c>
      <c r="I15" s="432">
        <v>85.279998779296875</v>
      </c>
      <c r="J15" s="432">
        <v>1</v>
      </c>
      <c r="K15" s="433">
        <v>85.279998779296875</v>
      </c>
    </row>
    <row r="16" spans="1:11" ht="14.4" customHeight="1" x14ac:dyDescent="0.3">
      <c r="A16" s="428" t="s">
        <v>285</v>
      </c>
      <c r="B16" s="429" t="s">
        <v>286</v>
      </c>
      <c r="C16" s="430" t="s">
        <v>296</v>
      </c>
      <c r="D16" s="431" t="s">
        <v>297</v>
      </c>
      <c r="E16" s="430" t="s">
        <v>301</v>
      </c>
      <c r="F16" s="431" t="s">
        <v>302</v>
      </c>
      <c r="G16" s="430" t="s">
        <v>325</v>
      </c>
      <c r="H16" s="430" t="s">
        <v>326</v>
      </c>
      <c r="I16" s="432">
        <v>120</v>
      </c>
      <c r="J16" s="432">
        <v>2</v>
      </c>
      <c r="K16" s="433">
        <v>240</v>
      </c>
    </row>
    <row r="17" spans="1:11" ht="14.4" customHeight="1" x14ac:dyDescent="0.3">
      <c r="A17" s="428" t="s">
        <v>285</v>
      </c>
      <c r="B17" s="429" t="s">
        <v>286</v>
      </c>
      <c r="C17" s="430" t="s">
        <v>296</v>
      </c>
      <c r="D17" s="431" t="s">
        <v>297</v>
      </c>
      <c r="E17" s="430" t="s">
        <v>301</v>
      </c>
      <c r="F17" s="431" t="s">
        <v>302</v>
      </c>
      <c r="G17" s="430" t="s">
        <v>327</v>
      </c>
      <c r="H17" s="430" t="s">
        <v>328</v>
      </c>
      <c r="I17" s="432">
        <v>72.220001220703125</v>
      </c>
      <c r="J17" s="432">
        <v>3</v>
      </c>
      <c r="K17" s="433">
        <v>216.66000366210937</v>
      </c>
    </row>
    <row r="18" spans="1:11" ht="14.4" customHeight="1" x14ac:dyDescent="0.3">
      <c r="A18" s="428" t="s">
        <v>285</v>
      </c>
      <c r="B18" s="429" t="s">
        <v>286</v>
      </c>
      <c r="C18" s="430" t="s">
        <v>296</v>
      </c>
      <c r="D18" s="431" t="s">
        <v>297</v>
      </c>
      <c r="E18" s="430" t="s">
        <v>301</v>
      </c>
      <c r="F18" s="431" t="s">
        <v>302</v>
      </c>
      <c r="G18" s="430" t="s">
        <v>329</v>
      </c>
      <c r="H18" s="430" t="s">
        <v>330</v>
      </c>
      <c r="I18" s="432">
        <v>35.400001525878906</v>
      </c>
      <c r="J18" s="432">
        <v>25</v>
      </c>
      <c r="K18" s="433">
        <v>884.989990234375</v>
      </c>
    </row>
    <row r="19" spans="1:11" ht="14.4" customHeight="1" x14ac:dyDescent="0.3">
      <c r="A19" s="428" t="s">
        <v>285</v>
      </c>
      <c r="B19" s="429" t="s">
        <v>286</v>
      </c>
      <c r="C19" s="430" t="s">
        <v>296</v>
      </c>
      <c r="D19" s="431" t="s">
        <v>297</v>
      </c>
      <c r="E19" s="430" t="s">
        <v>301</v>
      </c>
      <c r="F19" s="431" t="s">
        <v>302</v>
      </c>
      <c r="G19" s="430" t="s">
        <v>331</v>
      </c>
      <c r="H19" s="430" t="s">
        <v>332</v>
      </c>
      <c r="I19" s="432">
        <v>0.66928573165621075</v>
      </c>
      <c r="J19" s="432">
        <v>2100</v>
      </c>
      <c r="K19" s="433">
        <v>1406</v>
      </c>
    </row>
    <row r="20" spans="1:11" ht="14.4" customHeight="1" x14ac:dyDescent="0.3">
      <c r="A20" s="428" t="s">
        <v>285</v>
      </c>
      <c r="B20" s="429" t="s">
        <v>286</v>
      </c>
      <c r="C20" s="430" t="s">
        <v>296</v>
      </c>
      <c r="D20" s="431" t="s">
        <v>297</v>
      </c>
      <c r="E20" s="430" t="s">
        <v>333</v>
      </c>
      <c r="F20" s="431" t="s">
        <v>334</v>
      </c>
      <c r="G20" s="430" t="s">
        <v>335</v>
      </c>
      <c r="H20" s="430" t="s">
        <v>336</v>
      </c>
      <c r="I20" s="432">
        <v>11.144999980926514</v>
      </c>
      <c r="J20" s="432">
        <v>150</v>
      </c>
      <c r="K20" s="433">
        <v>1671.5</v>
      </c>
    </row>
    <row r="21" spans="1:11" ht="14.4" customHeight="1" x14ac:dyDescent="0.3">
      <c r="A21" s="428" t="s">
        <v>285</v>
      </c>
      <c r="B21" s="429" t="s">
        <v>286</v>
      </c>
      <c r="C21" s="430" t="s">
        <v>296</v>
      </c>
      <c r="D21" s="431" t="s">
        <v>297</v>
      </c>
      <c r="E21" s="430" t="s">
        <v>333</v>
      </c>
      <c r="F21" s="431" t="s">
        <v>334</v>
      </c>
      <c r="G21" s="430" t="s">
        <v>337</v>
      </c>
      <c r="H21" s="430" t="s">
        <v>338</v>
      </c>
      <c r="I21" s="432">
        <v>6.1323809169587635</v>
      </c>
      <c r="J21" s="432">
        <v>1770</v>
      </c>
      <c r="K21" s="433">
        <v>10849.899993896484</v>
      </c>
    </row>
    <row r="22" spans="1:11" ht="14.4" customHeight="1" x14ac:dyDescent="0.3">
      <c r="A22" s="428" t="s">
        <v>285</v>
      </c>
      <c r="B22" s="429" t="s">
        <v>286</v>
      </c>
      <c r="C22" s="430" t="s">
        <v>296</v>
      </c>
      <c r="D22" s="431" t="s">
        <v>297</v>
      </c>
      <c r="E22" s="430" t="s">
        <v>333</v>
      </c>
      <c r="F22" s="431" t="s">
        <v>334</v>
      </c>
      <c r="G22" s="430" t="s">
        <v>339</v>
      </c>
      <c r="H22" s="430" t="s">
        <v>340</v>
      </c>
      <c r="I22" s="432">
        <v>3.44777782758077</v>
      </c>
      <c r="J22" s="432">
        <v>400</v>
      </c>
      <c r="K22" s="433">
        <v>1380.0999755859375</v>
      </c>
    </row>
    <row r="23" spans="1:11" ht="14.4" customHeight="1" x14ac:dyDescent="0.3">
      <c r="A23" s="428" t="s">
        <v>285</v>
      </c>
      <c r="B23" s="429" t="s">
        <v>286</v>
      </c>
      <c r="C23" s="430" t="s">
        <v>296</v>
      </c>
      <c r="D23" s="431" t="s">
        <v>297</v>
      </c>
      <c r="E23" s="430" t="s">
        <v>333</v>
      </c>
      <c r="F23" s="431" t="s">
        <v>334</v>
      </c>
      <c r="G23" s="430" t="s">
        <v>341</v>
      </c>
      <c r="H23" s="430" t="s">
        <v>342</v>
      </c>
      <c r="I23" s="432">
        <v>37.751999664306638</v>
      </c>
      <c r="J23" s="432">
        <v>200</v>
      </c>
      <c r="K23" s="433">
        <v>7550.4998779296875</v>
      </c>
    </row>
    <row r="24" spans="1:11" ht="14.4" customHeight="1" x14ac:dyDescent="0.3">
      <c r="A24" s="428" t="s">
        <v>285</v>
      </c>
      <c r="B24" s="429" t="s">
        <v>286</v>
      </c>
      <c r="C24" s="430" t="s">
        <v>296</v>
      </c>
      <c r="D24" s="431" t="s">
        <v>297</v>
      </c>
      <c r="E24" s="430" t="s">
        <v>333</v>
      </c>
      <c r="F24" s="431" t="s">
        <v>334</v>
      </c>
      <c r="G24" s="430" t="s">
        <v>343</v>
      </c>
      <c r="H24" s="430" t="s">
        <v>344</v>
      </c>
      <c r="I24" s="432">
        <v>4.0300002098083496</v>
      </c>
      <c r="J24" s="432">
        <v>400</v>
      </c>
      <c r="K24" s="433">
        <v>1612.0000076293945</v>
      </c>
    </row>
    <row r="25" spans="1:11" ht="14.4" customHeight="1" x14ac:dyDescent="0.3">
      <c r="A25" s="428" t="s">
        <v>285</v>
      </c>
      <c r="B25" s="429" t="s">
        <v>286</v>
      </c>
      <c r="C25" s="430" t="s">
        <v>296</v>
      </c>
      <c r="D25" s="431" t="s">
        <v>297</v>
      </c>
      <c r="E25" s="430" t="s">
        <v>333</v>
      </c>
      <c r="F25" s="431" t="s">
        <v>334</v>
      </c>
      <c r="G25" s="430" t="s">
        <v>345</v>
      </c>
      <c r="H25" s="430" t="s">
        <v>346</v>
      </c>
      <c r="I25" s="432">
        <v>9.6800003051757812</v>
      </c>
      <c r="J25" s="432">
        <v>780</v>
      </c>
      <c r="K25" s="433">
        <v>7550.4000244140625</v>
      </c>
    </row>
    <row r="26" spans="1:11" ht="14.4" customHeight="1" x14ac:dyDescent="0.3">
      <c r="A26" s="428" t="s">
        <v>285</v>
      </c>
      <c r="B26" s="429" t="s">
        <v>286</v>
      </c>
      <c r="C26" s="430" t="s">
        <v>296</v>
      </c>
      <c r="D26" s="431" t="s">
        <v>297</v>
      </c>
      <c r="E26" s="430" t="s">
        <v>333</v>
      </c>
      <c r="F26" s="431" t="s">
        <v>334</v>
      </c>
      <c r="G26" s="430" t="s">
        <v>347</v>
      </c>
      <c r="H26" s="430" t="s">
        <v>348</v>
      </c>
      <c r="I26" s="432">
        <v>10.077499866485596</v>
      </c>
      <c r="J26" s="432">
        <v>120</v>
      </c>
      <c r="K26" s="433">
        <v>1209.1900024414062</v>
      </c>
    </row>
    <row r="27" spans="1:11" ht="14.4" customHeight="1" x14ac:dyDescent="0.3">
      <c r="A27" s="428" t="s">
        <v>285</v>
      </c>
      <c r="B27" s="429" t="s">
        <v>286</v>
      </c>
      <c r="C27" s="430" t="s">
        <v>296</v>
      </c>
      <c r="D27" s="431" t="s">
        <v>297</v>
      </c>
      <c r="E27" s="430" t="s">
        <v>333</v>
      </c>
      <c r="F27" s="431" t="s">
        <v>334</v>
      </c>
      <c r="G27" s="430" t="s">
        <v>349</v>
      </c>
      <c r="H27" s="430" t="s">
        <v>350</v>
      </c>
      <c r="I27" s="432">
        <v>10.075454365123402</v>
      </c>
      <c r="J27" s="432">
        <v>780</v>
      </c>
      <c r="K27" s="433">
        <v>7858.5300903320312</v>
      </c>
    </row>
    <row r="28" spans="1:11" ht="14.4" customHeight="1" x14ac:dyDescent="0.3">
      <c r="A28" s="428" t="s">
        <v>285</v>
      </c>
      <c r="B28" s="429" t="s">
        <v>286</v>
      </c>
      <c r="C28" s="430" t="s">
        <v>296</v>
      </c>
      <c r="D28" s="431" t="s">
        <v>297</v>
      </c>
      <c r="E28" s="430" t="s">
        <v>333</v>
      </c>
      <c r="F28" s="431" t="s">
        <v>334</v>
      </c>
      <c r="G28" s="430" t="s">
        <v>351</v>
      </c>
      <c r="H28" s="430" t="s">
        <v>352</v>
      </c>
      <c r="I28" s="432">
        <v>10.076666514078775</v>
      </c>
      <c r="J28" s="432">
        <v>450</v>
      </c>
      <c r="K28" s="433">
        <v>4533.9000244140625</v>
      </c>
    </row>
    <row r="29" spans="1:11" ht="14.4" customHeight="1" x14ac:dyDescent="0.3">
      <c r="A29" s="428" t="s">
        <v>285</v>
      </c>
      <c r="B29" s="429" t="s">
        <v>286</v>
      </c>
      <c r="C29" s="430" t="s">
        <v>296</v>
      </c>
      <c r="D29" s="431" t="s">
        <v>297</v>
      </c>
      <c r="E29" s="430" t="s">
        <v>333</v>
      </c>
      <c r="F29" s="431" t="s">
        <v>334</v>
      </c>
      <c r="G29" s="430" t="s">
        <v>353</v>
      </c>
      <c r="H29" s="430" t="s">
        <v>354</v>
      </c>
      <c r="I29" s="432">
        <v>3.1466667652130127</v>
      </c>
      <c r="J29" s="432">
        <v>26</v>
      </c>
      <c r="K29" s="433">
        <v>81.799999713897705</v>
      </c>
    </row>
    <row r="30" spans="1:11" ht="14.4" customHeight="1" x14ac:dyDescent="0.3">
      <c r="A30" s="428" t="s">
        <v>285</v>
      </c>
      <c r="B30" s="429" t="s">
        <v>286</v>
      </c>
      <c r="C30" s="430" t="s">
        <v>296</v>
      </c>
      <c r="D30" s="431" t="s">
        <v>297</v>
      </c>
      <c r="E30" s="430" t="s">
        <v>333</v>
      </c>
      <c r="F30" s="431" t="s">
        <v>334</v>
      </c>
      <c r="G30" s="430" t="s">
        <v>355</v>
      </c>
      <c r="H30" s="430" t="s">
        <v>356</v>
      </c>
      <c r="I30" s="432">
        <v>11.738999748229981</v>
      </c>
      <c r="J30" s="432">
        <v>29</v>
      </c>
      <c r="K30" s="433">
        <v>340.41999626159668</v>
      </c>
    </row>
    <row r="31" spans="1:11" ht="14.4" customHeight="1" x14ac:dyDescent="0.3">
      <c r="A31" s="428" t="s">
        <v>285</v>
      </c>
      <c r="B31" s="429" t="s">
        <v>286</v>
      </c>
      <c r="C31" s="430" t="s">
        <v>296</v>
      </c>
      <c r="D31" s="431" t="s">
        <v>297</v>
      </c>
      <c r="E31" s="430" t="s">
        <v>333</v>
      </c>
      <c r="F31" s="431" t="s">
        <v>334</v>
      </c>
      <c r="G31" s="430" t="s">
        <v>357</v>
      </c>
      <c r="H31" s="430" t="s">
        <v>358</v>
      </c>
      <c r="I31" s="432">
        <v>2.6350001096725464</v>
      </c>
      <c r="J31" s="432">
        <v>80</v>
      </c>
      <c r="K31" s="433">
        <v>210.89999580383301</v>
      </c>
    </row>
    <row r="32" spans="1:11" ht="14.4" customHeight="1" x14ac:dyDescent="0.3">
      <c r="A32" s="428" t="s">
        <v>285</v>
      </c>
      <c r="B32" s="429" t="s">
        <v>286</v>
      </c>
      <c r="C32" s="430" t="s">
        <v>296</v>
      </c>
      <c r="D32" s="431" t="s">
        <v>297</v>
      </c>
      <c r="E32" s="430" t="s">
        <v>333</v>
      </c>
      <c r="F32" s="431" t="s">
        <v>334</v>
      </c>
      <c r="G32" s="430" t="s">
        <v>359</v>
      </c>
      <c r="H32" s="430" t="s">
        <v>360</v>
      </c>
      <c r="I32" s="432">
        <v>217.43719970703125</v>
      </c>
      <c r="J32" s="432">
        <v>896</v>
      </c>
      <c r="K32" s="433">
        <v>194823.853515625</v>
      </c>
    </row>
    <row r="33" spans="1:11" ht="14.4" customHeight="1" x14ac:dyDescent="0.3">
      <c r="A33" s="428" t="s">
        <v>285</v>
      </c>
      <c r="B33" s="429" t="s">
        <v>286</v>
      </c>
      <c r="C33" s="430" t="s">
        <v>296</v>
      </c>
      <c r="D33" s="431" t="s">
        <v>297</v>
      </c>
      <c r="E33" s="430" t="s">
        <v>333</v>
      </c>
      <c r="F33" s="431" t="s">
        <v>334</v>
      </c>
      <c r="G33" s="430" t="s">
        <v>361</v>
      </c>
      <c r="H33" s="430" t="s">
        <v>362</v>
      </c>
      <c r="I33" s="432">
        <v>217.44000244140625</v>
      </c>
      <c r="J33" s="432">
        <v>60</v>
      </c>
      <c r="K33" s="433">
        <v>13046.400390625</v>
      </c>
    </row>
    <row r="34" spans="1:11" ht="14.4" customHeight="1" x14ac:dyDescent="0.3">
      <c r="A34" s="428" t="s">
        <v>285</v>
      </c>
      <c r="B34" s="429" t="s">
        <v>286</v>
      </c>
      <c r="C34" s="430" t="s">
        <v>296</v>
      </c>
      <c r="D34" s="431" t="s">
        <v>297</v>
      </c>
      <c r="E34" s="430" t="s">
        <v>333</v>
      </c>
      <c r="F34" s="431" t="s">
        <v>334</v>
      </c>
      <c r="G34" s="430" t="s">
        <v>363</v>
      </c>
      <c r="H34" s="430" t="s">
        <v>364</v>
      </c>
      <c r="I34" s="432">
        <v>1.0900000333786011</v>
      </c>
      <c r="J34" s="432">
        <v>3800</v>
      </c>
      <c r="K34" s="433">
        <v>4142</v>
      </c>
    </row>
    <row r="35" spans="1:11" ht="14.4" customHeight="1" x14ac:dyDescent="0.3">
      <c r="A35" s="428" t="s">
        <v>285</v>
      </c>
      <c r="B35" s="429" t="s">
        <v>286</v>
      </c>
      <c r="C35" s="430" t="s">
        <v>296</v>
      </c>
      <c r="D35" s="431" t="s">
        <v>297</v>
      </c>
      <c r="E35" s="430" t="s">
        <v>333</v>
      </c>
      <c r="F35" s="431" t="s">
        <v>334</v>
      </c>
      <c r="G35" s="430" t="s">
        <v>365</v>
      </c>
      <c r="H35" s="430" t="s">
        <v>366</v>
      </c>
      <c r="I35" s="432">
        <v>1.6749999523162842</v>
      </c>
      <c r="J35" s="432">
        <v>900</v>
      </c>
      <c r="K35" s="433">
        <v>1508</v>
      </c>
    </row>
    <row r="36" spans="1:11" ht="14.4" customHeight="1" x14ac:dyDescent="0.3">
      <c r="A36" s="428" t="s">
        <v>285</v>
      </c>
      <c r="B36" s="429" t="s">
        <v>286</v>
      </c>
      <c r="C36" s="430" t="s">
        <v>296</v>
      </c>
      <c r="D36" s="431" t="s">
        <v>297</v>
      </c>
      <c r="E36" s="430" t="s">
        <v>333</v>
      </c>
      <c r="F36" s="431" t="s">
        <v>334</v>
      </c>
      <c r="G36" s="430" t="s">
        <v>367</v>
      </c>
      <c r="H36" s="430" t="s">
        <v>368</v>
      </c>
      <c r="I36" s="432">
        <v>0.67000001668930054</v>
      </c>
      <c r="J36" s="432">
        <v>100</v>
      </c>
      <c r="K36" s="433">
        <v>67</v>
      </c>
    </row>
    <row r="37" spans="1:11" ht="14.4" customHeight="1" x14ac:dyDescent="0.3">
      <c r="A37" s="428" t="s">
        <v>285</v>
      </c>
      <c r="B37" s="429" t="s">
        <v>286</v>
      </c>
      <c r="C37" s="430" t="s">
        <v>296</v>
      </c>
      <c r="D37" s="431" t="s">
        <v>297</v>
      </c>
      <c r="E37" s="430" t="s">
        <v>333</v>
      </c>
      <c r="F37" s="431" t="s">
        <v>334</v>
      </c>
      <c r="G37" s="430" t="s">
        <v>369</v>
      </c>
      <c r="H37" s="430" t="s">
        <v>370</v>
      </c>
      <c r="I37" s="432">
        <v>1.940000057220459</v>
      </c>
      <c r="J37" s="432">
        <v>90</v>
      </c>
      <c r="K37" s="433">
        <v>174.60000228881836</v>
      </c>
    </row>
    <row r="38" spans="1:11" ht="14.4" customHeight="1" x14ac:dyDescent="0.3">
      <c r="A38" s="428" t="s">
        <v>285</v>
      </c>
      <c r="B38" s="429" t="s">
        <v>286</v>
      </c>
      <c r="C38" s="430" t="s">
        <v>296</v>
      </c>
      <c r="D38" s="431" t="s">
        <v>297</v>
      </c>
      <c r="E38" s="430" t="s">
        <v>333</v>
      </c>
      <c r="F38" s="431" t="s">
        <v>334</v>
      </c>
      <c r="G38" s="430" t="s">
        <v>371</v>
      </c>
      <c r="H38" s="430" t="s">
        <v>372</v>
      </c>
      <c r="I38" s="432">
        <v>5.2039998054504393</v>
      </c>
      <c r="J38" s="432">
        <v>450</v>
      </c>
      <c r="K38" s="433">
        <v>2341</v>
      </c>
    </row>
    <row r="39" spans="1:11" ht="14.4" customHeight="1" x14ac:dyDescent="0.3">
      <c r="A39" s="428" t="s">
        <v>285</v>
      </c>
      <c r="B39" s="429" t="s">
        <v>286</v>
      </c>
      <c r="C39" s="430" t="s">
        <v>296</v>
      </c>
      <c r="D39" s="431" t="s">
        <v>297</v>
      </c>
      <c r="E39" s="430" t="s">
        <v>333</v>
      </c>
      <c r="F39" s="431" t="s">
        <v>334</v>
      </c>
      <c r="G39" s="430" t="s">
        <v>373</v>
      </c>
      <c r="H39" s="430" t="s">
        <v>374</v>
      </c>
      <c r="I39" s="432">
        <v>7.380000114440918</v>
      </c>
      <c r="J39" s="432">
        <v>600</v>
      </c>
      <c r="K39" s="433">
        <v>4428.599853515625</v>
      </c>
    </row>
    <row r="40" spans="1:11" ht="14.4" customHeight="1" x14ac:dyDescent="0.3">
      <c r="A40" s="428" t="s">
        <v>285</v>
      </c>
      <c r="B40" s="429" t="s">
        <v>286</v>
      </c>
      <c r="C40" s="430" t="s">
        <v>296</v>
      </c>
      <c r="D40" s="431" t="s">
        <v>297</v>
      </c>
      <c r="E40" s="430" t="s">
        <v>333</v>
      </c>
      <c r="F40" s="431" t="s">
        <v>334</v>
      </c>
      <c r="G40" s="430" t="s">
        <v>375</v>
      </c>
      <c r="H40" s="430" t="s">
        <v>376</v>
      </c>
      <c r="I40" s="432">
        <v>0.47999998927116394</v>
      </c>
      <c r="J40" s="432">
        <v>100</v>
      </c>
      <c r="K40" s="433">
        <v>48</v>
      </c>
    </row>
    <row r="41" spans="1:11" ht="14.4" customHeight="1" x14ac:dyDescent="0.3">
      <c r="A41" s="428" t="s">
        <v>285</v>
      </c>
      <c r="B41" s="429" t="s">
        <v>286</v>
      </c>
      <c r="C41" s="430" t="s">
        <v>296</v>
      </c>
      <c r="D41" s="431" t="s">
        <v>297</v>
      </c>
      <c r="E41" s="430" t="s">
        <v>377</v>
      </c>
      <c r="F41" s="431" t="s">
        <v>378</v>
      </c>
      <c r="G41" s="430" t="s">
        <v>379</v>
      </c>
      <c r="H41" s="430" t="s">
        <v>380</v>
      </c>
      <c r="I41" s="432">
        <v>396.57998657226562</v>
      </c>
      <c r="J41" s="432">
        <v>120</v>
      </c>
      <c r="K41" s="433">
        <v>47589.2900390625</v>
      </c>
    </row>
    <row r="42" spans="1:11" ht="14.4" customHeight="1" x14ac:dyDescent="0.3">
      <c r="A42" s="428" t="s">
        <v>285</v>
      </c>
      <c r="B42" s="429" t="s">
        <v>286</v>
      </c>
      <c r="C42" s="430" t="s">
        <v>296</v>
      </c>
      <c r="D42" s="431" t="s">
        <v>297</v>
      </c>
      <c r="E42" s="430" t="s">
        <v>377</v>
      </c>
      <c r="F42" s="431" t="s">
        <v>378</v>
      </c>
      <c r="G42" s="430" t="s">
        <v>381</v>
      </c>
      <c r="H42" s="430" t="s">
        <v>382</v>
      </c>
      <c r="I42" s="432">
        <v>9.9593184211037382</v>
      </c>
      <c r="J42" s="432">
        <v>2070</v>
      </c>
      <c r="K42" s="433">
        <v>20328.600234985352</v>
      </c>
    </row>
    <row r="43" spans="1:11" ht="14.4" customHeight="1" x14ac:dyDescent="0.3">
      <c r="A43" s="428" t="s">
        <v>285</v>
      </c>
      <c r="B43" s="429" t="s">
        <v>286</v>
      </c>
      <c r="C43" s="430" t="s">
        <v>296</v>
      </c>
      <c r="D43" s="431" t="s">
        <v>297</v>
      </c>
      <c r="E43" s="430" t="s">
        <v>377</v>
      </c>
      <c r="F43" s="431" t="s">
        <v>378</v>
      </c>
      <c r="G43" s="430" t="s">
        <v>383</v>
      </c>
      <c r="H43" s="430" t="s">
        <v>384</v>
      </c>
      <c r="I43" s="432">
        <v>162.62428501674108</v>
      </c>
      <c r="J43" s="432">
        <v>210</v>
      </c>
      <c r="K43" s="433">
        <v>34151.43017578125</v>
      </c>
    </row>
    <row r="44" spans="1:11" ht="14.4" customHeight="1" x14ac:dyDescent="0.3">
      <c r="A44" s="428" t="s">
        <v>285</v>
      </c>
      <c r="B44" s="429" t="s">
        <v>286</v>
      </c>
      <c r="C44" s="430" t="s">
        <v>296</v>
      </c>
      <c r="D44" s="431" t="s">
        <v>297</v>
      </c>
      <c r="E44" s="430" t="s">
        <v>377</v>
      </c>
      <c r="F44" s="431" t="s">
        <v>378</v>
      </c>
      <c r="G44" s="430" t="s">
        <v>383</v>
      </c>
      <c r="H44" s="430" t="s">
        <v>385</v>
      </c>
      <c r="I44" s="432">
        <v>162.6300048828125</v>
      </c>
      <c r="J44" s="432">
        <v>30</v>
      </c>
      <c r="K44" s="433">
        <v>4878.75</v>
      </c>
    </row>
    <row r="45" spans="1:11" ht="14.4" customHeight="1" x14ac:dyDescent="0.3">
      <c r="A45" s="428" t="s">
        <v>285</v>
      </c>
      <c r="B45" s="429" t="s">
        <v>286</v>
      </c>
      <c r="C45" s="430" t="s">
        <v>296</v>
      </c>
      <c r="D45" s="431" t="s">
        <v>297</v>
      </c>
      <c r="E45" s="430" t="s">
        <v>386</v>
      </c>
      <c r="F45" s="431" t="s">
        <v>387</v>
      </c>
      <c r="G45" s="430" t="s">
        <v>388</v>
      </c>
      <c r="H45" s="430" t="s">
        <v>389</v>
      </c>
      <c r="I45" s="432">
        <v>132.67999267578125</v>
      </c>
      <c r="J45" s="432">
        <v>25</v>
      </c>
      <c r="K45" s="433">
        <v>3317</v>
      </c>
    </row>
    <row r="46" spans="1:11" ht="14.4" customHeight="1" x14ac:dyDescent="0.3">
      <c r="A46" s="428" t="s">
        <v>285</v>
      </c>
      <c r="B46" s="429" t="s">
        <v>286</v>
      </c>
      <c r="C46" s="430" t="s">
        <v>296</v>
      </c>
      <c r="D46" s="431" t="s">
        <v>297</v>
      </c>
      <c r="E46" s="430" t="s">
        <v>386</v>
      </c>
      <c r="F46" s="431" t="s">
        <v>387</v>
      </c>
      <c r="G46" s="430" t="s">
        <v>390</v>
      </c>
      <c r="H46" s="430" t="s">
        <v>391</v>
      </c>
      <c r="I46" s="432">
        <v>125.48000335693359</v>
      </c>
      <c r="J46" s="432">
        <v>36</v>
      </c>
      <c r="K46" s="433">
        <v>4517.119873046875</v>
      </c>
    </row>
    <row r="47" spans="1:11" ht="14.4" customHeight="1" x14ac:dyDescent="0.3">
      <c r="A47" s="428" t="s">
        <v>285</v>
      </c>
      <c r="B47" s="429" t="s">
        <v>286</v>
      </c>
      <c r="C47" s="430" t="s">
        <v>296</v>
      </c>
      <c r="D47" s="431" t="s">
        <v>297</v>
      </c>
      <c r="E47" s="430" t="s">
        <v>386</v>
      </c>
      <c r="F47" s="431" t="s">
        <v>387</v>
      </c>
      <c r="G47" s="430" t="s">
        <v>392</v>
      </c>
      <c r="H47" s="430" t="s">
        <v>393</v>
      </c>
      <c r="I47" s="432">
        <v>0.52026316601979106</v>
      </c>
      <c r="J47" s="432">
        <v>4503</v>
      </c>
      <c r="K47" s="433">
        <v>2334.6500000357628</v>
      </c>
    </row>
    <row r="48" spans="1:11" ht="14.4" customHeight="1" x14ac:dyDescent="0.3">
      <c r="A48" s="428" t="s">
        <v>285</v>
      </c>
      <c r="B48" s="429" t="s">
        <v>286</v>
      </c>
      <c r="C48" s="430" t="s">
        <v>296</v>
      </c>
      <c r="D48" s="431" t="s">
        <v>297</v>
      </c>
      <c r="E48" s="430" t="s">
        <v>394</v>
      </c>
      <c r="F48" s="431" t="s">
        <v>395</v>
      </c>
      <c r="G48" s="430" t="s">
        <v>396</v>
      </c>
      <c r="H48" s="430" t="s">
        <v>397</v>
      </c>
      <c r="I48" s="432">
        <v>0.68999999761581421</v>
      </c>
      <c r="J48" s="432">
        <v>200</v>
      </c>
      <c r="K48" s="433">
        <v>138</v>
      </c>
    </row>
    <row r="49" spans="1:11" ht="14.4" customHeight="1" x14ac:dyDescent="0.3">
      <c r="A49" s="428" t="s">
        <v>285</v>
      </c>
      <c r="B49" s="429" t="s">
        <v>286</v>
      </c>
      <c r="C49" s="430" t="s">
        <v>296</v>
      </c>
      <c r="D49" s="431" t="s">
        <v>297</v>
      </c>
      <c r="E49" s="430" t="s">
        <v>394</v>
      </c>
      <c r="F49" s="431" t="s">
        <v>395</v>
      </c>
      <c r="G49" s="430" t="s">
        <v>398</v>
      </c>
      <c r="H49" s="430" t="s">
        <v>399</v>
      </c>
      <c r="I49" s="432">
        <v>0.68999999761581421</v>
      </c>
      <c r="J49" s="432">
        <v>400</v>
      </c>
      <c r="K49" s="433">
        <v>276</v>
      </c>
    </row>
    <row r="50" spans="1:11" ht="14.4" customHeight="1" x14ac:dyDescent="0.3">
      <c r="A50" s="428" t="s">
        <v>285</v>
      </c>
      <c r="B50" s="429" t="s">
        <v>286</v>
      </c>
      <c r="C50" s="430" t="s">
        <v>296</v>
      </c>
      <c r="D50" s="431" t="s">
        <v>297</v>
      </c>
      <c r="E50" s="430" t="s">
        <v>394</v>
      </c>
      <c r="F50" s="431" t="s">
        <v>395</v>
      </c>
      <c r="G50" s="430" t="s">
        <v>400</v>
      </c>
      <c r="H50" s="430" t="s">
        <v>401</v>
      </c>
      <c r="I50" s="432">
        <v>7.5</v>
      </c>
      <c r="J50" s="432">
        <v>160</v>
      </c>
      <c r="K50" s="433">
        <v>1200</v>
      </c>
    </row>
    <row r="51" spans="1:11" ht="14.4" customHeight="1" x14ac:dyDescent="0.3">
      <c r="A51" s="428" t="s">
        <v>285</v>
      </c>
      <c r="B51" s="429" t="s">
        <v>286</v>
      </c>
      <c r="C51" s="430" t="s">
        <v>296</v>
      </c>
      <c r="D51" s="431" t="s">
        <v>297</v>
      </c>
      <c r="E51" s="430" t="s">
        <v>394</v>
      </c>
      <c r="F51" s="431" t="s">
        <v>395</v>
      </c>
      <c r="G51" s="430" t="s">
        <v>402</v>
      </c>
      <c r="H51" s="430" t="s">
        <v>403</v>
      </c>
      <c r="I51" s="432">
        <v>7.5031250715255737</v>
      </c>
      <c r="J51" s="432">
        <v>1150</v>
      </c>
      <c r="K51" s="433">
        <v>8627.7999877929687</v>
      </c>
    </row>
    <row r="52" spans="1:11" ht="14.4" customHeight="1" x14ac:dyDescent="0.3">
      <c r="A52" s="428" t="s">
        <v>285</v>
      </c>
      <c r="B52" s="429" t="s">
        <v>286</v>
      </c>
      <c r="C52" s="430" t="s">
        <v>296</v>
      </c>
      <c r="D52" s="431" t="s">
        <v>297</v>
      </c>
      <c r="E52" s="430" t="s">
        <v>394</v>
      </c>
      <c r="F52" s="431" t="s">
        <v>395</v>
      </c>
      <c r="G52" s="430" t="s">
        <v>404</v>
      </c>
      <c r="H52" s="430" t="s">
        <v>405</v>
      </c>
      <c r="I52" s="432">
        <v>7.5015384967510519</v>
      </c>
      <c r="J52" s="432">
        <v>710</v>
      </c>
      <c r="K52" s="433">
        <v>5326.2000122070312</v>
      </c>
    </row>
    <row r="53" spans="1:11" ht="14.4" customHeight="1" x14ac:dyDescent="0.3">
      <c r="A53" s="428" t="s">
        <v>285</v>
      </c>
      <c r="B53" s="429" t="s">
        <v>286</v>
      </c>
      <c r="C53" s="430" t="s">
        <v>296</v>
      </c>
      <c r="D53" s="431" t="s">
        <v>297</v>
      </c>
      <c r="E53" s="430" t="s">
        <v>394</v>
      </c>
      <c r="F53" s="431" t="s">
        <v>395</v>
      </c>
      <c r="G53" s="430" t="s">
        <v>406</v>
      </c>
      <c r="H53" s="430" t="s">
        <v>407</v>
      </c>
      <c r="I53" s="432">
        <v>6.2300000190734863</v>
      </c>
      <c r="J53" s="432">
        <v>30</v>
      </c>
      <c r="K53" s="433">
        <v>186.89999389648437</v>
      </c>
    </row>
    <row r="54" spans="1:11" ht="14.4" customHeight="1" x14ac:dyDescent="0.3">
      <c r="A54" s="428" t="s">
        <v>285</v>
      </c>
      <c r="B54" s="429" t="s">
        <v>286</v>
      </c>
      <c r="C54" s="430" t="s">
        <v>296</v>
      </c>
      <c r="D54" s="431" t="s">
        <v>297</v>
      </c>
      <c r="E54" s="430" t="s">
        <v>394</v>
      </c>
      <c r="F54" s="431" t="s">
        <v>395</v>
      </c>
      <c r="G54" s="430" t="s">
        <v>408</v>
      </c>
      <c r="H54" s="430" t="s">
        <v>409</v>
      </c>
      <c r="I54" s="432">
        <v>6.2399997711181641</v>
      </c>
      <c r="J54" s="432">
        <v>120</v>
      </c>
      <c r="K54" s="433">
        <v>748.79998779296875</v>
      </c>
    </row>
    <row r="55" spans="1:11" ht="14.4" customHeight="1" x14ac:dyDescent="0.3">
      <c r="A55" s="428" t="s">
        <v>285</v>
      </c>
      <c r="B55" s="429" t="s">
        <v>286</v>
      </c>
      <c r="C55" s="430" t="s">
        <v>296</v>
      </c>
      <c r="D55" s="431" t="s">
        <v>297</v>
      </c>
      <c r="E55" s="430" t="s">
        <v>410</v>
      </c>
      <c r="F55" s="431" t="s">
        <v>411</v>
      </c>
      <c r="G55" s="430" t="s">
        <v>412</v>
      </c>
      <c r="H55" s="430" t="s">
        <v>413</v>
      </c>
      <c r="I55" s="432">
        <v>4629.259765625</v>
      </c>
      <c r="J55" s="432">
        <v>2</v>
      </c>
      <c r="K55" s="433">
        <v>9258.51953125</v>
      </c>
    </row>
    <row r="56" spans="1:11" ht="14.4" customHeight="1" x14ac:dyDescent="0.3">
      <c r="A56" s="428" t="s">
        <v>285</v>
      </c>
      <c r="B56" s="429" t="s">
        <v>286</v>
      </c>
      <c r="C56" s="430" t="s">
        <v>296</v>
      </c>
      <c r="D56" s="431" t="s">
        <v>297</v>
      </c>
      <c r="E56" s="430" t="s">
        <v>410</v>
      </c>
      <c r="F56" s="431" t="s">
        <v>411</v>
      </c>
      <c r="G56" s="430" t="s">
        <v>414</v>
      </c>
      <c r="H56" s="430" t="s">
        <v>415</v>
      </c>
      <c r="I56" s="432">
        <v>5433.25</v>
      </c>
      <c r="J56" s="432">
        <v>2</v>
      </c>
      <c r="K56" s="433">
        <v>10866.490234375</v>
      </c>
    </row>
    <row r="57" spans="1:11" ht="14.4" customHeight="1" thickBot="1" x14ac:dyDescent="0.35">
      <c r="A57" s="434" t="s">
        <v>285</v>
      </c>
      <c r="B57" s="435" t="s">
        <v>286</v>
      </c>
      <c r="C57" s="436" t="s">
        <v>296</v>
      </c>
      <c r="D57" s="437" t="s">
        <v>297</v>
      </c>
      <c r="E57" s="436" t="s">
        <v>410</v>
      </c>
      <c r="F57" s="437" t="s">
        <v>411</v>
      </c>
      <c r="G57" s="436" t="s">
        <v>416</v>
      </c>
      <c r="H57" s="436" t="s">
        <v>417</v>
      </c>
      <c r="I57" s="438">
        <v>5526.06005859375</v>
      </c>
      <c r="J57" s="438">
        <v>2</v>
      </c>
      <c r="K57" s="439">
        <v>11052.1103515625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46" ht="18.600000000000001" thickBot="1" x14ac:dyDescent="0.4">
      <c r="A1" s="362" t="s">
        <v>87</v>
      </c>
      <c r="B1" s="362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292"/>
    </row>
    <row r="2" spans="1:46" ht="15" thickBot="1" x14ac:dyDescent="0.35">
      <c r="A2" s="198" t="s">
        <v>227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T2" s="292"/>
    </row>
    <row r="3" spans="1:46" x14ac:dyDescent="0.3">
      <c r="A3" s="219" t="s">
        <v>144</v>
      </c>
      <c r="B3" s="360" t="s">
        <v>123</v>
      </c>
      <c r="C3" s="200">
        <v>0</v>
      </c>
      <c r="D3" s="201">
        <v>25</v>
      </c>
      <c r="E3" s="201">
        <v>30</v>
      </c>
      <c r="F3" s="201">
        <v>99</v>
      </c>
      <c r="G3" s="221">
        <v>100</v>
      </c>
      <c r="H3" s="221">
        <v>101</v>
      </c>
      <c r="I3" s="221">
        <v>102</v>
      </c>
      <c r="J3" s="221">
        <v>103</v>
      </c>
      <c r="K3" s="221">
        <v>203</v>
      </c>
      <c r="L3" s="290">
        <v>302</v>
      </c>
      <c r="M3" s="221">
        <v>303</v>
      </c>
      <c r="N3" s="221">
        <v>304</v>
      </c>
      <c r="O3" s="221">
        <v>305</v>
      </c>
      <c r="P3" s="221">
        <v>306</v>
      </c>
      <c r="Q3" s="221">
        <v>407</v>
      </c>
      <c r="R3" s="221">
        <v>408</v>
      </c>
      <c r="S3" s="221">
        <v>409</v>
      </c>
      <c r="T3" s="221">
        <v>410</v>
      </c>
      <c r="U3" s="221">
        <v>415</v>
      </c>
      <c r="V3" s="221">
        <v>416</v>
      </c>
      <c r="W3" s="221">
        <v>418</v>
      </c>
      <c r="X3" s="221">
        <v>419</v>
      </c>
      <c r="Y3" s="221">
        <v>420</v>
      </c>
      <c r="Z3" s="221">
        <v>421</v>
      </c>
      <c r="AA3" s="221">
        <v>422</v>
      </c>
      <c r="AB3" s="221">
        <v>520</v>
      </c>
      <c r="AC3" s="221">
        <v>521</v>
      </c>
      <c r="AD3" s="221">
        <v>522</v>
      </c>
      <c r="AE3" s="221">
        <v>523</v>
      </c>
      <c r="AF3" s="221">
        <v>524</v>
      </c>
      <c r="AG3" s="221">
        <v>525</v>
      </c>
      <c r="AH3" s="221">
        <v>526</v>
      </c>
      <c r="AI3" s="201">
        <v>527</v>
      </c>
      <c r="AJ3" s="201">
        <v>528</v>
      </c>
      <c r="AK3" s="201">
        <v>629</v>
      </c>
      <c r="AL3" s="201">
        <v>630</v>
      </c>
      <c r="AM3" s="201">
        <v>636</v>
      </c>
      <c r="AN3" s="201">
        <v>637</v>
      </c>
      <c r="AO3" s="201">
        <v>640</v>
      </c>
      <c r="AP3" s="201">
        <v>642</v>
      </c>
      <c r="AQ3" s="201">
        <v>743</v>
      </c>
      <c r="AR3" s="201">
        <v>745</v>
      </c>
      <c r="AS3" s="202">
        <v>746</v>
      </c>
      <c r="AT3" s="292"/>
    </row>
    <row r="4" spans="1:46" ht="36.6" outlineLevel="1" thickBot="1" x14ac:dyDescent="0.35">
      <c r="A4" s="220">
        <v>2017</v>
      </c>
      <c r="B4" s="361"/>
      <c r="C4" s="203" t="s">
        <v>124</v>
      </c>
      <c r="D4" s="204" t="s">
        <v>128</v>
      </c>
      <c r="E4" s="204" t="s">
        <v>146</v>
      </c>
      <c r="F4" s="204" t="s">
        <v>125</v>
      </c>
      <c r="G4" s="222" t="s">
        <v>182</v>
      </c>
      <c r="H4" s="222" t="s">
        <v>183</v>
      </c>
      <c r="I4" s="222" t="s">
        <v>126</v>
      </c>
      <c r="J4" s="222" t="s">
        <v>184</v>
      </c>
      <c r="K4" s="222" t="s">
        <v>127</v>
      </c>
      <c r="L4" s="291" t="s">
        <v>185</v>
      </c>
      <c r="M4" s="222" t="s">
        <v>186</v>
      </c>
      <c r="N4" s="222" t="s">
        <v>187</v>
      </c>
      <c r="O4" s="222" t="s">
        <v>188</v>
      </c>
      <c r="P4" s="222" t="s">
        <v>151</v>
      </c>
      <c r="Q4" s="222" t="s">
        <v>180</v>
      </c>
      <c r="R4" s="222" t="s">
        <v>152</v>
      </c>
      <c r="S4" s="222" t="s">
        <v>153</v>
      </c>
      <c r="T4" s="222" t="s">
        <v>154</v>
      </c>
      <c r="U4" s="222" t="s">
        <v>155</v>
      </c>
      <c r="V4" s="222" t="s">
        <v>156</v>
      </c>
      <c r="W4" s="222" t="s">
        <v>157</v>
      </c>
      <c r="X4" s="222" t="s">
        <v>158</v>
      </c>
      <c r="Y4" s="222" t="s">
        <v>159</v>
      </c>
      <c r="Z4" s="222" t="s">
        <v>160</v>
      </c>
      <c r="AA4" s="222" t="s">
        <v>219</v>
      </c>
      <c r="AB4" s="222" t="s">
        <v>189</v>
      </c>
      <c r="AC4" s="222" t="s">
        <v>190</v>
      </c>
      <c r="AD4" s="222" t="s">
        <v>191</v>
      </c>
      <c r="AE4" s="222" t="s">
        <v>161</v>
      </c>
      <c r="AF4" s="222" t="s">
        <v>162</v>
      </c>
      <c r="AG4" s="222" t="s">
        <v>163</v>
      </c>
      <c r="AH4" s="222" t="s">
        <v>164</v>
      </c>
      <c r="AI4" s="204" t="s">
        <v>165</v>
      </c>
      <c r="AJ4" s="204" t="s">
        <v>174</v>
      </c>
      <c r="AK4" s="204" t="s">
        <v>166</v>
      </c>
      <c r="AL4" s="204" t="s">
        <v>175</v>
      </c>
      <c r="AM4" s="204" t="s">
        <v>167</v>
      </c>
      <c r="AN4" s="278" t="s">
        <v>168</v>
      </c>
      <c r="AO4" s="204" t="s">
        <v>169</v>
      </c>
      <c r="AP4" s="204" t="s">
        <v>170</v>
      </c>
      <c r="AQ4" s="204" t="s">
        <v>171</v>
      </c>
      <c r="AR4" s="204" t="s">
        <v>172</v>
      </c>
      <c r="AS4" s="205" t="s">
        <v>173</v>
      </c>
      <c r="AT4" s="292"/>
    </row>
    <row r="5" spans="1:46" x14ac:dyDescent="0.3">
      <c r="A5" s="206" t="s">
        <v>129</v>
      </c>
      <c r="B5" s="243"/>
      <c r="C5" s="244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79"/>
      <c r="AO5" s="245"/>
      <c r="AP5" s="245"/>
      <c r="AQ5" s="245"/>
      <c r="AR5" s="245"/>
      <c r="AS5" s="246"/>
      <c r="AT5" s="292"/>
    </row>
    <row r="6" spans="1:46" ht="15" collapsed="1" thickBot="1" x14ac:dyDescent="0.35">
      <c r="A6" s="207" t="s">
        <v>54</v>
      </c>
      <c r="B6" s="247" t="e">
        <f xml:space="preserve">
TRUNC(IF($A$4&lt;=12,SUMIFS(#REF!,#REF!,$A$4,#REF!,1),SUMIFS(#REF!,#REF!,1)/#REF!),1)</f>
        <v>#REF!</v>
      </c>
      <c r="C6" s="248" t="e">
        <f xml:space="preserve">
TRUNC(IF($A$4&lt;=12,SUMIFS(#REF!,#REF!,$A$4,#REF!,1),SUMIFS(#REF!,#REF!,1)/#REF!),1)</f>
        <v>#REF!</v>
      </c>
      <c r="D6" s="249" t="e">
        <f xml:space="preserve">
TRUNC(IF($A$4&lt;=12,SUMIFS(#REF!,#REF!,$A$4,#REF!,1),SUMIFS(#REF!,#REF!,1)/#REF!),1)</f>
        <v>#REF!</v>
      </c>
      <c r="E6" s="249" t="e">
        <f xml:space="preserve">
TRUNC(IF($A$4&lt;=12,SUMIFS(#REF!,#REF!,$A$4,#REF!,1),SUMIFS(#REF!,#REF!,1)/#REF!),1)</f>
        <v>#REF!</v>
      </c>
      <c r="F6" s="249" t="e">
        <f xml:space="preserve">
TRUNC(IF($A$4&lt;=12,SUMIFS(#REF!,#REF!,$A$4,#REF!,1),SUMIFS(#REF!,#REF!,1)/#REF!),1)</f>
        <v>#REF!</v>
      </c>
      <c r="G6" s="249" t="e">
        <f xml:space="preserve">
TRUNC(IF($A$4&lt;=12,SUMIFS(#REF!,#REF!,$A$4,#REF!,1),SUMIFS(#REF!,#REF!,1)/#REF!),1)</f>
        <v>#REF!</v>
      </c>
      <c r="H6" s="249" t="e">
        <f xml:space="preserve">
TRUNC(IF($A$4&lt;=12,SUMIFS(#REF!,#REF!,$A$4,#REF!,1),SUMIFS(#REF!,#REF!,1)/#REF!),1)</f>
        <v>#REF!</v>
      </c>
      <c r="I6" s="249" t="e">
        <f xml:space="preserve">
TRUNC(IF($A$4&lt;=12,SUMIFS(#REF!,#REF!,$A$4,#REF!,1),SUMIFS(#REF!,#REF!,1)/#REF!),1)</f>
        <v>#REF!</v>
      </c>
      <c r="J6" s="249" t="e">
        <f xml:space="preserve">
TRUNC(IF($A$4&lt;=12,SUMIFS(#REF!,#REF!,$A$4,#REF!,1),SUMIFS(#REF!,#REF!,1)/#REF!),1)</f>
        <v>#REF!</v>
      </c>
      <c r="K6" s="249" t="e">
        <f xml:space="preserve">
TRUNC(IF($A$4&lt;=12,SUMIFS(#REF!,#REF!,$A$4,#REF!,1),SUMIFS(#REF!,#REF!,1)/#REF!),1)</f>
        <v>#REF!</v>
      </c>
      <c r="L6" s="249" t="e">
        <f xml:space="preserve">
TRUNC(IF($A$4&lt;=12,SUMIFS(#REF!,#REF!,$A$4,#REF!,1),SUMIFS(#REF!,#REF!,1)/#REF!),1)</f>
        <v>#REF!</v>
      </c>
      <c r="M6" s="249" t="e">
        <f xml:space="preserve">
TRUNC(IF($A$4&lt;=12,SUMIFS(#REF!,#REF!,$A$4,#REF!,1),SUMIFS(#REF!,#REF!,1)/#REF!),1)</f>
        <v>#REF!</v>
      </c>
      <c r="N6" s="249" t="e">
        <f xml:space="preserve">
TRUNC(IF($A$4&lt;=12,SUMIFS(#REF!,#REF!,$A$4,#REF!,1),SUMIFS(#REF!,#REF!,1)/#REF!),1)</f>
        <v>#REF!</v>
      </c>
      <c r="O6" s="249" t="e">
        <f xml:space="preserve">
TRUNC(IF($A$4&lt;=12,SUMIFS(#REF!,#REF!,$A$4,#REF!,1),SUMIFS(#REF!,#REF!,1)/#REF!),1)</f>
        <v>#REF!</v>
      </c>
      <c r="P6" s="249" t="e">
        <f xml:space="preserve">
TRUNC(IF($A$4&lt;=12,SUMIFS(#REF!,#REF!,$A$4,#REF!,1),SUMIFS(#REF!,#REF!,1)/#REF!),1)</f>
        <v>#REF!</v>
      </c>
      <c r="Q6" s="249" t="e">
        <f xml:space="preserve">
TRUNC(IF($A$4&lt;=12,SUMIFS(#REF!,#REF!,$A$4,#REF!,1),SUMIFS(#REF!,#REF!,1)/#REF!),1)</f>
        <v>#REF!</v>
      </c>
      <c r="R6" s="249" t="e">
        <f xml:space="preserve">
TRUNC(IF($A$4&lt;=12,SUMIFS(#REF!,#REF!,$A$4,#REF!,1),SUMIFS(#REF!,#REF!,1)/#REF!),1)</f>
        <v>#REF!</v>
      </c>
      <c r="S6" s="249" t="e">
        <f xml:space="preserve">
TRUNC(IF($A$4&lt;=12,SUMIFS(#REF!,#REF!,$A$4,#REF!,1),SUMIFS(#REF!,#REF!,1)/#REF!),1)</f>
        <v>#REF!</v>
      </c>
      <c r="T6" s="249" t="e">
        <f xml:space="preserve">
TRUNC(IF($A$4&lt;=12,SUMIFS(#REF!,#REF!,$A$4,#REF!,1),SUMIFS(#REF!,#REF!,1)/#REF!),1)</f>
        <v>#REF!</v>
      </c>
      <c r="U6" s="249" t="e">
        <f xml:space="preserve">
TRUNC(IF($A$4&lt;=12,SUMIFS(#REF!,#REF!,$A$4,#REF!,1),SUMIFS(#REF!,#REF!,1)/#REF!),1)</f>
        <v>#REF!</v>
      </c>
      <c r="V6" s="249" t="e">
        <f xml:space="preserve">
TRUNC(IF($A$4&lt;=12,SUMIFS(#REF!,#REF!,$A$4,#REF!,1),SUMIFS(#REF!,#REF!,1)/#REF!),1)</f>
        <v>#REF!</v>
      </c>
      <c r="W6" s="249" t="e">
        <f xml:space="preserve">
TRUNC(IF($A$4&lt;=12,SUMIFS(#REF!,#REF!,$A$4,#REF!,1),SUMIFS(#REF!,#REF!,1)/#REF!),1)</f>
        <v>#REF!</v>
      </c>
      <c r="X6" s="249" t="e">
        <f xml:space="preserve">
TRUNC(IF($A$4&lt;=12,SUMIFS(#REF!,#REF!,$A$4,#REF!,1),SUMIFS(#REF!,#REF!,1)/#REF!),1)</f>
        <v>#REF!</v>
      </c>
      <c r="Y6" s="249" t="e">
        <f xml:space="preserve">
TRUNC(IF($A$4&lt;=12,SUMIFS(#REF!,#REF!,$A$4,#REF!,1),SUMIFS(#REF!,#REF!,1)/#REF!),1)</f>
        <v>#REF!</v>
      </c>
      <c r="Z6" s="249" t="e">
        <f xml:space="preserve">
TRUNC(IF($A$4&lt;=12,SUMIFS(#REF!,#REF!,$A$4,#REF!,1),SUMIFS(#REF!,#REF!,1)/#REF!),1)</f>
        <v>#REF!</v>
      </c>
      <c r="AA6" s="249" t="e">
        <f xml:space="preserve">
TRUNC(IF($A$4&lt;=12,SUMIFS(#REF!,#REF!,$A$4,#REF!,1),SUMIFS(#REF!,#REF!,1)/#REF!),1)</f>
        <v>#REF!</v>
      </c>
      <c r="AB6" s="249" t="e">
        <f xml:space="preserve">
TRUNC(IF($A$4&lt;=12,SUMIFS(#REF!,#REF!,$A$4,#REF!,1),SUMIFS(#REF!,#REF!,1)/#REF!),1)</f>
        <v>#REF!</v>
      </c>
      <c r="AC6" s="249" t="e">
        <f xml:space="preserve">
TRUNC(IF($A$4&lt;=12,SUMIFS(#REF!,#REF!,$A$4,#REF!,1),SUMIFS(#REF!,#REF!,1)/#REF!),1)</f>
        <v>#REF!</v>
      </c>
      <c r="AD6" s="249" t="e">
        <f xml:space="preserve">
TRUNC(IF($A$4&lt;=12,SUMIFS(#REF!,#REF!,$A$4,#REF!,1),SUMIFS(#REF!,#REF!,1)/#REF!),1)</f>
        <v>#REF!</v>
      </c>
      <c r="AE6" s="249" t="e">
        <f xml:space="preserve">
TRUNC(IF($A$4&lt;=12,SUMIFS(#REF!,#REF!,$A$4,#REF!,1),SUMIFS(#REF!,#REF!,1)/#REF!),1)</f>
        <v>#REF!</v>
      </c>
      <c r="AF6" s="249" t="e">
        <f xml:space="preserve">
TRUNC(IF($A$4&lt;=12,SUMIFS(#REF!,#REF!,$A$4,#REF!,1),SUMIFS(#REF!,#REF!,1)/#REF!),1)</f>
        <v>#REF!</v>
      </c>
      <c r="AG6" s="249" t="e">
        <f xml:space="preserve">
TRUNC(IF($A$4&lt;=12,SUMIFS(#REF!,#REF!,$A$4,#REF!,1),SUMIFS(#REF!,#REF!,1)/#REF!),1)</f>
        <v>#REF!</v>
      </c>
      <c r="AH6" s="249" t="e">
        <f xml:space="preserve">
TRUNC(IF($A$4&lt;=12,SUMIFS(#REF!,#REF!,$A$4,#REF!,1),SUMIFS(#REF!,#REF!,1)/#REF!),1)</f>
        <v>#REF!</v>
      </c>
      <c r="AI6" s="249" t="e">
        <f xml:space="preserve">
TRUNC(IF($A$4&lt;=12,SUMIFS(#REF!,#REF!,$A$4,#REF!,1),SUMIFS(#REF!,#REF!,1)/#REF!),1)</f>
        <v>#REF!</v>
      </c>
      <c r="AJ6" s="249" t="e">
        <f xml:space="preserve">
TRUNC(IF($A$4&lt;=12,SUMIFS(#REF!,#REF!,$A$4,#REF!,1),SUMIFS(#REF!,#REF!,1)/#REF!),1)</f>
        <v>#REF!</v>
      </c>
      <c r="AK6" s="249" t="e">
        <f xml:space="preserve">
TRUNC(IF($A$4&lt;=12,SUMIFS(#REF!,#REF!,$A$4,#REF!,1),SUMIFS(#REF!,#REF!,1)/#REF!),1)</f>
        <v>#REF!</v>
      </c>
      <c r="AL6" s="249" t="e">
        <f xml:space="preserve">
TRUNC(IF($A$4&lt;=12,SUMIFS(#REF!,#REF!,$A$4,#REF!,1),SUMIFS(#REF!,#REF!,1)/#REF!),1)</f>
        <v>#REF!</v>
      </c>
      <c r="AM6" s="249" t="e">
        <f xml:space="preserve">
TRUNC(IF($A$4&lt;=12,SUMIFS(#REF!,#REF!,$A$4,#REF!,1),SUMIFS(#REF!,#REF!,1)/#REF!),1)</f>
        <v>#REF!</v>
      </c>
      <c r="AN6" s="249" t="e">
        <f xml:space="preserve">
TRUNC(IF($A$4&lt;=12,SUMIFS(#REF!,#REF!,$A$4,#REF!,1),SUMIFS(#REF!,#REF!,1)/#REF!),1)</f>
        <v>#REF!</v>
      </c>
      <c r="AO6" s="249" t="e">
        <f xml:space="preserve">
TRUNC(IF($A$4&lt;=12,SUMIFS(#REF!,#REF!,$A$4,#REF!,1),SUMIFS(#REF!,#REF!,1)/#REF!),1)</f>
        <v>#REF!</v>
      </c>
      <c r="AP6" s="249" t="e">
        <f xml:space="preserve">
TRUNC(IF($A$4&lt;=12,SUMIFS(#REF!,#REF!,$A$4,#REF!,1),SUMIFS(#REF!,#REF!,1)/#REF!),1)</f>
        <v>#REF!</v>
      </c>
      <c r="AQ6" s="249" t="e">
        <f xml:space="preserve">
TRUNC(IF($A$4&lt;=12,SUMIFS(#REF!,#REF!,$A$4,#REF!,1),SUMIFS(#REF!,#REF!,1)/#REF!),1)</f>
        <v>#REF!</v>
      </c>
      <c r="AR6" s="249" t="e">
        <f xml:space="preserve">
TRUNC(IF($A$4&lt;=12,SUMIFS(#REF!,#REF!,$A$4,#REF!,1),SUMIFS(#REF!,#REF!,1)/#REF!),1)</f>
        <v>#REF!</v>
      </c>
      <c r="AS6" s="250" t="e">
        <f xml:space="preserve">
TRUNC(IF($A$4&lt;=12,SUMIFS(#REF!,#REF!,$A$4,#REF!,1),SUMIFS(#REF!,#REF!,1)/#REF!),1)</f>
        <v>#REF!</v>
      </c>
      <c r="AT6" s="292"/>
    </row>
    <row r="7" spans="1:46" ht="15" hidden="1" outlineLevel="1" thickBot="1" x14ac:dyDescent="0.35">
      <c r="A7" s="207" t="s">
        <v>88</v>
      </c>
      <c r="B7" s="247"/>
      <c r="C7" s="251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51"/>
      <c r="AO7" s="249"/>
      <c r="AP7" s="249"/>
      <c r="AQ7" s="249"/>
      <c r="AR7" s="249"/>
      <c r="AS7" s="250"/>
      <c r="AT7" s="292"/>
    </row>
    <row r="8" spans="1:46" ht="15" hidden="1" outlineLevel="1" thickBot="1" x14ac:dyDescent="0.35">
      <c r="A8" s="207" t="s">
        <v>56</v>
      </c>
      <c r="B8" s="247"/>
      <c r="C8" s="251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51"/>
      <c r="AO8" s="249"/>
      <c r="AP8" s="249"/>
      <c r="AQ8" s="249"/>
      <c r="AR8" s="249"/>
      <c r="AS8" s="250"/>
      <c r="AT8" s="292"/>
    </row>
    <row r="9" spans="1:46" ht="15" hidden="1" outlineLevel="1" thickBot="1" x14ac:dyDescent="0.35">
      <c r="A9" s="208" t="s">
        <v>49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3"/>
      <c r="AO9" s="254"/>
      <c r="AP9" s="254"/>
      <c r="AQ9" s="254"/>
      <c r="AR9" s="254"/>
      <c r="AS9" s="255"/>
      <c r="AT9" s="292"/>
    </row>
    <row r="10" spans="1:46" x14ac:dyDescent="0.3">
      <c r="A10" s="209" t="s">
        <v>130</v>
      </c>
      <c r="B10" s="223"/>
      <c r="C10" s="224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80"/>
      <c r="AO10" s="225"/>
      <c r="AP10" s="225"/>
      <c r="AQ10" s="225"/>
      <c r="AR10" s="225"/>
      <c r="AS10" s="226"/>
      <c r="AT10" s="292"/>
    </row>
    <row r="11" spans="1:46" x14ac:dyDescent="0.3">
      <c r="A11" s="210" t="s">
        <v>131</v>
      </c>
      <c r="B11" s="227" t="e">
        <f xml:space="preserve">
IF($A$4&lt;=12,SUMIFS(#REF!,#REF!,$A$4,#REF!,2),SUMIFS(#REF!,#REF!,2))</f>
        <v>#REF!</v>
      </c>
      <c r="C11" s="228" t="e">
        <f xml:space="preserve">
IF($A$4&lt;=12,SUMIFS(#REF!,#REF!,$A$4,#REF!,2),SUMIFS(#REF!,#REF!,2))</f>
        <v>#REF!</v>
      </c>
      <c r="D11" s="229" t="e">
        <f xml:space="preserve">
IF($A$4&lt;=12,SUMIFS(#REF!,#REF!,$A$4,#REF!,2),SUMIFS(#REF!,#REF!,2))</f>
        <v>#REF!</v>
      </c>
      <c r="E11" s="229" t="e">
        <f xml:space="preserve">
IF($A$4&lt;=12,SUMIFS(#REF!,#REF!,$A$4,#REF!,2),SUMIFS(#REF!,#REF!,2))</f>
        <v>#REF!</v>
      </c>
      <c r="F11" s="229" t="e">
        <f xml:space="preserve">
IF($A$4&lt;=12,SUMIFS(#REF!,#REF!,$A$4,#REF!,2),SUMIFS(#REF!,#REF!,2))</f>
        <v>#REF!</v>
      </c>
      <c r="G11" s="229" t="e">
        <f xml:space="preserve">
IF($A$4&lt;=12,SUMIFS(#REF!,#REF!,$A$4,#REF!,2),SUMIFS(#REF!,#REF!,2))</f>
        <v>#REF!</v>
      </c>
      <c r="H11" s="229" t="e">
        <f xml:space="preserve">
IF($A$4&lt;=12,SUMIFS(#REF!,#REF!,$A$4,#REF!,2),SUMIFS(#REF!,#REF!,2))</f>
        <v>#REF!</v>
      </c>
      <c r="I11" s="229" t="e">
        <f xml:space="preserve">
IF($A$4&lt;=12,SUMIFS(#REF!,#REF!,$A$4,#REF!,2),SUMIFS(#REF!,#REF!,2))</f>
        <v>#REF!</v>
      </c>
      <c r="J11" s="229" t="e">
        <f xml:space="preserve">
IF($A$4&lt;=12,SUMIFS(#REF!,#REF!,$A$4,#REF!,2),SUMIFS(#REF!,#REF!,2))</f>
        <v>#REF!</v>
      </c>
      <c r="K11" s="229" t="e">
        <f xml:space="preserve">
IF($A$4&lt;=12,SUMIFS(#REF!,#REF!,$A$4,#REF!,2),SUMIFS(#REF!,#REF!,2))</f>
        <v>#REF!</v>
      </c>
      <c r="L11" s="229" t="e">
        <f xml:space="preserve">
IF($A$4&lt;=12,SUMIFS(#REF!,#REF!,$A$4,#REF!,2),SUMIFS(#REF!,#REF!,2))</f>
        <v>#REF!</v>
      </c>
      <c r="M11" s="229" t="e">
        <f xml:space="preserve">
IF($A$4&lt;=12,SUMIFS(#REF!,#REF!,$A$4,#REF!,2),SUMIFS(#REF!,#REF!,2))</f>
        <v>#REF!</v>
      </c>
      <c r="N11" s="229" t="e">
        <f xml:space="preserve">
IF($A$4&lt;=12,SUMIFS(#REF!,#REF!,$A$4,#REF!,2),SUMIFS(#REF!,#REF!,2))</f>
        <v>#REF!</v>
      </c>
      <c r="O11" s="229" t="e">
        <f xml:space="preserve">
IF($A$4&lt;=12,SUMIFS(#REF!,#REF!,$A$4,#REF!,2),SUMIFS(#REF!,#REF!,2))</f>
        <v>#REF!</v>
      </c>
      <c r="P11" s="229" t="e">
        <f xml:space="preserve">
IF($A$4&lt;=12,SUMIFS(#REF!,#REF!,$A$4,#REF!,2),SUMIFS(#REF!,#REF!,2))</f>
        <v>#REF!</v>
      </c>
      <c r="Q11" s="229" t="e">
        <f xml:space="preserve">
IF($A$4&lt;=12,SUMIFS(#REF!,#REF!,$A$4,#REF!,2),SUMIFS(#REF!,#REF!,2))</f>
        <v>#REF!</v>
      </c>
      <c r="R11" s="229" t="e">
        <f xml:space="preserve">
IF($A$4&lt;=12,SUMIFS(#REF!,#REF!,$A$4,#REF!,2),SUMIFS(#REF!,#REF!,2))</f>
        <v>#REF!</v>
      </c>
      <c r="S11" s="229" t="e">
        <f xml:space="preserve">
IF($A$4&lt;=12,SUMIFS(#REF!,#REF!,$A$4,#REF!,2),SUMIFS(#REF!,#REF!,2))</f>
        <v>#REF!</v>
      </c>
      <c r="T11" s="229" t="e">
        <f xml:space="preserve">
IF($A$4&lt;=12,SUMIFS(#REF!,#REF!,$A$4,#REF!,2),SUMIFS(#REF!,#REF!,2))</f>
        <v>#REF!</v>
      </c>
      <c r="U11" s="229" t="e">
        <f xml:space="preserve">
IF($A$4&lt;=12,SUMIFS(#REF!,#REF!,$A$4,#REF!,2),SUMIFS(#REF!,#REF!,2))</f>
        <v>#REF!</v>
      </c>
      <c r="V11" s="229" t="e">
        <f xml:space="preserve">
IF($A$4&lt;=12,SUMIFS(#REF!,#REF!,$A$4,#REF!,2),SUMIFS(#REF!,#REF!,2))</f>
        <v>#REF!</v>
      </c>
      <c r="W11" s="229" t="e">
        <f xml:space="preserve">
IF($A$4&lt;=12,SUMIFS(#REF!,#REF!,$A$4,#REF!,2),SUMIFS(#REF!,#REF!,2))</f>
        <v>#REF!</v>
      </c>
      <c r="X11" s="229" t="e">
        <f xml:space="preserve">
IF($A$4&lt;=12,SUMIFS(#REF!,#REF!,$A$4,#REF!,2),SUMIFS(#REF!,#REF!,2))</f>
        <v>#REF!</v>
      </c>
      <c r="Y11" s="229" t="e">
        <f xml:space="preserve">
IF($A$4&lt;=12,SUMIFS(#REF!,#REF!,$A$4,#REF!,2),SUMIFS(#REF!,#REF!,2))</f>
        <v>#REF!</v>
      </c>
      <c r="Z11" s="229" t="e">
        <f xml:space="preserve">
IF($A$4&lt;=12,SUMIFS(#REF!,#REF!,$A$4,#REF!,2),SUMIFS(#REF!,#REF!,2))</f>
        <v>#REF!</v>
      </c>
      <c r="AA11" s="229" t="e">
        <f xml:space="preserve">
IF($A$4&lt;=12,SUMIFS(#REF!,#REF!,$A$4,#REF!,2),SUMIFS(#REF!,#REF!,2))</f>
        <v>#REF!</v>
      </c>
      <c r="AB11" s="229" t="e">
        <f xml:space="preserve">
IF($A$4&lt;=12,SUMIFS(#REF!,#REF!,$A$4,#REF!,2),SUMIFS(#REF!,#REF!,2))</f>
        <v>#REF!</v>
      </c>
      <c r="AC11" s="229" t="e">
        <f xml:space="preserve">
IF($A$4&lt;=12,SUMIFS(#REF!,#REF!,$A$4,#REF!,2),SUMIFS(#REF!,#REF!,2))</f>
        <v>#REF!</v>
      </c>
      <c r="AD11" s="229" t="e">
        <f xml:space="preserve">
IF($A$4&lt;=12,SUMIFS(#REF!,#REF!,$A$4,#REF!,2),SUMIFS(#REF!,#REF!,2))</f>
        <v>#REF!</v>
      </c>
      <c r="AE11" s="229" t="e">
        <f xml:space="preserve">
IF($A$4&lt;=12,SUMIFS(#REF!,#REF!,$A$4,#REF!,2),SUMIFS(#REF!,#REF!,2))</f>
        <v>#REF!</v>
      </c>
      <c r="AF11" s="229" t="e">
        <f xml:space="preserve">
IF($A$4&lt;=12,SUMIFS(#REF!,#REF!,$A$4,#REF!,2),SUMIFS(#REF!,#REF!,2))</f>
        <v>#REF!</v>
      </c>
      <c r="AG11" s="229" t="e">
        <f xml:space="preserve">
IF($A$4&lt;=12,SUMIFS(#REF!,#REF!,$A$4,#REF!,2),SUMIFS(#REF!,#REF!,2))</f>
        <v>#REF!</v>
      </c>
      <c r="AH11" s="229" t="e">
        <f xml:space="preserve">
IF($A$4&lt;=12,SUMIFS(#REF!,#REF!,$A$4,#REF!,2),SUMIFS(#REF!,#REF!,2))</f>
        <v>#REF!</v>
      </c>
      <c r="AI11" s="229" t="e">
        <f xml:space="preserve">
IF($A$4&lt;=12,SUMIFS(#REF!,#REF!,$A$4,#REF!,2),SUMIFS(#REF!,#REF!,2))</f>
        <v>#REF!</v>
      </c>
      <c r="AJ11" s="229" t="e">
        <f xml:space="preserve">
IF($A$4&lt;=12,SUMIFS(#REF!,#REF!,$A$4,#REF!,2),SUMIFS(#REF!,#REF!,2))</f>
        <v>#REF!</v>
      </c>
      <c r="AK11" s="229" t="e">
        <f xml:space="preserve">
IF($A$4&lt;=12,SUMIFS(#REF!,#REF!,$A$4,#REF!,2),SUMIFS(#REF!,#REF!,2))</f>
        <v>#REF!</v>
      </c>
      <c r="AL11" s="229" t="e">
        <f xml:space="preserve">
IF($A$4&lt;=12,SUMIFS(#REF!,#REF!,$A$4,#REF!,2),SUMIFS(#REF!,#REF!,2))</f>
        <v>#REF!</v>
      </c>
      <c r="AM11" s="229" t="e">
        <f xml:space="preserve">
IF($A$4&lt;=12,SUMIFS(#REF!,#REF!,$A$4,#REF!,2),SUMIFS(#REF!,#REF!,2))</f>
        <v>#REF!</v>
      </c>
      <c r="AN11" s="228" t="e">
        <f xml:space="preserve">
IF($A$4&lt;=12,SUMIFS(#REF!,#REF!,$A$4,#REF!,2),SUMIFS(#REF!,#REF!,2))</f>
        <v>#REF!</v>
      </c>
      <c r="AO11" s="229" t="e">
        <f xml:space="preserve">
IF($A$4&lt;=12,SUMIFS(#REF!,#REF!,$A$4,#REF!,2),SUMIFS(#REF!,#REF!,2))</f>
        <v>#REF!</v>
      </c>
      <c r="AP11" s="229" t="e">
        <f xml:space="preserve">
IF($A$4&lt;=12,SUMIFS(#REF!,#REF!,$A$4,#REF!,2),SUMIFS(#REF!,#REF!,2))</f>
        <v>#REF!</v>
      </c>
      <c r="AQ11" s="229" t="e">
        <f xml:space="preserve">
IF($A$4&lt;=12,SUMIFS(#REF!,#REF!,$A$4,#REF!,2),SUMIFS(#REF!,#REF!,2))</f>
        <v>#REF!</v>
      </c>
      <c r="AR11" s="229" t="e">
        <f xml:space="preserve">
IF($A$4&lt;=12,SUMIFS(#REF!,#REF!,$A$4,#REF!,2),SUMIFS(#REF!,#REF!,2))</f>
        <v>#REF!</v>
      </c>
      <c r="AS11" s="230" t="e">
        <f xml:space="preserve">
IF($A$4&lt;=12,SUMIFS(#REF!,#REF!,$A$4,#REF!,2),SUMIFS(#REF!,#REF!,2))</f>
        <v>#REF!</v>
      </c>
      <c r="AT11" s="292"/>
    </row>
    <row r="12" spans="1:46" x14ac:dyDescent="0.3">
      <c r="A12" s="210" t="s">
        <v>132</v>
      </c>
      <c r="B12" s="227" t="e">
        <f xml:space="preserve">
IF($A$4&lt;=12,SUMIFS(#REF!,#REF!,$A$4,#REF!,3),SUMIFS(#REF!,#REF!,3))</f>
        <v>#REF!</v>
      </c>
      <c r="C12" s="228" t="e">
        <f xml:space="preserve">
IF($A$4&lt;=12,SUMIFS(#REF!,#REF!,$A$4,#REF!,3),SUMIFS(#REF!,#REF!,3))</f>
        <v>#REF!</v>
      </c>
      <c r="D12" s="229" t="e">
        <f xml:space="preserve">
IF($A$4&lt;=12,SUMIFS(#REF!,#REF!,$A$4,#REF!,3),SUMIFS(#REF!,#REF!,3))</f>
        <v>#REF!</v>
      </c>
      <c r="E12" s="229" t="e">
        <f xml:space="preserve">
IF($A$4&lt;=12,SUMIFS(#REF!,#REF!,$A$4,#REF!,3),SUMIFS(#REF!,#REF!,3))</f>
        <v>#REF!</v>
      </c>
      <c r="F12" s="229" t="e">
        <f xml:space="preserve">
IF($A$4&lt;=12,SUMIFS(#REF!,#REF!,$A$4,#REF!,3),SUMIFS(#REF!,#REF!,3))</f>
        <v>#REF!</v>
      </c>
      <c r="G12" s="229" t="e">
        <f xml:space="preserve">
IF($A$4&lt;=12,SUMIFS(#REF!,#REF!,$A$4,#REF!,3),SUMIFS(#REF!,#REF!,3))</f>
        <v>#REF!</v>
      </c>
      <c r="H12" s="229" t="e">
        <f xml:space="preserve">
IF($A$4&lt;=12,SUMIFS(#REF!,#REF!,$A$4,#REF!,3),SUMIFS(#REF!,#REF!,3))</f>
        <v>#REF!</v>
      </c>
      <c r="I12" s="229" t="e">
        <f xml:space="preserve">
IF($A$4&lt;=12,SUMIFS(#REF!,#REF!,$A$4,#REF!,3),SUMIFS(#REF!,#REF!,3))</f>
        <v>#REF!</v>
      </c>
      <c r="J12" s="229" t="e">
        <f xml:space="preserve">
IF($A$4&lt;=12,SUMIFS(#REF!,#REF!,$A$4,#REF!,3),SUMIFS(#REF!,#REF!,3))</f>
        <v>#REF!</v>
      </c>
      <c r="K12" s="229" t="e">
        <f xml:space="preserve">
IF($A$4&lt;=12,SUMIFS(#REF!,#REF!,$A$4,#REF!,3),SUMIFS(#REF!,#REF!,3))</f>
        <v>#REF!</v>
      </c>
      <c r="L12" s="229" t="e">
        <f xml:space="preserve">
IF($A$4&lt;=12,SUMIFS(#REF!,#REF!,$A$4,#REF!,3),SUMIFS(#REF!,#REF!,3))</f>
        <v>#REF!</v>
      </c>
      <c r="M12" s="229" t="e">
        <f xml:space="preserve">
IF($A$4&lt;=12,SUMIFS(#REF!,#REF!,$A$4,#REF!,3),SUMIFS(#REF!,#REF!,3))</f>
        <v>#REF!</v>
      </c>
      <c r="N12" s="229" t="e">
        <f xml:space="preserve">
IF($A$4&lt;=12,SUMIFS(#REF!,#REF!,$A$4,#REF!,3),SUMIFS(#REF!,#REF!,3))</f>
        <v>#REF!</v>
      </c>
      <c r="O12" s="229" t="e">
        <f xml:space="preserve">
IF($A$4&lt;=12,SUMIFS(#REF!,#REF!,$A$4,#REF!,3),SUMIFS(#REF!,#REF!,3))</f>
        <v>#REF!</v>
      </c>
      <c r="P12" s="229" t="e">
        <f xml:space="preserve">
IF($A$4&lt;=12,SUMIFS(#REF!,#REF!,$A$4,#REF!,3),SUMIFS(#REF!,#REF!,3))</f>
        <v>#REF!</v>
      </c>
      <c r="Q12" s="229" t="e">
        <f xml:space="preserve">
IF($A$4&lt;=12,SUMIFS(#REF!,#REF!,$A$4,#REF!,3),SUMIFS(#REF!,#REF!,3))</f>
        <v>#REF!</v>
      </c>
      <c r="R12" s="229" t="e">
        <f xml:space="preserve">
IF($A$4&lt;=12,SUMIFS(#REF!,#REF!,$A$4,#REF!,3),SUMIFS(#REF!,#REF!,3))</f>
        <v>#REF!</v>
      </c>
      <c r="S12" s="229" t="e">
        <f xml:space="preserve">
IF($A$4&lt;=12,SUMIFS(#REF!,#REF!,$A$4,#REF!,3),SUMIFS(#REF!,#REF!,3))</f>
        <v>#REF!</v>
      </c>
      <c r="T12" s="229" t="e">
        <f xml:space="preserve">
IF($A$4&lt;=12,SUMIFS(#REF!,#REF!,$A$4,#REF!,3),SUMIFS(#REF!,#REF!,3))</f>
        <v>#REF!</v>
      </c>
      <c r="U12" s="229" t="e">
        <f xml:space="preserve">
IF($A$4&lt;=12,SUMIFS(#REF!,#REF!,$A$4,#REF!,3),SUMIFS(#REF!,#REF!,3))</f>
        <v>#REF!</v>
      </c>
      <c r="V12" s="229" t="e">
        <f xml:space="preserve">
IF($A$4&lt;=12,SUMIFS(#REF!,#REF!,$A$4,#REF!,3),SUMIFS(#REF!,#REF!,3))</f>
        <v>#REF!</v>
      </c>
      <c r="W12" s="229" t="e">
        <f xml:space="preserve">
IF($A$4&lt;=12,SUMIFS(#REF!,#REF!,$A$4,#REF!,3),SUMIFS(#REF!,#REF!,3))</f>
        <v>#REF!</v>
      </c>
      <c r="X12" s="229" t="e">
        <f xml:space="preserve">
IF($A$4&lt;=12,SUMIFS(#REF!,#REF!,$A$4,#REF!,3),SUMIFS(#REF!,#REF!,3))</f>
        <v>#REF!</v>
      </c>
      <c r="Y12" s="229" t="e">
        <f xml:space="preserve">
IF($A$4&lt;=12,SUMIFS(#REF!,#REF!,$A$4,#REF!,3),SUMIFS(#REF!,#REF!,3))</f>
        <v>#REF!</v>
      </c>
      <c r="Z12" s="229" t="e">
        <f xml:space="preserve">
IF($A$4&lt;=12,SUMIFS(#REF!,#REF!,$A$4,#REF!,3),SUMIFS(#REF!,#REF!,3))</f>
        <v>#REF!</v>
      </c>
      <c r="AA12" s="229" t="e">
        <f xml:space="preserve">
IF($A$4&lt;=12,SUMIFS(#REF!,#REF!,$A$4,#REF!,3),SUMIFS(#REF!,#REF!,3))</f>
        <v>#REF!</v>
      </c>
      <c r="AB12" s="229" t="e">
        <f xml:space="preserve">
IF($A$4&lt;=12,SUMIFS(#REF!,#REF!,$A$4,#REF!,3),SUMIFS(#REF!,#REF!,3))</f>
        <v>#REF!</v>
      </c>
      <c r="AC12" s="229" t="e">
        <f xml:space="preserve">
IF($A$4&lt;=12,SUMIFS(#REF!,#REF!,$A$4,#REF!,3),SUMIFS(#REF!,#REF!,3))</f>
        <v>#REF!</v>
      </c>
      <c r="AD12" s="229" t="e">
        <f xml:space="preserve">
IF($A$4&lt;=12,SUMIFS(#REF!,#REF!,$A$4,#REF!,3),SUMIFS(#REF!,#REF!,3))</f>
        <v>#REF!</v>
      </c>
      <c r="AE12" s="229" t="e">
        <f xml:space="preserve">
IF($A$4&lt;=12,SUMIFS(#REF!,#REF!,$A$4,#REF!,3),SUMIFS(#REF!,#REF!,3))</f>
        <v>#REF!</v>
      </c>
      <c r="AF12" s="229" t="e">
        <f xml:space="preserve">
IF($A$4&lt;=12,SUMIFS(#REF!,#REF!,$A$4,#REF!,3),SUMIFS(#REF!,#REF!,3))</f>
        <v>#REF!</v>
      </c>
      <c r="AG12" s="229" t="e">
        <f xml:space="preserve">
IF($A$4&lt;=12,SUMIFS(#REF!,#REF!,$A$4,#REF!,3),SUMIFS(#REF!,#REF!,3))</f>
        <v>#REF!</v>
      </c>
      <c r="AH12" s="229" t="e">
        <f xml:space="preserve">
IF($A$4&lt;=12,SUMIFS(#REF!,#REF!,$A$4,#REF!,3),SUMIFS(#REF!,#REF!,3))</f>
        <v>#REF!</v>
      </c>
      <c r="AI12" s="229" t="e">
        <f xml:space="preserve">
IF($A$4&lt;=12,SUMIFS(#REF!,#REF!,$A$4,#REF!,3),SUMIFS(#REF!,#REF!,3))</f>
        <v>#REF!</v>
      </c>
      <c r="AJ12" s="229" t="e">
        <f xml:space="preserve">
IF($A$4&lt;=12,SUMIFS(#REF!,#REF!,$A$4,#REF!,3),SUMIFS(#REF!,#REF!,3))</f>
        <v>#REF!</v>
      </c>
      <c r="AK12" s="229" t="e">
        <f xml:space="preserve">
IF($A$4&lt;=12,SUMIFS(#REF!,#REF!,$A$4,#REF!,3),SUMIFS(#REF!,#REF!,3))</f>
        <v>#REF!</v>
      </c>
      <c r="AL12" s="229" t="e">
        <f xml:space="preserve">
IF($A$4&lt;=12,SUMIFS(#REF!,#REF!,$A$4,#REF!,3),SUMIFS(#REF!,#REF!,3))</f>
        <v>#REF!</v>
      </c>
      <c r="AM12" s="229" t="e">
        <f xml:space="preserve">
IF($A$4&lt;=12,SUMIFS(#REF!,#REF!,$A$4,#REF!,3),SUMIFS(#REF!,#REF!,3))</f>
        <v>#REF!</v>
      </c>
      <c r="AN12" s="228" t="e">
        <f xml:space="preserve">
IF($A$4&lt;=12,SUMIFS(#REF!,#REF!,$A$4,#REF!,3),SUMIFS(#REF!,#REF!,3))</f>
        <v>#REF!</v>
      </c>
      <c r="AO12" s="229" t="e">
        <f xml:space="preserve">
IF($A$4&lt;=12,SUMIFS(#REF!,#REF!,$A$4,#REF!,3),SUMIFS(#REF!,#REF!,3))</f>
        <v>#REF!</v>
      </c>
      <c r="AP12" s="229" t="e">
        <f xml:space="preserve">
IF($A$4&lt;=12,SUMIFS(#REF!,#REF!,$A$4,#REF!,3),SUMIFS(#REF!,#REF!,3))</f>
        <v>#REF!</v>
      </c>
      <c r="AQ12" s="229" t="e">
        <f xml:space="preserve">
IF($A$4&lt;=12,SUMIFS(#REF!,#REF!,$A$4,#REF!,3),SUMIFS(#REF!,#REF!,3))</f>
        <v>#REF!</v>
      </c>
      <c r="AR12" s="229" t="e">
        <f xml:space="preserve">
IF($A$4&lt;=12,SUMIFS(#REF!,#REF!,$A$4,#REF!,3),SUMIFS(#REF!,#REF!,3))</f>
        <v>#REF!</v>
      </c>
      <c r="AS12" s="230" t="e">
        <f xml:space="preserve">
IF($A$4&lt;=12,SUMIFS(#REF!,#REF!,$A$4,#REF!,3),SUMIFS(#REF!,#REF!,3))</f>
        <v>#REF!</v>
      </c>
      <c r="AT12" s="292"/>
    </row>
    <row r="13" spans="1:46" x14ac:dyDescent="0.3">
      <c r="A13" s="210" t="s">
        <v>139</v>
      </c>
      <c r="B13" s="227" t="e">
        <f xml:space="preserve">
IF($A$4&lt;=12,SUMIFS(#REF!,#REF!,$A$4,#REF!,4),SUMIFS(#REF!,#REF!,4))</f>
        <v>#REF!</v>
      </c>
      <c r="C13" s="228" t="e">
        <f xml:space="preserve">
IF($A$4&lt;=12,SUMIFS(#REF!,#REF!,$A$4,#REF!,4),SUMIFS(#REF!,#REF!,4))</f>
        <v>#REF!</v>
      </c>
      <c r="D13" s="229" t="e">
        <f xml:space="preserve">
IF($A$4&lt;=12,SUMIFS(#REF!,#REF!,$A$4,#REF!,4),SUMIFS(#REF!,#REF!,4))</f>
        <v>#REF!</v>
      </c>
      <c r="E13" s="229" t="e">
        <f xml:space="preserve">
IF($A$4&lt;=12,SUMIFS(#REF!,#REF!,$A$4,#REF!,4),SUMIFS(#REF!,#REF!,4))</f>
        <v>#REF!</v>
      </c>
      <c r="F13" s="229" t="e">
        <f xml:space="preserve">
IF($A$4&lt;=12,SUMIFS(#REF!,#REF!,$A$4,#REF!,4),SUMIFS(#REF!,#REF!,4))</f>
        <v>#REF!</v>
      </c>
      <c r="G13" s="229" t="e">
        <f xml:space="preserve">
IF($A$4&lt;=12,SUMIFS(#REF!,#REF!,$A$4,#REF!,4),SUMIFS(#REF!,#REF!,4))</f>
        <v>#REF!</v>
      </c>
      <c r="H13" s="229" t="e">
        <f xml:space="preserve">
IF($A$4&lt;=12,SUMIFS(#REF!,#REF!,$A$4,#REF!,4),SUMIFS(#REF!,#REF!,4))</f>
        <v>#REF!</v>
      </c>
      <c r="I13" s="229" t="e">
        <f xml:space="preserve">
IF($A$4&lt;=12,SUMIFS(#REF!,#REF!,$A$4,#REF!,4),SUMIFS(#REF!,#REF!,4))</f>
        <v>#REF!</v>
      </c>
      <c r="J13" s="229" t="e">
        <f xml:space="preserve">
IF($A$4&lt;=12,SUMIFS(#REF!,#REF!,$A$4,#REF!,4),SUMIFS(#REF!,#REF!,4))</f>
        <v>#REF!</v>
      </c>
      <c r="K13" s="229" t="e">
        <f xml:space="preserve">
IF($A$4&lt;=12,SUMIFS(#REF!,#REF!,$A$4,#REF!,4),SUMIFS(#REF!,#REF!,4))</f>
        <v>#REF!</v>
      </c>
      <c r="L13" s="229" t="e">
        <f xml:space="preserve">
IF($A$4&lt;=12,SUMIFS(#REF!,#REF!,$A$4,#REF!,4),SUMIFS(#REF!,#REF!,4))</f>
        <v>#REF!</v>
      </c>
      <c r="M13" s="229" t="e">
        <f xml:space="preserve">
IF($A$4&lt;=12,SUMIFS(#REF!,#REF!,$A$4,#REF!,4),SUMIFS(#REF!,#REF!,4))</f>
        <v>#REF!</v>
      </c>
      <c r="N13" s="229" t="e">
        <f xml:space="preserve">
IF($A$4&lt;=12,SUMIFS(#REF!,#REF!,$A$4,#REF!,4),SUMIFS(#REF!,#REF!,4))</f>
        <v>#REF!</v>
      </c>
      <c r="O13" s="229" t="e">
        <f xml:space="preserve">
IF($A$4&lt;=12,SUMIFS(#REF!,#REF!,$A$4,#REF!,4),SUMIFS(#REF!,#REF!,4))</f>
        <v>#REF!</v>
      </c>
      <c r="P13" s="229" t="e">
        <f xml:space="preserve">
IF($A$4&lt;=12,SUMIFS(#REF!,#REF!,$A$4,#REF!,4),SUMIFS(#REF!,#REF!,4))</f>
        <v>#REF!</v>
      </c>
      <c r="Q13" s="229" t="e">
        <f xml:space="preserve">
IF($A$4&lt;=12,SUMIFS(#REF!,#REF!,$A$4,#REF!,4),SUMIFS(#REF!,#REF!,4))</f>
        <v>#REF!</v>
      </c>
      <c r="R13" s="229" t="e">
        <f xml:space="preserve">
IF($A$4&lt;=12,SUMIFS(#REF!,#REF!,$A$4,#REF!,4),SUMIFS(#REF!,#REF!,4))</f>
        <v>#REF!</v>
      </c>
      <c r="S13" s="229" t="e">
        <f xml:space="preserve">
IF($A$4&lt;=12,SUMIFS(#REF!,#REF!,$A$4,#REF!,4),SUMIFS(#REF!,#REF!,4))</f>
        <v>#REF!</v>
      </c>
      <c r="T13" s="229" t="e">
        <f xml:space="preserve">
IF($A$4&lt;=12,SUMIFS(#REF!,#REF!,$A$4,#REF!,4),SUMIFS(#REF!,#REF!,4))</f>
        <v>#REF!</v>
      </c>
      <c r="U13" s="229" t="e">
        <f xml:space="preserve">
IF($A$4&lt;=12,SUMIFS(#REF!,#REF!,$A$4,#REF!,4),SUMIFS(#REF!,#REF!,4))</f>
        <v>#REF!</v>
      </c>
      <c r="V13" s="229" t="e">
        <f xml:space="preserve">
IF($A$4&lt;=12,SUMIFS(#REF!,#REF!,$A$4,#REF!,4),SUMIFS(#REF!,#REF!,4))</f>
        <v>#REF!</v>
      </c>
      <c r="W13" s="229" t="e">
        <f xml:space="preserve">
IF($A$4&lt;=12,SUMIFS(#REF!,#REF!,$A$4,#REF!,4),SUMIFS(#REF!,#REF!,4))</f>
        <v>#REF!</v>
      </c>
      <c r="X13" s="229" t="e">
        <f xml:space="preserve">
IF($A$4&lt;=12,SUMIFS(#REF!,#REF!,$A$4,#REF!,4),SUMIFS(#REF!,#REF!,4))</f>
        <v>#REF!</v>
      </c>
      <c r="Y13" s="229" t="e">
        <f xml:space="preserve">
IF($A$4&lt;=12,SUMIFS(#REF!,#REF!,$A$4,#REF!,4),SUMIFS(#REF!,#REF!,4))</f>
        <v>#REF!</v>
      </c>
      <c r="Z13" s="229" t="e">
        <f xml:space="preserve">
IF($A$4&lt;=12,SUMIFS(#REF!,#REF!,$A$4,#REF!,4),SUMIFS(#REF!,#REF!,4))</f>
        <v>#REF!</v>
      </c>
      <c r="AA13" s="229" t="e">
        <f xml:space="preserve">
IF($A$4&lt;=12,SUMIFS(#REF!,#REF!,$A$4,#REF!,4),SUMIFS(#REF!,#REF!,4))</f>
        <v>#REF!</v>
      </c>
      <c r="AB13" s="229" t="e">
        <f xml:space="preserve">
IF($A$4&lt;=12,SUMIFS(#REF!,#REF!,$A$4,#REF!,4),SUMIFS(#REF!,#REF!,4))</f>
        <v>#REF!</v>
      </c>
      <c r="AC13" s="229" t="e">
        <f xml:space="preserve">
IF($A$4&lt;=12,SUMIFS(#REF!,#REF!,$A$4,#REF!,4),SUMIFS(#REF!,#REF!,4))</f>
        <v>#REF!</v>
      </c>
      <c r="AD13" s="229" t="e">
        <f xml:space="preserve">
IF($A$4&lt;=12,SUMIFS(#REF!,#REF!,$A$4,#REF!,4),SUMIFS(#REF!,#REF!,4))</f>
        <v>#REF!</v>
      </c>
      <c r="AE13" s="229" t="e">
        <f xml:space="preserve">
IF($A$4&lt;=12,SUMIFS(#REF!,#REF!,$A$4,#REF!,4),SUMIFS(#REF!,#REF!,4))</f>
        <v>#REF!</v>
      </c>
      <c r="AF13" s="229" t="e">
        <f xml:space="preserve">
IF($A$4&lt;=12,SUMIFS(#REF!,#REF!,$A$4,#REF!,4),SUMIFS(#REF!,#REF!,4))</f>
        <v>#REF!</v>
      </c>
      <c r="AG13" s="229" t="e">
        <f xml:space="preserve">
IF($A$4&lt;=12,SUMIFS(#REF!,#REF!,$A$4,#REF!,4),SUMIFS(#REF!,#REF!,4))</f>
        <v>#REF!</v>
      </c>
      <c r="AH13" s="229" t="e">
        <f xml:space="preserve">
IF($A$4&lt;=12,SUMIFS(#REF!,#REF!,$A$4,#REF!,4),SUMIFS(#REF!,#REF!,4))</f>
        <v>#REF!</v>
      </c>
      <c r="AI13" s="229" t="e">
        <f xml:space="preserve">
IF($A$4&lt;=12,SUMIFS(#REF!,#REF!,$A$4,#REF!,4),SUMIFS(#REF!,#REF!,4))</f>
        <v>#REF!</v>
      </c>
      <c r="AJ13" s="229" t="e">
        <f xml:space="preserve">
IF($A$4&lt;=12,SUMIFS(#REF!,#REF!,$A$4,#REF!,4),SUMIFS(#REF!,#REF!,4))</f>
        <v>#REF!</v>
      </c>
      <c r="AK13" s="229" t="e">
        <f xml:space="preserve">
IF($A$4&lt;=12,SUMIFS(#REF!,#REF!,$A$4,#REF!,4),SUMIFS(#REF!,#REF!,4))</f>
        <v>#REF!</v>
      </c>
      <c r="AL13" s="229" t="e">
        <f xml:space="preserve">
IF($A$4&lt;=12,SUMIFS(#REF!,#REF!,$A$4,#REF!,4),SUMIFS(#REF!,#REF!,4))</f>
        <v>#REF!</v>
      </c>
      <c r="AM13" s="229" t="e">
        <f xml:space="preserve">
IF($A$4&lt;=12,SUMIFS(#REF!,#REF!,$A$4,#REF!,4),SUMIFS(#REF!,#REF!,4))</f>
        <v>#REF!</v>
      </c>
      <c r="AN13" s="228" t="e">
        <f xml:space="preserve">
IF($A$4&lt;=12,SUMIFS(#REF!,#REF!,$A$4,#REF!,4),SUMIFS(#REF!,#REF!,4))</f>
        <v>#REF!</v>
      </c>
      <c r="AO13" s="229" t="e">
        <f xml:space="preserve">
IF($A$4&lt;=12,SUMIFS(#REF!,#REF!,$A$4,#REF!,4),SUMIFS(#REF!,#REF!,4))</f>
        <v>#REF!</v>
      </c>
      <c r="AP13" s="229" t="e">
        <f xml:space="preserve">
IF($A$4&lt;=12,SUMIFS(#REF!,#REF!,$A$4,#REF!,4),SUMIFS(#REF!,#REF!,4))</f>
        <v>#REF!</v>
      </c>
      <c r="AQ13" s="229" t="e">
        <f xml:space="preserve">
IF($A$4&lt;=12,SUMIFS(#REF!,#REF!,$A$4,#REF!,4),SUMIFS(#REF!,#REF!,4))</f>
        <v>#REF!</v>
      </c>
      <c r="AR13" s="229" t="e">
        <f xml:space="preserve">
IF($A$4&lt;=12,SUMIFS(#REF!,#REF!,$A$4,#REF!,4),SUMIFS(#REF!,#REF!,4))</f>
        <v>#REF!</v>
      </c>
      <c r="AS13" s="230" t="e">
        <f xml:space="preserve">
IF($A$4&lt;=12,SUMIFS(#REF!,#REF!,$A$4,#REF!,4),SUMIFS(#REF!,#REF!,4))</f>
        <v>#REF!</v>
      </c>
      <c r="AT13" s="292"/>
    </row>
    <row r="14" spans="1:46" ht="15" thickBot="1" x14ac:dyDescent="0.35">
      <c r="A14" s="211" t="s">
        <v>133</v>
      </c>
      <c r="B14" s="231" t="e">
        <f xml:space="preserve">
IF($A$4&lt;=12,SUMIFS(#REF!,#REF!,$A$4,#REF!,5),SUMIFS(#REF!,#REF!,5))</f>
        <v>#REF!</v>
      </c>
      <c r="C14" s="232" t="e">
        <f xml:space="preserve">
IF($A$4&lt;=12,SUMIFS(#REF!,#REF!,$A$4,#REF!,5),SUMIFS(#REF!,#REF!,5))</f>
        <v>#REF!</v>
      </c>
      <c r="D14" s="233" t="e">
        <f xml:space="preserve">
IF($A$4&lt;=12,SUMIFS(#REF!,#REF!,$A$4,#REF!,5),SUMIFS(#REF!,#REF!,5))</f>
        <v>#REF!</v>
      </c>
      <c r="E14" s="233" t="e">
        <f xml:space="preserve">
IF($A$4&lt;=12,SUMIFS(#REF!,#REF!,$A$4,#REF!,5),SUMIFS(#REF!,#REF!,5))</f>
        <v>#REF!</v>
      </c>
      <c r="F14" s="233" t="e">
        <f xml:space="preserve">
IF($A$4&lt;=12,SUMIFS(#REF!,#REF!,$A$4,#REF!,5),SUMIFS(#REF!,#REF!,5))</f>
        <v>#REF!</v>
      </c>
      <c r="G14" s="233" t="e">
        <f xml:space="preserve">
IF($A$4&lt;=12,SUMIFS(#REF!,#REF!,$A$4,#REF!,5),SUMIFS(#REF!,#REF!,5))</f>
        <v>#REF!</v>
      </c>
      <c r="H14" s="233" t="e">
        <f xml:space="preserve">
IF($A$4&lt;=12,SUMIFS(#REF!,#REF!,$A$4,#REF!,5),SUMIFS(#REF!,#REF!,5))</f>
        <v>#REF!</v>
      </c>
      <c r="I14" s="233" t="e">
        <f xml:space="preserve">
IF($A$4&lt;=12,SUMIFS(#REF!,#REF!,$A$4,#REF!,5),SUMIFS(#REF!,#REF!,5))</f>
        <v>#REF!</v>
      </c>
      <c r="J14" s="233" t="e">
        <f xml:space="preserve">
IF($A$4&lt;=12,SUMIFS(#REF!,#REF!,$A$4,#REF!,5),SUMIFS(#REF!,#REF!,5))</f>
        <v>#REF!</v>
      </c>
      <c r="K14" s="233" t="e">
        <f xml:space="preserve">
IF($A$4&lt;=12,SUMIFS(#REF!,#REF!,$A$4,#REF!,5),SUMIFS(#REF!,#REF!,5))</f>
        <v>#REF!</v>
      </c>
      <c r="L14" s="233" t="e">
        <f xml:space="preserve">
IF($A$4&lt;=12,SUMIFS(#REF!,#REF!,$A$4,#REF!,5),SUMIFS(#REF!,#REF!,5))</f>
        <v>#REF!</v>
      </c>
      <c r="M14" s="233" t="e">
        <f xml:space="preserve">
IF($A$4&lt;=12,SUMIFS(#REF!,#REF!,$A$4,#REF!,5),SUMIFS(#REF!,#REF!,5))</f>
        <v>#REF!</v>
      </c>
      <c r="N14" s="233" t="e">
        <f xml:space="preserve">
IF($A$4&lt;=12,SUMIFS(#REF!,#REF!,$A$4,#REF!,5),SUMIFS(#REF!,#REF!,5))</f>
        <v>#REF!</v>
      </c>
      <c r="O14" s="233" t="e">
        <f xml:space="preserve">
IF($A$4&lt;=12,SUMIFS(#REF!,#REF!,$A$4,#REF!,5),SUMIFS(#REF!,#REF!,5))</f>
        <v>#REF!</v>
      </c>
      <c r="P14" s="233" t="e">
        <f xml:space="preserve">
IF($A$4&lt;=12,SUMIFS(#REF!,#REF!,$A$4,#REF!,5),SUMIFS(#REF!,#REF!,5))</f>
        <v>#REF!</v>
      </c>
      <c r="Q14" s="233" t="e">
        <f xml:space="preserve">
IF($A$4&lt;=12,SUMIFS(#REF!,#REF!,$A$4,#REF!,5),SUMIFS(#REF!,#REF!,5))</f>
        <v>#REF!</v>
      </c>
      <c r="R14" s="233" t="e">
        <f xml:space="preserve">
IF($A$4&lt;=12,SUMIFS(#REF!,#REF!,$A$4,#REF!,5),SUMIFS(#REF!,#REF!,5))</f>
        <v>#REF!</v>
      </c>
      <c r="S14" s="233" t="e">
        <f xml:space="preserve">
IF($A$4&lt;=12,SUMIFS(#REF!,#REF!,$A$4,#REF!,5),SUMIFS(#REF!,#REF!,5))</f>
        <v>#REF!</v>
      </c>
      <c r="T14" s="233" t="e">
        <f xml:space="preserve">
IF($A$4&lt;=12,SUMIFS(#REF!,#REF!,$A$4,#REF!,5),SUMIFS(#REF!,#REF!,5))</f>
        <v>#REF!</v>
      </c>
      <c r="U14" s="233" t="e">
        <f xml:space="preserve">
IF($A$4&lt;=12,SUMIFS(#REF!,#REF!,$A$4,#REF!,5),SUMIFS(#REF!,#REF!,5))</f>
        <v>#REF!</v>
      </c>
      <c r="V14" s="233" t="e">
        <f xml:space="preserve">
IF($A$4&lt;=12,SUMIFS(#REF!,#REF!,$A$4,#REF!,5),SUMIFS(#REF!,#REF!,5))</f>
        <v>#REF!</v>
      </c>
      <c r="W14" s="233" t="e">
        <f xml:space="preserve">
IF($A$4&lt;=12,SUMIFS(#REF!,#REF!,$A$4,#REF!,5),SUMIFS(#REF!,#REF!,5))</f>
        <v>#REF!</v>
      </c>
      <c r="X14" s="233" t="e">
        <f xml:space="preserve">
IF($A$4&lt;=12,SUMIFS(#REF!,#REF!,$A$4,#REF!,5),SUMIFS(#REF!,#REF!,5))</f>
        <v>#REF!</v>
      </c>
      <c r="Y14" s="233" t="e">
        <f xml:space="preserve">
IF($A$4&lt;=12,SUMIFS(#REF!,#REF!,$A$4,#REF!,5),SUMIFS(#REF!,#REF!,5))</f>
        <v>#REF!</v>
      </c>
      <c r="Z14" s="233" t="e">
        <f xml:space="preserve">
IF($A$4&lt;=12,SUMIFS(#REF!,#REF!,$A$4,#REF!,5),SUMIFS(#REF!,#REF!,5))</f>
        <v>#REF!</v>
      </c>
      <c r="AA14" s="233" t="e">
        <f xml:space="preserve">
IF($A$4&lt;=12,SUMIFS(#REF!,#REF!,$A$4,#REF!,5),SUMIFS(#REF!,#REF!,5))</f>
        <v>#REF!</v>
      </c>
      <c r="AB14" s="233" t="e">
        <f xml:space="preserve">
IF($A$4&lt;=12,SUMIFS(#REF!,#REF!,$A$4,#REF!,5),SUMIFS(#REF!,#REF!,5))</f>
        <v>#REF!</v>
      </c>
      <c r="AC14" s="233" t="e">
        <f xml:space="preserve">
IF($A$4&lt;=12,SUMIFS(#REF!,#REF!,$A$4,#REF!,5),SUMIFS(#REF!,#REF!,5))</f>
        <v>#REF!</v>
      </c>
      <c r="AD14" s="233" t="e">
        <f xml:space="preserve">
IF($A$4&lt;=12,SUMIFS(#REF!,#REF!,$A$4,#REF!,5),SUMIFS(#REF!,#REF!,5))</f>
        <v>#REF!</v>
      </c>
      <c r="AE14" s="233" t="e">
        <f xml:space="preserve">
IF($A$4&lt;=12,SUMIFS(#REF!,#REF!,$A$4,#REF!,5),SUMIFS(#REF!,#REF!,5))</f>
        <v>#REF!</v>
      </c>
      <c r="AF14" s="233" t="e">
        <f xml:space="preserve">
IF($A$4&lt;=12,SUMIFS(#REF!,#REF!,$A$4,#REF!,5),SUMIFS(#REF!,#REF!,5))</f>
        <v>#REF!</v>
      </c>
      <c r="AG14" s="233" t="e">
        <f xml:space="preserve">
IF($A$4&lt;=12,SUMIFS(#REF!,#REF!,$A$4,#REF!,5),SUMIFS(#REF!,#REF!,5))</f>
        <v>#REF!</v>
      </c>
      <c r="AH14" s="233" t="e">
        <f xml:space="preserve">
IF($A$4&lt;=12,SUMIFS(#REF!,#REF!,$A$4,#REF!,5),SUMIFS(#REF!,#REF!,5))</f>
        <v>#REF!</v>
      </c>
      <c r="AI14" s="233" t="e">
        <f xml:space="preserve">
IF($A$4&lt;=12,SUMIFS(#REF!,#REF!,$A$4,#REF!,5),SUMIFS(#REF!,#REF!,5))</f>
        <v>#REF!</v>
      </c>
      <c r="AJ14" s="233" t="e">
        <f xml:space="preserve">
IF($A$4&lt;=12,SUMIFS(#REF!,#REF!,$A$4,#REF!,5),SUMIFS(#REF!,#REF!,5))</f>
        <v>#REF!</v>
      </c>
      <c r="AK14" s="233" t="e">
        <f xml:space="preserve">
IF($A$4&lt;=12,SUMIFS(#REF!,#REF!,$A$4,#REF!,5),SUMIFS(#REF!,#REF!,5))</f>
        <v>#REF!</v>
      </c>
      <c r="AL14" s="233" t="e">
        <f xml:space="preserve">
IF($A$4&lt;=12,SUMIFS(#REF!,#REF!,$A$4,#REF!,5),SUMIFS(#REF!,#REF!,5))</f>
        <v>#REF!</v>
      </c>
      <c r="AM14" s="233" t="e">
        <f xml:space="preserve">
IF($A$4&lt;=12,SUMIFS(#REF!,#REF!,$A$4,#REF!,5),SUMIFS(#REF!,#REF!,5))</f>
        <v>#REF!</v>
      </c>
      <c r="AN14" s="232" t="e">
        <f xml:space="preserve">
IF($A$4&lt;=12,SUMIFS(#REF!,#REF!,$A$4,#REF!,5),SUMIFS(#REF!,#REF!,5))</f>
        <v>#REF!</v>
      </c>
      <c r="AO14" s="233" t="e">
        <f xml:space="preserve">
IF($A$4&lt;=12,SUMIFS(#REF!,#REF!,$A$4,#REF!,5),SUMIFS(#REF!,#REF!,5))</f>
        <v>#REF!</v>
      </c>
      <c r="AP14" s="233" t="e">
        <f xml:space="preserve">
IF($A$4&lt;=12,SUMIFS(#REF!,#REF!,$A$4,#REF!,5),SUMIFS(#REF!,#REF!,5))</f>
        <v>#REF!</v>
      </c>
      <c r="AQ14" s="233" t="e">
        <f xml:space="preserve">
IF($A$4&lt;=12,SUMIFS(#REF!,#REF!,$A$4,#REF!,5),SUMIFS(#REF!,#REF!,5))</f>
        <v>#REF!</v>
      </c>
      <c r="AR14" s="233" t="e">
        <f xml:space="preserve">
IF($A$4&lt;=12,SUMIFS(#REF!,#REF!,$A$4,#REF!,5),SUMIFS(#REF!,#REF!,5))</f>
        <v>#REF!</v>
      </c>
      <c r="AS14" s="234" t="e">
        <f xml:space="preserve">
IF($A$4&lt;=12,SUMIFS(#REF!,#REF!,$A$4,#REF!,5),SUMIFS(#REF!,#REF!,5))</f>
        <v>#REF!</v>
      </c>
      <c r="AT14" s="292"/>
    </row>
    <row r="15" spans="1:46" x14ac:dyDescent="0.3">
      <c r="A15" s="135" t="s">
        <v>143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81"/>
      <c r="AO15" s="237"/>
      <c r="AP15" s="237"/>
      <c r="AQ15" s="237"/>
      <c r="AR15" s="237"/>
      <c r="AS15" s="238"/>
      <c r="AT15" s="292"/>
    </row>
    <row r="16" spans="1:46" x14ac:dyDescent="0.3">
      <c r="A16" s="212" t="s">
        <v>134</v>
      </c>
      <c r="B16" s="227" t="e">
        <f xml:space="preserve">
IF($A$4&lt;=12,SUMIFS(#REF!,#REF!,$A$4,#REF!,7),SUMIFS(#REF!,#REF!,7))</f>
        <v>#REF!</v>
      </c>
      <c r="C16" s="228" t="e">
        <f xml:space="preserve">
IF($A$4&lt;=12,SUMIFS(#REF!,#REF!,$A$4,#REF!,7),SUMIFS(#REF!,#REF!,7))</f>
        <v>#REF!</v>
      </c>
      <c r="D16" s="229" t="e">
        <f xml:space="preserve">
IF($A$4&lt;=12,SUMIFS(#REF!,#REF!,$A$4,#REF!,7),SUMIFS(#REF!,#REF!,7))</f>
        <v>#REF!</v>
      </c>
      <c r="E16" s="229" t="e">
        <f xml:space="preserve">
IF($A$4&lt;=12,SUMIFS(#REF!,#REF!,$A$4,#REF!,7),SUMIFS(#REF!,#REF!,7))</f>
        <v>#REF!</v>
      </c>
      <c r="F16" s="229" t="e">
        <f xml:space="preserve">
IF($A$4&lt;=12,SUMIFS(#REF!,#REF!,$A$4,#REF!,7),SUMIFS(#REF!,#REF!,7))</f>
        <v>#REF!</v>
      </c>
      <c r="G16" s="229" t="e">
        <f xml:space="preserve">
IF($A$4&lt;=12,SUMIFS(#REF!,#REF!,$A$4,#REF!,7),SUMIFS(#REF!,#REF!,7))</f>
        <v>#REF!</v>
      </c>
      <c r="H16" s="229" t="e">
        <f xml:space="preserve">
IF($A$4&lt;=12,SUMIFS(#REF!,#REF!,$A$4,#REF!,7),SUMIFS(#REF!,#REF!,7))</f>
        <v>#REF!</v>
      </c>
      <c r="I16" s="229" t="e">
        <f xml:space="preserve">
IF($A$4&lt;=12,SUMIFS(#REF!,#REF!,$A$4,#REF!,7),SUMIFS(#REF!,#REF!,7))</f>
        <v>#REF!</v>
      </c>
      <c r="J16" s="229" t="e">
        <f xml:space="preserve">
IF($A$4&lt;=12,SUMIFS(#REF!,#REF!,$A$4,#REF!,7),SUMIFS(#REF!,#REF!,7))</f>
        <v>#REF!</v>
      </c>
      <c r="K16" s="229" t="e">
        <f xml:space="preserve">
IF($A$4&lt;=12,SUMIFS(#REF!,#REF!,$A$4,#REF!,7),SUMIFS(#REF!,#REF!,7))</f>
        <v>#REF!</v>
      </c>
      <c r="L16" s="229" t="e">
        <f xml:space="preserve">
IF($A$4&lt;=12,SUMIFS(#REF!,#REF!,$A$4,#REF!,7),SUMIFS(#REF!,#REF!,7))</f>
        <v>#REF!</v>
      </c>
      <c r="M16" s="229" t="e">
        <f xml:space="preserve">
IF($A$4&lt;=12,SUMIFS(#REF!,#REF!,$A$4,#REF!,7),SUMIFS(#REF!,#REF!,7))</f>
        <v>#REF!</v>
      </c>
      <c r="N16" s="229" t="e">
        <f xml:space="preserve">
IF($A$4&lt;=12,SUMIFS(#REF!,#REF!,$A$4,#REF!,7),SUMIFS(#REF!,#REF!,7))</f>
        <v>#REF!</v>
      </c>
      <c r="O16" s="229" t="e">
        <f xml:space="preserve">
IF($A$4&lt;=12,SUMIFS(#REF!,#REF!,$A$4,#REF!,7),SUMIFS(#REF!,#REF!,7))</f>
        <v>#REF!</v>
      </c>
      <c r="P16" s="229" t="e">
        <f xml:space="preserve">
IF($A$4&lt;=12,SUMIFS(#REF!,#REF!,$A$4,#REF!,7),SUMIFS(#REF!,#REF!,7))</f>
        <v>#REF!</v>
      </c>
      <c r="Q16" s="229" t="e">
        <f xml:space="preserve">
IF($A$4&lt;=12,SUMIFS(#REF!,#REF!,$A$4,#REF!,7),SUMIFS(#REF!,#REF!,7))</f>
        <v>#REF!</v>
      </c>
      <c r="R16" s="229" t="e">
        <f xml:space="preserve">
IF($A$4&lt;=12,SUMIFS(#REF!,#REF!,$A$4,#REF!,7),SUMIFS(#REF!,#REF!,7))</f>
        <v>#REF!</v>
      </c>
      <c r="S16" s="229" t="e">
        <f xml:space="preserve">
IF($A$4&lt;=12,SUMIFS(#REF!,#REF!,$A$4,#REF!,7),SUMIFS(#REF!,#REF!,7))</f>
        <v>#REF!</v>
      </c>
      <c r="T16" s="229" t="e">
        <f xml:space="preserve">
IF($A$4&lt;=12,SUMIFS(#REF!,#REF!,$A$4,#REF!,7),SUMIFS(#REF!,#REF!,7))</f>
        <v>#REF!</v>
      </c>
      <c r="U16" s="229" t="e">
        <f xml:space="preserve">
IF($A$4&lt;=12,SUMIFS(#REF!,#REF!,$A$4,#REF!,7),SUMIFS(#REF!,#REF!,7))</f>
        <v>#REF!</v>
      </c>
      <c r="V16" s="229" t="e">
        <f xml:space="preserve">
IF($A$4&lt;=12,SUMIFS(#REF!,#REF!,$A$4,#REF!,7),SUMIFS(#REF!,#REF!,7))</f>
        <v>#REF!</v>
      </c>
      <c r="W16" s="229" t="e">
        <f xml:space="preserve">
IF($A$4&lt;=12,SUMIFS(#REF!,#REF!,$A$4,#REF!,7),SUMIFS(#REF!,#REF!,7))</f>
        <v>#REF!</v>
      </c>
      <c r="X16" s="229" t="e">
        <f xml:space="preserve">
IF($A$4&lt;=12,SUMIFS(#REF!,#REF!,$A$4,#REF!,7),SUMIFS(#REF!,#REF!,7))</f>
        <v>#REF!</v>
      </c>
      <c r="Y16" s="229" t="e">
        <f xml:space="preserve">
IF($A$4&lt;=12,SUMIFS(#REF!,#REF!,$A$4,#REF!,7),SUMIFS(#REF!,#REF!,7))</f>
        <v>#REF!</v>
      </c>
      <c r="Z16" s="229" t="e">
        <f xml:space="preserve">
IF($A$4&lt;=12,SUMIFS(#REF!,#REF!,$A$4,#REF!,7),SUMIFS(#REF!,#REF!,7))</f>
        <v>#REF!</v>
      </c>
      <c r="AA16" s="229" t="e">
        <f xml:space="preserve">
IF($A$4&lt;=12,SUMIFS(#REF!,#REF!,$A$4,#REF!,7),SUMIFS(#REF!,#REF!,7))</f>
        <v>#REF!</v>
      </c>
      <c r="AB16" s="229" t="e">
        <f xml:space="preserve">
IF($A$4&lt;=12,SUMIFS(#REF!,#REF!,$A$4,#REF!,7),SUMIFS(#REF!,#REF!,7))</f>
        <v>#REF!</v>
      </c>
      <c r="AC16" s="229" t="e">
        <f xml:space="preserve">
IF($A$4&lt;=12,SUMIFS(#REF!,#REF!,$A$4,#REF!,7),SUMIFS(#REF!,#REF!,7))</f>
        <v>#REF!</v>
      </c>
      <c r="AD16" s="229" t="e">
        <f xml:space="preserve">
IF($A$4&lt;=12,SUMIFS(#REF!,#REF!,$A$4,#REF!,7),SUMIFS(#REF!,#REF!,7))</f>
        <v>#REF!</v>
      </c>
      <c r="AE16" s="229" t="e">
        <f xml:space="preserve">
IF($A$4&lt;=12,SUMIFS(#REF!,#REF!,$A$4,#REF!,7),SUMIFS(#REF!,#REF!,7))</f>
        <v>#REF!</v>
      </c>
      <c r="AF16" s="229" t="e">
        <f xml:space="preserve">
IF($A$4&lt;=12,SUMIFS(#REF!,#REF!,$A$4,#REF!,7),SUMIFS(#REF!,#REF!,7))</f>
        <v>#REF!</v>
      </c>
      <c r="AG16" s="229" t="e">
        <f xml:space="preserve">
IF($A$4&lt;=12,SUMIFS(#REF!,#REF!,$A$4,#REF!,7),SUMIFS(#REF!,#REF!,7))</f>
        <v>#REF!</v>
      </c>
      <c r="AH16" s="229" t="e">
        <f xml:space="preserve">
IF($A$4&lt;=12,SUMIFS(#REF!,#REF!,$A$4,#REF!,7),SUMIFS(#REF!,#REF!,7))</f>
        <v>#REF!</v>
      </c>
      <c r="AI16" s="229" t="e">
        <f xml:space="preserve">
IF($A$4&lt;=12,SUMIFS(#REF!,#REF!,$A$4,#REF!,7),SUMIFS(#REF!,#REF!,7))</f>
        <v>#REF!</v>
      </c>
      <c r="AJ16" s="229" t="e">
        <f xml:space="preserve">
IF($A$4&lt;=12,SUMIFS(#REF!,#REF!,$A$4,#REF!,7),SUMIFS(#REF!,#REF!,7))</f>
        <v>#REF!</v>
      </c>
      <c r="AK16" s="229" t="e">
        <f xml:space="preserve">
IF($A$4&lt;=12,SUMIFS(#REF!,#REF!,$A$4,#REF!,7),SUMIFS(#REF!,#REF!,7))</f>
        <v>#REF!</v>
      </c>
      <c r="AL16" s="229" t="e">
        <f xml:space="preserve">
IF($A$4&lt;=12,SUMIFS(#REF!,#REF!,$A$4,#REF!,7),SUMIFS(#REF!,#REF!,7))</f>
        <v>#REF!</v>
      </c>
      <c r="AM16" s="229" t="e">
        <f xml:space="preserve">
IF($A$4&lt;=12,SUMIFS(#REF!,#REF!,$A$4,#REF!,7),SUMIFS(#REF!,#REF!,7))</f>
        <v>#REF!</v>
      </c>
      <c r="AN16" s="228" t="e">
        <f xml:space="preserve">
IF($A$4&lt;=12,SUMIFS(#REF!,#REF!,$A$4,#REF!,7),SUMIFS(#REF!,#REF!,7))</f>
        <v>#REF!</v>
      </c>
      <c r="AO16" s="229" t="e">
        <f xml:space="preserve">
IF($A$4&lt;=12,SUMIFS(#REF!,#REF!,$A$4,#REF!,7),SUMIFS(#REF!,#REF!,7))</f>
        <v>#REF!</v>
      </c>
      <c r="AP16" s="229" t="e">
        <f xml:space="preserve">
IF($A$4&lt;=12,SUMIFS(#REF!,#REF!,$A$4,#REF!,7),SUMIFS(#REF!,#REF!,7))</f>
        <v>#REF!</v>
      </c>
      <c r="AQ16" s="229" t="e">
        <f xml:space="preserve">
IF($A$4&lt;=12,SUMIFS(#REF!,#REF!,$A$4,#REF!,7),SUMIFS(#REF!,#REF!,7))</f>
        <v>#REF!</v>
      </c>
      <c r="AR16" s="229" t="e">
        <f xml:space="preserve">
IF($A$4&lt;=12,SUMIFS(#REF!,#REF!,$A$4,#REF!,7),SUMIFS(#REF!,#REF!,7))</f>
        <v>#REF!</v>
      </c>
      <c r="AS16" s="230" t="e">
        <f xml:space="preserve">
IF($A$4&lt;=12,SUMIFS(#REF!,#REF!,$A$4,#REF!,7),SUMIFS(#REF!,#REF!,7))</f>
        <v>#REF!</v>
      </c>
      <c r="AT16" s="292"/>
    </row>
    <row r="17" spans="1:46" x14ac:dyDescent="0.3">
      <c r="A17" s="212" t="s">
        <v>135</v>
      </c>
      <c r="B17" s="227" t="e">
        <f xml:space="preserve">
IF($A$4&lt;=12,SUMIFS(#REF!,#REF!,$A$4,#REF!,8),SUMIFS(#REF!,#REF!,8))</f>
        <v>#REF!</v>
      </c>
      <c r="C17" s="228" t="e">
        <f xml:space="preserve">
IF($A$4&lt;=12,SUMIFS(#REF!,#REF!,$A$4,#REF!,8),SUMIFS(#REF!,#REF!,8))</f>
        <v>#REF!</v>
      </c>
      <c r="D17" s="229" t="e">
        <f xml:space="preserve">
IF($A$4&lt;=12,SUMIFS(#REF!,#REF!,$A$4,#REF!,8),SUMIFS(#REF!,#REF!,8))</f>
        <v>#REF!</v>
      </c>
      <c r="E17" s="229" t="e">
        <f xml:space="preserve">
IF($A$4&lt;=12,SUMIFS(#REF!,#REF!,$A$4,#REF!,8),SUMIFS(#REF!,#REF!,8))</f>
        <v>#REF!</v>
      </c>
      <c r="F17" s="229" t="e">
        <f xml:space="preserve">
IF($A$4&lt;=12,SUMIFS(#REF!,#REF!,$A$4,#REF!,8),SUMIFS(#REF!,#REF!,8))</f>
        <v>#REF!</v>
      </c>
      <c r="G17" s="229" t="e">
        <f xml:space="preserve">
IF($A$4&lt;=12,SUMIFS(#REF!,#REF!,$A$4,#REF!,8),SUMIFS(#REF!,#REF!,8))</f>
        <v>#REF!</v>
      </c>
      <c r="H17" s="229" t="e">
        <f xml:space="preserve">
IF($A$4&lt;=12,SUMIFS(#REF!,#REF!,$A$4,#REF!,8),SUMIFS(#REF!,#REF!,8))</f>
        <v>#REF!</v>
      </c>
      <c r="I17" s="229" t="e">
        <f xml:space="preserve">
IF($A$4&lt;=12,SUMIFS(#REF!,#REF!,$A$4,#REF!,8),SUMIFS(#REF!,#REF!,8))</f>
        <v>#REF!</v>
      </c>
      <c r="J17" s="229" t="e">
        <f xml:space="preserve">
IF($A$4&lt;=12,SUMIFS(#REF!,#REF!,$A$4,#REF!,8),SUMIFS(#REF!,#REF!,8))</f>
        <v>#REF!</v>
      </c>
      <c r="K17" s="229" t="e">
        <f xml:space="preserve">
IF($A$4&lt;=12,SUMIFS(#REF!,#REF!,$A$4,#REF!,8),SUMIFS(#REF!,#REF!,8))</f>
        <v>#REF!</v>
      </c>
      <c r="L17" s="229" t="e">
        <f xml:space="preserve">
IF($A$4&lt;=12,SUMIFS(#REF!,#REF!,$A$4,#REF!,8),SUMIFS(#REF!,#REF!,8))</f>
        <v>#REF!</v>
      </c>
      <c r="M17" s="229" t="e">
        <f xml:space="preserve">
IF($A$4&lt;=12,SUMIFS(#REF!,#REF!,$A$4,#REF!,8),SUMIFS(#REF!,#REF!,8))</f>
        <v>#REF!</v>
      </c>
      <c r="N17" s="229" t="e">
        <f xml:space="preserve">
IF($A$4&lt;=12,SUMIFS(#REF!,#REF!,$A$4,#REF!,8),SUMIFS(#REF!,#REF!,8))</f>
        <v>#REF!</v>
      </c>
      <c r="O17" s="229" t="e">
        <f xml:space="preserve">
IF($A$4&lt;=12,SUMIFS(#REF!,#REF!,$A$4,#REF!,8),SUMIFS(#REF!,#REF!,8))</f>
        <v>#REF!</v>
      </c>
      <c r="P17" s="229" t="e">
        <f xml:space="preserve">
IF($A$4&lt;=12,SUMIFS(#REF!,#REF!,$A$4,#REF!,8),SUMIFS(#REF!,#REF!,8))</f>
        <v>#REF!</v>
      </c>
      <c r="Q17" s="229" t="e">
        <f xml:space="preserve">
IF($A$4&lt;=12,SUMIFS(#REF!,#REF!,$A$4,#REF!,8),SUMIFS(#REF!,#REF!,8))</f>
        <v>#REF!</v>
      </c>
      <c r="R17" s="229" t="e">
        <f xml:space="preserve">
IF($A$4&lt;=12,SUMIFS(#REF!,#REF!,$A$4,#REF!,8),SUMIFS(#REF!,#REF!,8))</f>
        <v>#REF!</v>
      </c>
      <c r="S17" s="229" t="e">
        <f xml:space="preserve">
IF($A$4&lt;=12,SUMIFS(#REF!,#REF!,$A$4,#REF!,8),SUMIFS(#REF!,#REF!,8))</f>
        <v>#REF!</v>
      </c>
      <c r="T17" s="229" t="e">
        <f xml:space="preserve">
IF($A$4&lt;=12,SUMIFS(#REF!,#REF!,$A$4,#REF!,8),SUMIFS(#REF!,#REF!,8))</f>
        <v>#REF!</v>
      </c>
      <c r="U17" s="229" t="e">
        <f xml:space="preserve">
IF($A$4&lt;=12,SUMIFS(#REF!,#REF!,$A$4,#REF!,8),SUMIFS(#REF!,#REF!,8))</f>
        <v>#REF!</v>
      </c>
      <c r="V17" s="229" t="e">
        <f xml:space="preserve">
IF($A$4&lt;=12,SUMIFS(#REF!,#REF!,$A$4,#REF!,8),SUMIFS(#REF!,#REF!,8))</f>
        <v>#REF!</v>
      </c>
      <c r="W17" s="229" t="e">
        <f xml:space="preserve">
IF($A$4&lt;=12,SUMIFS(#REF!,#REF!,$A$4,#REF!,8),SUMIFS(#REF!,#REF!,8))</f>
        <v>#REF!</v>
      </c>
      <c r="X17" s="229" t="e">
        <f xml:space="preserve">
IF($A$4&lt;=12,SUMIFS(#REF!,#REF!,$A$4,#REF!,8),SUMIFS(#REF!,#REF!,8))</f>
        <v>#REF!</v>
      </c>
      <c r="Y17" s="229" t="e">
        <f xml:space="preserve">
IF($A$4&lt;=12,SUMIFS(#REF!,#REF!,$A$4,#REF!,8),SUMIFS(#REF!,#REF!,8))</f>
        <v>#REF!</v>
      </c>
      <c r="Z17" s="229" t="e">
        <f xml:space="preserve">
IF($A$4&lt;=12,SUMIFS(#REF!,#REF!,$A$4,#REF!,8),SUMIFS(#REF!,#REF!,8))</f>
        <v>#REF!</v>
      </c>
      <c r="AA17" s="229" t="e">
        <f xml:space="preserve">
IF($A$4&lt;=12,SUMIFS(#REF!,#REF!,$A$4,#REF!,8),SUMIFS(#REF!,#REF!,8))</f>
        <v>#REF!</v>
      </c>
      <c r="AB17" s="229" t="e">
        <f xml:space="preserve">
IF($A$4&lt;=12,SUMIFS(#REF!,#REF!,$A$4,#REF!,8),SUMIFS(#REF!,#REF!,8))</f>
        <v>#REF!</v>
      </c>
      <c r="AC17" s="229" t="e">
        <f xml:space="preserve">
IF($A$4&lt;=12,SUMIFS(#REF!,#REF!,$A$4,#REF!,8),SUMIFS(#REF!,#REF!,8))</f>
        <v>#REF!</v>
      </c>
      <c r="AD17" s="229" t="e">
        <f xml:space="preserve">
IF($A$4&lt;=12,SUMIFS(#REF!,#REF!,$A$4,#REF!,8),SUMIFS(#REF!,#REF!,8))</f>
        <v>#REF!</v>
      </c>
      <c r="AE17" s="229" t="e">
        <f xml:space="preserve">
IF($A$4&lt;=12,SUMIFS(#REF!,#REF!,$A$4,#REF!,8),SUMIFS(#REF!,#REF!,8))</f>
        <v>#REF!</v>
      </c>
      <c r="AF17" s="229" t="e">
        <f xml:space="preserve">
IF($A$4&lt;=12,SUMIFS(#REF!,#REF!,$A$4,#REF!,8),SUMIFS(#REF!,#REF!,8))</f>
        <v>#REF!</v>
      </c>
      <c r="AG17" s="229" t="e">
        <f xml:space="preserve">
IF($A$4&lt;=12,SUMIFS(#REF!,#REF!,$A$4,#REF!,8),SUMIFS(#REF!,#REF!,8))</f>
        <v>#REF!</v>
      </c>
      <c r="AH17" s="229" t="e">
        <f xml:space="preserve">
IF($A$4&lt;=12,SUMIFS(#REF!,#REF!,$A$4,#REF!,8),SUMIFS(#REF!,#REF!,8))</f>
        <v>#REF!</v>
      </c>
      <c r="AI17" s="229" t="e">
        <f xml:space="preserve">
IF($A$4&lt;=12,SUMIFS(#REF!,#REF!,$A$4,#REF!,8),SUMIFS(#REF!,#REF!,8))</f>
        <v>#REF!</v>
      </c>
      <c r="AJ17" s="229" t="e">
        <f xml:space="preserve">
IF($A$4&lt;=12,SUMIFS(#REF!,#REF!,$A$4,#REF!,8),SUMIFS(#REF!,#REF!,8))</f>
        <v>#REF!</v>
      </c>
      <c r="AK17" s="229" t="e">
        <f xml:space="preserve">
IF($A$4&lt;=12,SUMIFS(#REF!,#REF!,$A$4,#REF!,8),SUMIFS(#REF!,#REF!,8))</f>
        <v>#REF!</v>
      </c>
      <c r="AL17" s="229" t="e">
        <f xml:space="preserve">
IF($A$4&lt;=12,SUMIFS(#REF!,#REF!,$A$4,#REF!,8),SUMIFS(#REF!,#REF!,8))</f>
        <v>#REF!</v>
      </c>
      <c r="AM17" s="229" t="e">
        <f xml:space="preserve">
IF($A$4&lt;=12,SUMIFS(#REF!,#REF!,$A$4,#REF!,8),SUMIFS(#REF!,#REF!,8))</f>
        <v>#REF!</v>
      </c>
      <c r="AN17" s="228" t="e">
        <f xml:space="preserve">
IF($A$4&lt;=12,SUMIFS(#REF!,#REF!,$A$4,#REF!,8),SUMIFS(#REF!,#REF!,8))</f>
        <v>#REF!</v>
      </c>
      <c r="AO17" s="229" t="e">
        <f xml:space="preserve">
IF($A$4&lt;=12,SUMIFS(#REF!,#REF!,$A$4,#REF!,8),SUMIFS(#REF!,#REF!,8))</f>
        <v>#REF!</v>
      </c>
      <c r="AP17" s="229" t="e">
        <f xml:space="preserve">
IF($A$4&lt;=12,SUMIFS(#REF!,#REF!,$A$4,#REF!,8),SUMIFS(#REF!,#REF!,8))</f>
        <v>#REF!</v>
      </c>
      <c r="AQ17" s="229" t="e">
        <f xml:space="preserve">
IF($A$4&lt;=12,SUMIFS(#REF!,#REF!,$A$4,#REF!,8),SUMIFS(#REF!,#REF!,8))</f>
        <v>#REF!</v>
      </c>
      <c r="AR17" s="229" t="e">
        <f xml:space="preserve">
IF($A$4&lt;=12,SUMIFS(#REF!,#REF!,$A$4,#REF!,8),SUMIFS(#REF!,#REF!,8))</f>
        <v>#REF!</v>
      </c>
      <c r="AS17" s="230" t="e">
        <f xml:space="preserve">
IF($A$4&lt;=12,SUMIFS(#REF!,#REF!,$A$4,#REF!,8),SUMIFS(#REF!,#REF!,8))</f>
        <v>#REF!</v>
      </c>
      <c r="AT17" s="292"/>
    </row>
    <row r="18" spans="1:46" x14ac:dyDescent="0.3">
      <c r="A18" s="212" t="s">
        <v>136</v>
      </c>
      <c r="B18" s="227" t="e">
        <f xml:space="preserve">
B19-B16-B17</f>
        <v>#REF!</v>
      </c>
      <c r="C18" s="228" t="e">
        <f t="shared" ref="C18:AS18" si="0" xml:space="preserve">
C19-C16-C17</f>
        <v>#REF!</v>
      </c>
      <c r="D18" s="229" t="e">
        <f t="shared" si="0"/>
        <v>#REF!</v>
      </c>
      <c r="E18" s="229" t="e">
        <f t="shared" si="0"/>
        <v>#REF!</v>
      </c>
      <c r="F18" s="229" t="e">
        <f t="shared" si="0"/>
        <v>#REF!</v>
      </c>
      <c r="G18" s="229" t="e">
        <f t="shared" si="0"/>
        <v>#REF!</v>
      </c>
      <c r="H18" s="229" t="e">
        <f t="shared" si="0"/>
        <v>#REF!</v>
      </c>
      <c r="I18" s="229" t="e">
        <f t="shared" si="0"/>
        <v>#REF!</v>
      </c>
      <c r="J18" s="229" t="e">
        <f t="shared" si="0"/>
        <v>#REF!</v>
      </c>
      <c r="K18" s="229" t="e">
        <f t="shared" si="0"/>
        <v>#REF!</v>
      </c>
      <c r="L18" s="229" t="e">
        <f t="shared" si="0"/>
        <v>#REF!</v>
      </c>
      <c r="M18" s="229" t="e">
        <f t="shared" si="0"/>
        <v>#REF!</v>
      </c>
      <c r="N18" s="229" t="e">
        <f t="shared" si="0"/>
        <v>#REF!</v>
      </c>
      <c r="O18" s="229" t="e">
        <f t="shared" si="0"/>
        <v>#REF!</v>
      </c>
      <c r="P18" s="229" t="e">
        <f t="shared" si="0"/>
        <v>#REF!</v>
      </c>
      <c r="Q18" s="229" t="e">
        <f t="shared" si="0"/>
        <v>#REF!</v>
      </c>
      <c r="R18" s="229" t="e">
        <f t="shared" si="0"/>
        <v>#REF!</v>
      </c>
      <c r="S18" s="229" t="e">
        <f t="shared" si="0"/>
        <v>#REF!</v>
      </c>
      <c r="T18" s="229" t="e">
        <f t="shared" si="0"/>
        <v>#REF!</v>
      </c>
      <c r="U18" s="229" t="e">
        <f t="shared" si="0"/>
        <v>#REF!</v>
      </c>
      <c r="V18" s="229" t="e">
        <f t="shared" si="0"/>
        <v>#REF!</v>
      </c>
      <c r="W18" s="229" t="e">
        <f t="shared" si="0"/>
        <v>#REF!</v>
      </c>
      <c r="X18" s="229" t="e">
        <f t="shared" si="0"/>
        <v>#REF!</v>
      </c>
      <c r="Y18" s="229" t="e">
        <f t="shared" si="0"/>
        <v>#REF!</v>
      </c>
      <c r="Z18" s="229" t="e">
        <f t="shared" si="0"/>
        <v>#REF!</v>
      </c>
      <c r="AA18" s="229" t="e">
        <f t="shared" si="0"/>
        <v>#REF!</v>
      </c>
      <c r="AB18" s="229" t="e">
        <f t="shared" si="0"/>
        <v>#REF!</v>
      </c>
      <c r="AC18" s="229" t="e">
        <f t="shared" si="0"/>
        <v>#REF!</v>
      </c>
      <c r="AD18" s="229" t="e">
        <f t="shared" si="0"/>
        <v>#REF!</v>
      </c>
      <c r="AE18" s="229" t="e">
        <f t="shared" si="0"/>
        <v>#REF!</v>
      </c>
      <c r="AF18" s="229" t="e">
        <f t="shared" si="0"/>
        <v>#REF!</v>
      </c>
      <c r="AG18" s="229" t="e">
        <f t="shared" si="0"/>
        <v>#REF!</v>
      </c>
      <c r="AH18" s="229" t="e">
        <f t="shared" si="0"/>
        <v>#REF!</v>
      </c>
      <c r="AI18" s="229" t="e">
        <f t="shared" si="0"/>
        <v>#REF!</v>
      </c>
      <c r="AJ18" s="229" t="e">
        <f t="shared" si="0"/>
        <v>#REF!</v>
      </c>
      <c r="AK18" s="229" t="e">
        <f t="shared" si="0"/>
        <v>#REF!</v>
      </c>
      <c r="AL18" s="229" t="e">
        <f t="shared" si="0"/>
        <v>#REF!</v>
      </c>
      <c r="AM18" s="229" t="e">
        <f t="shared" si="0"/>
        <v>#REF!</v>
      </c>
      <c r="AN18" s="228" t="e">
        <f t="shared" si="0"/>
        <v>#REF!</v>
      </c>
      <c r="AO18" s="229" t="e">
        <f t="shared" si="0"/>
        <v>#REF!</v>
      </c>
      <c r="AP18" s="229" t="e">
        <f t="shared" si="0"/>
        <v>#REF!</v>
      </c>
      <c r="AQ18" s="229" t="e">
        <f t="shared" si="0"/>
        <v>#REF!</v>
      </c>
      <c r="AR18" s="229" t="e">
        <f t="shared" si="0"/>
        <v>#REF!</v>
      </c>
      <c r="AS18" s="230" t="e">
        <f t="shared" si="0"/>
        <v>#REF!</v>
      </c>
      <c r="AT18" s="292"/>
    </row>
    <row r="19" spans="1:46" ht="15" thickBot="1" x14ac:dyDescent="0.35">
      <c r="A19" s="213" t="s">
        <v>137</v>
      </c>
      <c r="B19" s="239" t="e">
        <f xml:space="preserve">
IF($A$4&lt;=12,SUMIFS(#REF!,#REF!,$A$4,#REF!,9),SUMIFS(#REF!,#REF!,9))</f>
        <v>#REF!</v>
      </c>
      <c r="C19" s="240" t="e">
        <f xml:space="preserve">
IF($A$4&lt;=12,SUMIFS(#REF!,#REF!,$A$4,#REF!,9),SUMIFS(#REF!,#REF!,9))</f>
        <v>#REF!</v>
      </c>
      <c r="D19" s="241" t="e">
        <f xml:space="preserve">
IF($A$4&lt;=12,SUMIFS(#REF!,#REF!,$A$4,#REF!,9),SUMIFS(#REF!,#REF!,9))</f>
        <v>#REF!</v>
      </c>
      <c r="E19" s="241" t="e">
        <f xml:space="preserve">
IF($A$4&lt;=12,SUMIFS(#REF!,#REF!,$A$4,#REF!,9),SUMIFS(#REF!,#REF!,9))</f>
        <v>#REF!</v>
      </c>
      <c r="F19" s="241" t="e">
        <f xml:space="preserve">
IF($A$4&lt;=12,SUMIFS(#REF!,#REF!,$A$4,#REF!,9),SUMIFS(#REF!,#REF!,9))</f>
        <v>#REF!</v>
      </c>
      <c r="G19" s="241" t="e">
        <f xml:space="preserve">
IF($A$4&lt;=12,SUMIFS(#REF!,#REF!,$A$4,#REF!,9),SUMIFS(#REF!,#REF!,9))</f>
        <v>#REF!</v>
      </c>
      <c r="H19" s="241" t="e">
        <f xml:space="preserve">
IF($A$4&lt;=12,SUMIFS(#REF!,#REF!,$A$4,#REF!,9),SUMIFS(#REF!,#REF!,9))</f>
        <v>#REF!</v>
      </c>
      <c r="I19" s="241" t="e">
        <f xml:space="preserve">
IF($A$4&lt;=12,SUMIFS(#REF!,#REF!,$A$4,#REF!,9),SUMIFS(#REF!,#REF!,9))</f>
        <v>#REF!</v>
      </c>
      <c r="J19" s="241" t="e">
        <f xml:space="preserve">
IF($A$4&lt;=12,SUMIFS(#REF!,#REF!,$A$4,#REF!,9),SUMIFS(#REF!,#REF!,9))</f>
        <v>#REF!</v>
      </c>
      <c r="K19" s="241" t="e">
        <f xml:space="preserve">
IF($A$4&lt;=12,SUMIFS(#REF!,#REF!,$A$4,#REF!,9),SUMIFS(#REF!,#REF!,9))</f>
        <v>#REF!</v>
      </c>
      <c r="L19" s="241" t="e">
        <f xml:space="preserve">
IF($A$4&lt;=12,SUMIFS(#REF!,#REF!,$A$4,#REF!,9),SUMIFS(#REF!,#REF!,9))</f>
        <v>#REF!</v>
      </c>
      <c r="M19" s="241" t="e">
        <f xml:space="preserve">
IF($A$4&lt;=12,SUMIFS(#REF!,#REF!,$A$4,#REF!,9),SUMIFS(#REF!,#REF!,9))</f>
        <v>#REF!</v>
      </c>
      <c r="N19" s="241" t="e">
        <f xml:space="preserve">
IF($A$4&lt;=12,SUMIFS(#REF!,#REF!,$A$4,#REF!,9),SUMIFS(#REF!,#REF!,9))</f>
        <v>#REF!</v>
      </c>
      <c r="O19" s="241" t="e">
        <f xml:space="preserve">
IF($A$4&lt;=12,SUMIFS(#REF!,#REF!,$A$4,#REF!,9),SUMIFS(#REF!,#REF!,9))</f>
        <v>#REF!</v>
      </c>
      <c r="P19" s="241" t="e">
        <f xml:space="preserve">
IF($A$4&lt;=12,SUMIFS(#REF!,#REF!,$A$4,#REF!,9),SUMIFS(#REF!,#REF!,9))</f>
        <v>#REF!</v>
      </c>
      <c r="Q19" s="241" t="e">
        <f xml:space="preserve">
IF($A$4&lt;=12,SUMIFS(#REF!,#REF!,$A$4,#REF!,9),SUMIFS(#REF!,#REF!,9))</f>
        <v>#REF!</v>
      </c>
      <c r="R19" s="241" t="e">
        <f xml:space="preserve">
IF($A$4&lt;=12,SUMIFS(#REF!,#REF!,$A$4,#REF!,9),SUMIFS(#REF!,#REF!,9))</f>
        <v>#REF!</v>
      </c>
      <c r="S19" s="241" t="e">
        <f xml:space="preserve">
IF($A$4&lt;=12,SUMIFS(#REF!,#REF!,$A$4,#REF!,9),SUMIFS(#REF!,#REF!,9))</f>
        <v>#REF!</v>
      </c>
      <c r="T19" s="241" t="e">
        <f xml:space="preserve">
IF($A$4&lt;=12,SUMIFS(#REF!,#REF!,$A$4,#REF!,9),SUMIFS(#REF!,#REF!,9))</f>
        <v>#REF!</v>
      </c>
      <c r="U19" s="241" t="e">
        <f xml:space="preserve">
IF($A$4&lt;=12,SUMIFS(#REF!,#REF!,$A$4,#REF!,9),SUMIFS(#REF!,#REF!,9))</f>
        <v>#REF!</v>
      </c>
      <c r="V19" s="241" t="e">
        <f xml:space="preserve">
IF($A$4&lt;=12,SUMIFS(#REF!,#REF!,$A$4,#REF!,9),SUMIFS(#REF!,#REF!,9))</f>
        <v>#REF!</v>
      </c>
      <c r="W19" s="241" t="e">
        <f xml:space="preserve">
IF($A$4&lt;=12,SUMIFS(#REF!,#REF!,$A$4,#REF!,9),SUMIFS(#REF!,#REF!,9))</f>
        <v>#REF!</v>
      </c>
      <c r="X19" s="241" t="e">
        <f xml:space="preserve">
IF($A$4&lt;=12,SUMIFS(#REF!,#REF!,$A$4,#REF!,9),SUMIFS(#REF!,#REF!,9))</f>
        <v>#REF!</v>
      </c>
      <c r="Y19" s="241" t="e">
        <f xml:space="preserve">
IF($A$4&lt;=12,SUMIFS(#REF!,#REF!,$A$4,#REF!,9),SUMIFS(#REF!,#REF!,9))</f>
        <v>#REF!</v>
      </c>
      <c r="Z19" s="241" t="e">
        <f xml:space="preserve">
IF($A$4&lt;=12,SUMIFS(#REF!,#REF!,$A$4,#REF!,9),SUMIFS(#REF!,#REF!,9))</f>
        <v>#REF!</v>
      </c>
      <c r="AA19" s="241" t="e">
        <f xml:space="preserve">
IF($A$4&lt;=12,SUMIFS(#REF!,#REF!,$A$4,#REF!,9),SUMIFS(#REF!,#REF!,9))</f>
        <v>#REF!</v>
      </c>
      <c r="AB19" s="241" t="e">
        <f xml:space="preserve">
IF($A$4&lt;=12,SUMIFS(#REF!,#REF!,$A$4,#REF!,9),SUMIFS(#REF!,#REF!,9))</f>
        <v>#REF!</v>
      </c>
      <c r="AC19" s="241" t="e">
        <f xml:space="preserve">
IF($A$4&lt;=12,SUMIFS(#REF!,#REF!,$A$4,#REF!,9),SUMIFS(#REF!,#REF!,9))</f>
        <v>#REF!</v>
      </c>
      <c r="AD19" s="241" t="e">
        <f xml:space="preserve">
IF($A$4&lt;=12,SUMIFS(#REF!,#REF!,$A$4,#REF!,9),SUMIFS(#REF!,#REF!,9))</f>
        <v>#REF!</v>
      </c>
      <c r="AE19" s="241" t="e">
        <f xml:space="preserve">
IF($A$4&lt;=12,SUMIFS(#REF!,#REF!,$A$4,#REF!,9),SUMIFS(#REF!,#REF!,9))</f>
        <v>#REF!</v>
      </c>
      <c r="AF19" s="241" t="e">
        <f xml:space="preserve">
IF($A$4&lt;=12,SUMIFS(#REF!,#REF!,$A$4,#REF!,9),SUMIFS(#REF!,#REF!,9))</f>
        <v>#REF!</v>
      </c>
      <c r="AG19" s="241" t="e">
        <f xml:space="preserve">
IF($A$4&lt;=12,SUMIFS(#REF!,#REF!,$A$4,#REF!,9),SUMIFS(#REF!,#REF!,9))</f>
        <v>#REF!</v>
      </c>
      <c r="AH19" s="241" t="e">
        <f xml:space="preserve">
IF($A$4&lt;=12,SUMIFS(#REF!,#REF!,$A$4,#REF!,9),SUMIFS(#REF!,#REF!,9))</f>
        <v>#REF!</v>
      </c>
      <c r="AI19" s="241" t="e">
        <f xml:space="preserve">
IF($A$4&lt;=12,SUMIFS(#REF!,#REF!,$A$4,#REF!,9),SUMIFS(#REF!,#REF!,9))</f>
        <v>#REF!</v>
      </c>
      <c r="AJ19" s="241" t="e">
        <f xml:space="preserve">
IF($A$4&lt;=12,SUMIFS(#REF!,#REF!,$A$4,#REF!,9),SUMIFS(#REF!,#REF!,9))</f>
        <v>#REF!</v>
      </c>
      <c r="AK19" s="241" t="e">
        <f xml:space="preserve">
IF($A$4&lt;=12,SUMIFS(#REF!,#REF!,$A$4,#REF!,9),SUMIFS(#REF!,#REF!,9))</f>
        <v>#REF!</v>
      </c>
      <c r="AL19" s="241" t="e">
        <f xml:space="preserve">
IF($A$4&lt;=12,SUMIFS(#REF!,#REF!,$A$4,#REF!,9),SUMIFS(#REF!,#REF!,9))</f>
        <v>#REF!</v>
      </c>
      <c r="AM19" s="241" t="e">
        <f xml:space="preserve">
IF($A$4&lt;=12,SUMIFS(#REF!,#REF!,$A$4,#REF!,9),SUMIFS(#REF!,#REF!,9))</f>
        <v>#REF!</v>
      </c>
      <c r="AN19" s="240" t="e">
        <f xml:space="preserve">
IF($A$4&lt;=12,SUMIFS(#REF!,#REF!,$A$4,#REF!,9),SUMIFS(#REF!,#REF!,9))</f>
        <v>#REF!</v>
      </c>
      <c r="AO19" s="241" t="e">
        <f xml:space="preserve">
IF($A$4&lt;=12,SUMIFS(#REF!,#REF!,$A$4,#REF!,9),SUMIFS(#REF!,#REF!,9))</f>
        <v>#REF!</v>
      </c>
      <c r="AP19" s="241" t="e">
        <f xml:space="preserve">
IF($A$4&lt;=12,SUMIFS(#REF!,#REF!,$A$4,#REF!,9),SUMIFS(#REF!,#REF!,9))</f>
        <v>#REF!</v>
      </c>
      <c r="AQ19" s="241" t="e">
        <f xml:space="preserve">
IF($A$4&lt;=12,SUMIFS(#REF!,#REF!,$A$4,#REF!,9),SUMIFS(#REF!,#REF!,9))</f>
        <v>#REF!</v>
      </c>
      <c r="AR19" s="241" t="e">
        <f xml:space="preserve">
IF($A$4&lt;=12,SUMIFS(#REF!,#REF!,$A$4,#REF!,9),SUMIFS(#REF!,#REF!,9))</f>
        <v>#REF!</v>
      </c>
      <c r="AS19" s="242" t="e">
        <f xml:space="preserve">
IF($A$4&lt;=12,SUMIFS(#REF!,#REF!,$A$4,#REF!,9),SUMIFS(#REF!,#REF!,9))</f>
        <v>#REF!</v>
      </c>
      <c r="AT19" s="292"/>
    </row>
    <row r="20" spans="1:46" ht="15" collapsed="1" thickBot="1" x14ac:dyDescent="0.35">
      <c r="A20" s="214" t="s">
        <v>54</v>
      </c>
      <c r="B20" s="316" t="e">
        <f xml:space="preserve">
IF($A$4&lt;=12,SUMIFS(#REF!,#REF!,$A$4,#REF!,6),SUMIFS(#REF!,#REF!,6))</f>
        <v>#REF!</v>
      </c>
      <c r="C20" s="317" t="e">
        <f xml:space="preserve">
IF($A$4&lt;=12,SUMIFS(#REF!,#REF!,$A$4,#REF!,6),SUMIFS(#REF!,#REF!,6))</f>
        <v>#REF!</v>
      </c>
      <c r="D20" s="318" t="e">
        <f xml:space="preserve">
IF($A$4&lt;=12,SUMIFS(#REF!,#REF!,$A$4,#REF!,6),SUMIFS(#REF!,#REF!,6))</f>
        <v>#REF!</v>
      </c>
      <c r="E20" s="318" t="e">
        <f xml:space="preserve">
IF($A$4&lt;=12,SUMIFS(#REF!,#REF!,$A$4,#REF!,6),SUMIFS(#REF!,#REF!,6))</f>
        <v>#REF!</v>
      </c>
      <c r="F20" s="318" t="e">
        <f xml:space="preserve">
IF($A$4&lt;=12,SUMIFS(#REF!,#REF!,$A$4,#REF!,6),SUMIFS(#REF!,#REF!,6))</f>
        <v>#REF!</v>
      </c>
      <c r="G20" s="318" t="e">
        <f xml:space="preserve">
IF($A$4&lt;=12,SUMIFS(#REF!,#REF!,$A$4,#REF!,6),SUMIFS(#REF!,#REF!,6))</f>
        <v>#REF!</v>
      </c>
      <c r="H20" s="318" t="e">
        <f xml:space="preserve">
IF($A$4&lt;=12,SUMIFS(#REF!,#REF!,$A$4,#REF!,6),SUMIFS(#REF!,#REF!,6))</f>
        <v>#REF!</v>
      </c>
      <c r="I20" s="318" t="e">
        <f xml:space="preserve">
IF($A$4&lt;=12,SUMIFS(#REF!,#REF!,$A$4,#REF!,6),SUMIFS(#REF!,#REF!,6))</f>
        <v>#REF!</v>
      </c>
      <c r="J20" s="318" t="e">
        <f xml:space="preserve">
IF($A$4&lt;=12,SUMIFS(#REF!,#REF!,$A$4,#REF!,6),SUMIFS(#REF!,#REF!,6))</f>
        <v>#REF!</v>
      </c>
      <c r="K20" s="318" t="e">
        <f xml:space="preserve">
IF($A$4&lt;=12,SUMIFS(#REF!,#REF!,$A$4,#REF!,6),SUMIFS(#REF!,#REF!,6))</f>
        <v>#REF!</v>
      </c>
      <c r="L20" s="318" t="e">
        <f xml:space="preserve">
IF($A$4&lt;=12,SUMIFS(#REF!,#REF!,$A$4,#REF!,6),SUMIFS(#REF!,#REF!,6))</f>
        <v>#REF!</v>
      </c>
      <c r="M20" s="318" t="e">
        <f xml:space="preserve">
IF($A$4&lt;=12,SUMIFS(#REF!,#REF!,$A$4,#REF!,6),SUMIFS(#REF!,#REF!,6))</f>
        <v>#REF!</v>
      </c>
      <c r="N20" s="318" t="e">
        <f xml:space="preserve">
IF($A$4&lt;=12,SUMIFS(#REF!,#REF!,$A$4,#REF!,6),SUMIFS(#REF!,#REF!,6))</f>
        <v>#REF!</v>
      </c>
      <c r="O20" s="318" t="e">
        <f xml:space="preserve">
IF($A$4&lt;=12,SUMIFS(#REF!,#REF!,$A$4,#REF!,6),SUMIFS(#REF!,#REF!,6))</f>
        <v>#REF!</v>
      </c>
      <c r="P20" s="318" t="e">
        <f xml:space="preserve">
IF($A$4&lt;=12,SUMIFS(#REF!,#REF!,$A$4,#REF!,6),SUMIFS(#REF!,#REF!,6))</f>
        <v>#REF!</v>
      </c>
      <c r="Q20" s="318" t="e">
        <f xml:space="preserve">
IF($A$4&lt;=12,SUMIFS(#REF!,#REF!,$A$4,#REF!,6),SUMIFS(#REF!,#REF!,6))</f>
        <v>#REF!</v>
      </c>
      <c r="R20" s="318" t="e">
        <f xml:space="preserve">
IF($A$4&lt;=12,SUMIFS(#REF!,#REF!,$A$4,#REF!,6),SUMIFS(#REF!,#REF!,6))</f>
        <v>#REF!</v>
      </c>
      <c r="S20" s="318" t="e">
        <f xml:space="preserve">
IF($A$4&lt;=12,SUMIFS(#REF!,#REF!,$A$4,#REF!,6),SUMIFS(#REF!,#REF!,6))</f>
        <v>#REF!</v>
      </c>
      <c r="T20" s="318" t="e">
        <f xml:space="preserve">
IF($A$4&lt;=12,SUMIFS(#REF!,#REF!,$A$4,#REF!,6),SUMIFS(#REF!,#REF!,6))</f>
        <v>#REF!</v>
      </c>
      <c r="U20" s="318" t="e">
        <f xml:space="preserve">
IF($A$4&lt;=12,SUMIFS(#REF!,#REF!,$A$4,#REF!,6),SUMIFS(#REF!,#REF!,6))</f>
        <v>#REF!</v>
      </c>
      <c r="V20" s="318" t="e">
        <f xml:space="preserve">
IF($A$4&lt;=12,SUMIFS(#REF!,#REF!,$A$4,#REF!,6),SUMIFS(#REF!,#REF!,6))</f>
        <v>#REF!</v>
      </c>
      <c r="W20" s="318" t="e">
        <f xml:space="preserve">
IF($A$4&lt;=12,SUMIFS(#REF!,#REF!,$A$4,#REF!,6),SUMIFS(#REF!,#REF!,6))</f>
        <v>#REF!</v>
      </c>
      <c r="X20" s="318" t="e">
        <f xml:space="preserve">
IF($A$4&lt;=12,SUMIFS(#REF!,#REF!,$A$4,#REF!,6),SUMIFS(#REF!,#REF!,6))</f>
        <v>#REF!</v>
      </c>
      <c r="Y20" s="318" t="e">
        <f xml:space="preserve">
IF($A$4&lt;=12,SUMIFS(#REF!,#REF!,$A$4,#REF!,6),SUMIFS(#REF!,#REF!,6))</f>
        <v>#REF!</v>
      </c>
      <c r="Z20" s="318" t="e">
        <f xml:space="preserve">
IF($A$4&lt;=12,SUMIFS(#REF!,#REF!,$A$4,#REF!,6),SUMIFS(#REF!,#REF!,6))</f>
        <v>#REF!</v>
      </c>
      <c r="AA20" s="318" t="e">
        <f xml:space="preserve">
IF($A$4&lt;=12,SUMIFS(#REF!,#REF!,$A$4,#REF!,6),SUMIFS(#REF!,#REF!,6))</f>
        <v>#REF!</v>
      </c>
      <c r="AB20" s="318" t="e">
        <f xml:space="preserve">
IF($A$4&lt;=12,SUMIFS(#REF!,#REF!,$A$4,#REF!,6),SUMIFS(#REF!,#REF!,6))</f>
        <v>#REF!</v>
      </c>
      <c r="AC20" s="318" t="e">
        <f xml:space="preserve">
IF($A$4&lt;=12,SUMIFS(#REF!,#REF!,$A$4,#REF!,6),SUMIFS(#REF!,#REF!,6))</f>
        <v>#REF!</v>
      </c>
      <c r="AD20" s="318" t="e">
        <f xml:space="preserve">
IF($A$4&lt;=12,SUMIFS(#REF!,#REF!,$A$4,#REF!,6),SUMIFS(#REF!,#REF!,6))</f>
        <v>#REF!</v>
      </c>
      <c r="AE20" s="318" t="e">
        <f xml:space="preserve">
IF($A$4&lt;=12,SUMIFS(#REF!,#REF!,$A$4,#REF!,6),SUMIFS(#REF!,#REF!,6))</f>
        <v>#REF!</v>
      </c>
      <c r="AF20" s="318" t="e">
        <f xml:space="preserve">
IF($A$4&lt;=12,SUMIFS(#REF!,#REF!,$A$4,#REF!,6),SUMIFS(#REF!,#REF!,6))</f>
        <v>#REF!</v>
      </c>
      <c r="AG20" s="318" t="e">
        <f xml:space="preserve">
IF($A$4&lt;=12,SUMIFS(#REF!,#REF!,$A$4,#REF!,6),SUMIFS(#REF!,#REF!,6))</f>
        <v>#REF!</v>
      </c>
      <c r="AH20" s="318" t="e">
        <f xml:space="preserve">
IF($A$4&lt;=12,SUMIFS(#REF!,#REF!,$A$4,#REF!,6),SUMIFS(#REF!,#REF!,6))</f>
        <v>#REF!</v>
      </c>
      <c r="AI20" s="318" t="e">
        <f xml:space="preserve">
IF($A$4&lt;=12,SUMIFS(#REF!,#REF!,$A$4,#REF!,6),SUMIFS(#REF!,#REF!,6))</f>
        <v>#REF!</v>
      </c>
      <c r="AJ20" s="318" t="e">
        <f xml:space="preserve">
IF($A$4&lt;=12,SUMIFS(#REF!,#REF!,$A$4,#REF!,6),SUMIFS(#REF!,#REF!,6))</f>
        <v>#REF!</v>
      </c>
      <c r="AK20" s="318" t="e">
        <f xml:space="preserve">
IF($A$4&lt;=12,SUMIFS(#REF!,#REF!,$A$4,#REF!,6),SUMIFS(#REF!,#REF!,6))</f>
        <v>#REF!</v>
      </c>
      <c r="AL20" s="318" t="e">
        <f xml:space="preserve">
IF($A$4&lt;=12,SUMIFS(#REF!,#REF!,$A$4,#REF!,6),SUMIFS(#REF!,#REF!,6))</f>
        <v>#REF!</v>
      </c>
      <c r="AM20" s="318" t="e">
        <f xml:space="preserve">
IF($A$4&lt;=12,SUMIFS(#REF!,#REF!,$A$4,#REF!,6),SUMIFS(#REF!,#REF!,6))</f>
        <v>#REF!</v>
      </c>
      <c r="AN20" s="318" t="e">
        <f xml:space="preserve">
IF($A$4&lt;=12,SUMIFS(#REF!,#REF!,$A$4,#REF!,6),SUMIFS(#REF!,#REF!,6))</f>
        <v>#REF!</v>
      </c>
      <c r="AO20" s="318" t="e">
        <f xml:space="preserve">
IF($A$4&lt;=12,SUMIFS(#REF!,#REF!,$A$4,#REF!,6),SUMIFS(#REF!,#REF!,6))</f>
        <v>#REF!</v>
      </c>
      <c r="AP20" s="318" t="e">
        <f xml:space="preserve">
IF($A$4&lt;=12,SUMIFS(#REF!,#REF!,$A$4,#REF!,6),SUMIFS(#REF!,#REF!,6))</f>
        <v>#REF!</v>
      </c>
      <c r="AQ20" s="318" t="e">
        <f xml:space="preserve">
IF($A$4&lt;=12,SUMIFS(#REF!,#REF!,$A$4,#REF!,6),SUMIFS(#REF!,#REF!,6))</f>
        <v>#REF!</v>
      </c>
      <c r="AR20" s="318" t="e">
        <f xml:space="preserve">
IF($A$4&lt;=12,SUMIFS(#REF!,#REF!,$A$4,#REF!,6),SUMIFS(#REF!,#REF!,6))</f>
        <v>#REF!</v>
      </c>
      <c r="AS20" s="319" t="e">
        <f xml:space="preserve">
IF($A$4&lt;=12,SUMIFS(#REF!,#REF!,$A$4,#REF!,6),SUMIFS(#REF!,#REF!,6))</f>
        <v>#REF!</v>
      </c>
      <c r="AT20" s="292"/>
    </row>
    <row r="21" spans="1:46" hidden="1" outlineLevel="1" x14ac:dyDescent="0.3">
      <c r="A21" s="207" t="s">
        <v>88</v>
      </c>
      <c r="B21" s="312" t="e">
        <f xml:space="preserve">
IF($A$4&lt;=12,SUMIFS(#REF!,#REF!,$A$4,#REF!,12),SUMIFS(#REF!,#REF!,12))</f>
        <v>#REF!</v>
      </c>
      <c r="C21" s="311" t="e">
        <f xml:space="preserve">
IF($A$4&lt;=12,SUMIFS(#REF!,#REF!,$A$4,#REF!,12),SUMIFS(#REF!,#REF!,12))</f>
        <v>#REF!</v>
      </c>
      <c r="D21" s="296" t="e">
        <f xml:space="preserve">
IF($A$4&lt;=12,SUMIFS(#REF!,#REF!,$A$4,#REF!,12),SUMIFS(#REF!,#REF!,12))</f>
        <v>#REF!</v>
      </c>
      <c r="E21" s="296"/>
      <c r="F21" s="296" t="e">
        <f xml:space="preserve">
IF($A$4&lt;=12,SUMIFS(#REF!,#REF!,$A$4,#REF!,12),SUMIFS(#REF!,#REF!,12))</f>
        <v>#REF!</v>
      </c>
      <c r="G21" s="296" t="e">
        <f xml:space="preserve">
IF($A$4&lt;=12,SUMIFS(#REF!,#REF!,$A$4,#REF!,12),SUMIFS(#REF!,#REF!,12))</f>
        <v>#REF!</v>
      </c>
      <c r="H21" s="296" t="e">
        <f xml:space="preserve">
IF($A$4&lt;=12,SUMIFS(#REF!,#REF!,$A$4,#REF!,12),SUMIFS(#REF!,#REF!,12))</f>
        <v>#REF!</v>
      </c>
      <c r="I21" s="296" t="e">
        <f xml:space="preserve">
IF($A$4&lt;=12,SUMIFS(#REF!,#REF!,$A$4,#REF!,12),SUMIFS(#REF!,#REF!,12))</f>
        <v>#REF!</v>
      </c>
      <c r="J21" s="296" t="e">
        <f xml:space="preserve">
IF($A$4&lt;=12,SUMIFS(#REF!,#REF!,$A$4,#REF!,12),SUMIFS(#REF!,#REF!,12))</f>
        <v>#REF!</v>
      </c>
      <c r="K21" s="296" t="e">
        <f xml:space="preserve">
IF($A$4&lt;=12,SUMIFS(#REF!,#REF!,$A$4,#REF!,12),SUMIFS(#REF!,#REF!,12))</f>
        <v>#REF!</v>
      </c>
      <c r="L21" s="296" t="e">
        <f xml:space="preserve">
IF($A$4&lt;=12,SUMIFS(#REF!,#REF!,$A$4,#REF!,12),SUMIFS(#REF!,#REF!,12))</f>
        <v>#REF!</v>
      </c>
      <c r="M21" s="296" t="e">
        <f xml:space="preserve">
IF($A$4&lt;=12,SUMIFS(#REF!,#REF!,$A$4,#REF!,12),SUMIFS(#REF!,#REF!,12))</f>
        <v>#REF!</v>
      </c>
      <c r="N21" s="296" t="e">
        <f xml:space="preserve">
IF($A$4&lt;=12,SUMIFS(#REF!,#REF!,$A$4,#REF!,12),SUMIFS(#REF!,#REF!,12))</f>
        <v>#REF!</v>
      </c>
      <c r="O21" s="296" t="e">
        <f xml:space="preserve">
IF($A$4&lt;=12,SUMIFS(#REF!,#REF!,$A$4,#REF!,12),SUMIFS(#REF!,#REF!,12))</f>
        <v>#REF!</v>
      </c>
      <c r="P21" s="296" t="e">
        <f xml:space="preserve">
IF($A$4&lt;=12,SUMIFS(#REF!,#REF!,$A$4,#REF!,12),SUMIFS(#REF!,#REF!,12))</f>
        <v>#REF!</v>
      </c>
      <c r="Q21" s="296" t="e">
        <f xml:space="preserve">
IF($A$4&lt;=12,SUMIFS(#REF!,#REF!,$A$4,#REF!,12),SUMIFS(#REF!,#REF!,12))</f>
        <v>#REF!</v>
      </c>
      <c r="R21" s="296" t="e">
        <f xml:space="preserve">
IF($A$4&lt;=12,SUMIFS(#REF!,#REF!,$A$4,#REF!,12),SUMIFS(#REF!,#REF!,12))</f>
        <v>#REF!</v>
      </c>
      <c r="S21" s="296" t="e">
        <f xml:space="preserve">
IF($A$4&lt;=12,SUMIFS(#REF!,#REF!,$A$4,#REF!,12),SUMIFS(#REF!,#REF!,12))</f>
        <v>#REF!</v>
      </c>
      <c r="T21" s="296" t="e">
        <f xml:space="preserve">
IF($A$4&lt;=12,SUMIFS(#REF!,#REF!,$A$4,#REF!,12),SUMIFS(#REF!,#REF!,12))</f>
        <v>#REF!</v>
      </c>
      <c r="U21" s="296" t="e">
        <f xml:space="preserve">
IF($A$4&lt;=12,SUMIFS(#REF!,#REF!,$A$4,#REF!,12),SUMIFS(#REF!,#REF!,12))</f>
        <v>#REF!</v>
      </c>
      <c r="V21" s="296" t="e">
        <f xml:space="preserve">
IF($A$4&lt;=12,SUMIFS(#REF!,#REF!,$A$4,#REF!,12),SUMIFS(#REF!,#REF!,12))</f>
        <v>#REF!</v>
      </c>
      <c r="W21" s="296" t="e">
        <f xml:space="preserve">
IF($A$4&lt;=12,SUMIFS(#REF!,#REF!,$A$4,#REF!,12),SUMIFS(#REF!,#REF!,12))</f>
        <v>#REF!</v>
      </c>
      <c r="X21" s="296" t="e">
        <f xml:space="preserve">
IF($A$4&lt;=12,SUMIFS(#REF!,#REF!,$A$4,#REF!,12),SUMIFS(#REF!,#REF!,12))</f>
        <v>#REF!</v>
      </c>
      <c r="Y21" s="296" t="e">
        <f xml:space="preserve">
IF($A$4&lt;=12,SUMIFS(#REF!,#REF!,$A$4,#REF!,12),SUMIFS(#REF!,#REF!,12))</f>
        <v>#REF!</v>
      </c>
      <c r="Z21" s="296" t="e">
        <f xml:space="preserve">
IF($A$4&lt;=12,SUMIFS(#REF!,#REF!,$A$4,#REF!,12),SUMIFS(#REF!,#REF!,12))</f>
        <v>#REF!</v>
      </c>
      <c r="AA21" s="296"/>
      <c r="AB21" s="296" t="e">
        <f xml:space="preserve">
IF($A$4&lt;=12,SUMIFS(#REF!,#REF!,$A$4,#REF!,12),SUMIFS(#REF!,#REF!,12))</f>
        <v>#REF!</v>
      </c>
      <c r="AC21" s="296" t="e">
        <f xml:space="preserve">
IF($A$4&lt;=12,SUMIFS(#REF!,#REF!,$A$4,#REF!,12),SUMIFS(#REF!,#REF!,12))</f>
        <v>#REF!</v>
      </c>
      <c r="AD21" s="296" t="e">
        <f xml:space="preserve">
IF($A$4&lt;=12,SUMIFS(#REF!,#REF!,$A$4,#REF!,12),SUMIFS(#REF!,#REF!,12))</f>
        <v>#REF!</v>
      </c>
      <c r="AE21" s="296" t="e">
        <f xml:space="preserve">
IF($A$4&lt;=12,SUMIFS(#REF!,#REF!,$A$4,#REF!,12),SUMIFS(#REF!,#REF!,12))</f>
        <v>#REF!</v>
      </c>
      <c r="AF21" s="296" t="e">
        <f xml:space="preserve">
IF($A$4&lt;=12,SUMIFS(#REF!,#REF!,$A$4,#REF!,12),SUMIFS(#REF!,#REF!,12))</f>
        <v>#REF!</v>
      </c>
      <c r="AG21" s="296" t="e">
        <f xml:space="preserve">
IF($A$4&lt;=12,SUMIFS(#REF!,#REF!,$A$4,#REF!,12),SUMIFS(#REF!,#REF!,12))</f>
        <v>#REF!</v>
      </c>
      <c r="AH21" s="296" t="e">
        <f xml:space="preserve">
IF($A$4&lt;=12,SUMIFS(#REF!,#REF!,$A$4,#REF!,12),SUMIFS(#REF!,#REF!,12))</f>
        <v>#REF!</v>
      </c>
      <c r="AI21" s="296" t="e">
        <f xml:space="preserve">
IF($A$4&lt;=12,SUMIFS(#REF!,#REF!,$A$4,#REF!,12),SUMIFS(#REF!,#REF!,12))</f>
        <v>#REF!</v>
      </c>
      <c r="AJ21" s="296" t="e">
        <f xml:space="preserve">
IF($A$4&lt;=12,SUMIFS(#REF!,#REF!,$A$4,#REF!,12),SUMIFS(#REF!,#REF!,12))</f>
        <v>#REF!</v>
      </c>
      <c r="AK21" s="296" t="e">
        <f xml:space="preserve">
IF($A$4&lt;=12,SUMIFS(#REF!,#REF!,$A$4,#REF!,12),SUMIFS(#REF!,#REF!,12))</f>
        <v>#REF!</v>
      </c>
      <c r="AL21" s="296" t="e">
        <f xml:space="preserve">
IF($A$4&lt;=12,SUMIFS(#REF!,#REF!,$A$4,#REF!,12),SUMIFS(#REF!,#REF!,12))</f>
        <v>#REF!</v>
      </c>
      <c r="AM21" s="296" t="e">
        <f xml:space="preserve">
IF($A$4&lt;=12,SUMIFS(#REF!,#REF!,$A$4,#REF!,12),SUMIFS(#REF!,#REF!,12))</f>
        <v>#REF!</v>
      </c>
      <c r="AN21" s="296"/>
      <c r="AO21" s="296"/>
      <c r="AP21" s="296"/>
      <c r="AQ21" s="296"/>
      <c r="AR21" s="296"/>
      <c r="AS21" s="297"/>
      <c r="AT21" s="292"/>
    </row>
    <row r="22" spans="1:46" hidden="1" outlineLevel="1" x14ac:dyDescent="0.3">
      <c r="A22" s="207" t="s">
        <v>56</v>
      </c>
      <c r="B22" s="313" t="e">
        <f xml:space="preserve">
IF(OR(B21="",B21=0),"",B20/B21)</f>
        <v>#REF!</v>
      </c>
      <c r="C22" s="275" t="e">
        <f t="shared" ref="C22:I22" si="1" xml:space="preserve">
IF(OR(C21="",C21=0),"",C20/C21)</f>
        <v>#REF!</v>
      </c>
      <c r="D22" s="276" t="e">
        <f t="shared" si="1"/>
        <v>#REF!</v>
      </c>
      <c r="E22" s="276"/>
      <c r="F22" s="276" t="e">
        <f t="shared" si="1"/>
        <v>#REF!</v>
      </c>
      <c r="G22" s="276" t="e">
        <f t="shared" si="1"/>
        <v>#REF!</v>
      </c>
      <c r="H22" s="276" t="e">
        <f t="shared" si="1"/>
        <v>#REF!</v>
      </c>
      <c r="I22" s="276" t="e">
        <f t="shared" si="1"/>
        <v>#REF!</v>
      </c>
      <c r="J22" s="276" t="e">
        <f t="shared" ref="J22:AM22" si="2" xml:space="preserve">
IF(OR(J21="",J21=0),"",J20/J21)</f>
        <v>#REF!</v>
      </c>
      <c r="K22" s="276" t="e">
        <f t="shared" si="2"/>
        <v>#REF!</v>
      </c>
      <c r="L22" s="276" t="e">
        <f t="shared" si="2"/>
        <v>#REF!</v>
      </c>
      <c r="M22" s="276" t="e">
        <f t="shared" si="2"/>
        <v>#REF!</v>
      </c>
      <c r="N22" s="276" t="e">
        <f t="shared" si="2"/>
        <v>#REF!</v>
      </c>
      <c r="O22" s="276" t="e">
        <f t="shared" si="2"/>
        <v>#REF!</v>
      </c>
      <c r="P22" s="276" t="e">
        <f t="shared" si="2"/>
        <v>#REF!</v>
      </c>
      <c r="Q22" s="276" t="e">
        <f t="shared" si="2"/>
        <v>#REF!</v>
      </c>
      <c r="R22" s="276" t="e">
        <f t="shared" si="2"/>
        <v>#REF!</v>
      </c>
      <c r="S22" s="276" t="e">
        <f t="shared" si="2"/>
        <v>#REF!</v>
      </c>
      <c r="T22" s="276" t="e">
        <f t="shared" si="2"/>
        <v>#REF!</v>
      </c>
      <c r="U22" s="276" t="e">
        <f t="shared" si="2"/>
        <v>#REF!</v>
      </c>
      <c r="V22" s="276" t="e">
        <f t="shared" si="2"/>
        <v>#REF!</v>
      </c>
      <c r="W22" s="276" t="e">
        <f t="shared" si="2"/>
        <v>#REF!</v>
      </c>
      <c r="X22" s="276" t="e">
        <f t="shared" si="2"/>
        <v>#REF!</v>
      </c>
      <c r="Y22" s="276" t="e">
        <f t="shared" si="2"/>
        <v>#REF!</v>
      </c>
      <c r="Z22" s="276" t="e">
        <f t="shared" si="2"/>
        <v>#REF!</v>
      </c>
      <c r="AA22" s="276"/>
      <c r="AB22" s="276" t="e">
        <f t="shared" si="2"/>
        <v>#REF!</v>
      </c>
      <c r="AC22" s="276" t="e">
        <f t="shared" si="2"/>
        <v>#REF!</v>
      </c>
      <c r="AD22" s="276" t="e">
        <f t="shared" si="2"/>
        <v>#REF!</v>
      </c>
      <c r="AE22" s="276" t="e">
        <f t="shared" si="2"/>
        <v>#REF!</v>
      </c>
      <c r="AF22" s="276" t="e">
        <f t="shared" si="2"/>
        <v>#REF!</v>
      </c>
      <c r="AG22" s="276" t="e">
        <f t="shared" si="2"/>
        <v>#REF!</v>
      </c>
      <c r="AH22" s="276" t="e">
        <f t="shared" si="2"/>
        <v>#REF!</v>
      </c>
      <c r="AI22" s="276" t="e">
        <f t="shared" si="2"/>
        <v>#REF!</v>
      </c>
      <c r="AJ22" s="276" t="e">
        <f t="shared" si="2"/>
        <v>#REF!</v>
      </c>
      <c r="AK22" s="276" t="e">
        <f t="shared" si="2"/>
        <v>#REF!</v>
      </c>
      <c r="AL22" s="276" t="e">
        <f t="shared" si="2"/>
        <v>#REF!</v>
      </c>
      <c r="AM22" s="276" t="e">
        <f t="shared" si="2"/>
        <v>#REF!</v>
      </c>
      <c r="AN22" s="276"/>
      <c r="AO22" s="276"/>
      <c r="AP22" s="276"/>
      <c r="AQ22" s="276"/>
      <c r="AR22" s="276"/>
      <c r="AS22" s="277"/>
      <c r="AT22" s="292"/>
    </row>
    <row r="23" spans="1:46" ht="15" hidden="1" outlineLevel="1" thickBot="1" x14ac:dyDescent="0.35">
      <c r="A23" s="215" t="s">
        <v>49</v>
      </c>
      <c r="B23" s="314" t="e">
        <f xml:space="preserve">
IF(B21="","",B20-B21)</f>
        <v>#REF!</v>
      </c>
      <c r="C23" s="232" t="e">
        <f t="shared" ref="C23:I23" si="3" xml:space="preserve">
IF(C21="","",C20-C21)</f>
        <v>#REF!</v>
      </c>
      <c r="D23" s="233" t="e">
        <f t="shared" si="3"/>
        <v>#REF!</v>
      </c>
      <c r="E23" s="233"/>
      <c r="F23" s="233" t="e">
        <f t="shared" si="3"/>
        <v>#REF!</v>
      </c>
      <c r="G23" s="233" t="e">
        <f t="shared" si="3"/>
        <v>#REF!</v>
      </c>
      <c r="H23" s="233" t="e">
        <f t="shared" si="3"/>
        <v>#REF!</v>
      </c>
      <c r="I23" s="233" t="e">
        <f t="shared" si="3"/>
        <v>#REF!</v>
      </c>
      <c r="J23" s="233" t="e">
        <f t="shared" ref="J23:AM23" si="4" xml:space="preserve">
IF(J21="","",J20-J21)</f>
        <v>#REF!</v>
      </c>
      <c r="K23" s="233" t="e">
        <f t="shared" si="4"/>
        <v>#REF!</v>
      </c>
      <c r="L23" s="233" t="e">
        <f t="shared" si="4"/>
        <v>#REF!</v>
      </c>
      <c r="M23" s="233" t="e">
        <f t="shared" si="4"/>
        <v>#REF!</v>
      </c>
      <c r="N23" s="233" t="e">
        <f t="shared" si="4"/>
        <v>#REF!</v>
      </c>
      <c r="O23" s="233" t="e">
        <f t="shared" si="4"/>
        <v>#REF!</v>
      </c>
      <c r="P23" s="233" t="e">
        <f t="shared" si="4"/>
        <v>#REF!</v>
      </c>
      <c r="Q23" s="233" t="e">
        <f t="shared" si="4"/>
        <v>#REF!</v>
      </c>
      <c r="R23" s="233" t="e">
        <f t="shared" si="4"/>
        <v>#REF!</v>
      </c>
      <c r="S23" s="233" t="e">
        <f t="shared" si="4"/>
        <v>#REF!</v>
      </c>
      <c r="T23" s="233" t="e">
        <f t="shared" si="4"/>
        <v>#REF!</v>
      </c>
      <c r="U23" s="233" t="e">
        <f t="shared" si="4"/>
        <v>#REF!</v>
      </c>
      <c r="V23" s="233" t="e">
        <f t="shared" si="4"/>
        <v>#REF!</v>
      </c>
      <c r="W23" s="233" t="e">
        <f t="shared" si="4"/>
        <v>#REF!</v>
      </c>
      <c r="X23" s="233" t="e">
        <f t="shared" si="4"/>
        <v>#REF!</v>
      </c>
      <c r="Y23" s="233" t="e">
        <f t="shared" si="4"/>
        <v>#REF!</v>
      </c>
      <c r="Z23" s="233" t="e">
        <f t="shared" si="4"/>
        <v>#REF!</v>
      </c>
      <c r="AA23" s="233"/>
      <c r="AB23" s="233" t="e">
        <f t="shared" si="4"/>
        <v>#REF!</v>
      </c>
      <c r="AC23" s="233" t="e">
        <f t="shared" si="4"/>
        <v>#REF!</v>
      </c>
      <c r="AD23" s="233" t="e">
        <f t="shared" si="4"/>
        <v>#REF!</v>
      </c>
      <c r="AE23" s="233" t="e">
        <f t="shared" si="4"/>
        <v>#REF!</v>
      </c>
      <c r="AF23" s="233" t="e">
        <f t="shared" si="4"/>
        <v>#REF!</v>
      </c>
      <c r="AG23" s="233" t="e">
        <f t="shared" si="4"/>
        <v>#REF!</v>
      </c>
      <c r="AH23" s="233" t="e">
        <f t="shared" si="4"/>
        <v>#REF!</v>
      </c>
      <c r="AI23" s="233" t="e">
        <f t="shared" si="4"/>
        <v>#REF!</v>
      </c>
      <c r="AJ23" s="233" t="e">
        <f t="shared" si="4"/>
        <v>#REF!</v>
      </c>
      <c r="AK23" s="233" t="e">
        <f t="shared" si="4"/>
        <v>#REF!</v>
      </c>
      <c r="AL23" s="233" t="e">
        <f t="shared" si="4"/>
        <v>#REF!</v>
      </c>
      <c r="AM23" s="233" t="e">
        <f t="shared" si="4"/>
        <v>#REF!</v>
      </c>
      <c r="AN23" s="233"/>
      <c r="AO23" s="233"/>
      <c r="AP23" s="233"/>
      <c r="AQ23" s="233"/>
      <c r="AR23" s="233"/>
      <c r="AS23" s="234"/>
      <c r="AT23" s="292"/>
    </row>
    <row r="24" spans="1:46" x14ac:dyDescent="0.3">
      <c r="A24" s="209" t="s">
        <v>138</v>
      </c>
      <c r="B24" s="260" t="s">
        <v>3</v>
      </c>
      <c r="C24" s="308" t="s">
        <v>224</v>
      </c>
      <c r="D24" s="309" t="s">
        <v>225</v>
      </c>
      <c r="E24" s="309" t="s">
        <v>226</v>
      </c>
      <c r="F24" s="310" t="s">
        <v>149</v>
      </c>
      <c r="AT24" s="292"/>
    </row>
    <row r="25" spans="1:46" x14ac:dyDescent="0.3">
      <c r="A25" s="210" t="s">
        <v>54</v>
      </c>
      <c r="B25" s="227" t="e">
        <f xml:space="preserve">
SUM(C25:F25)</f>
        <v>#REF!</v>
      </c>
      <c r="C25" s="299" t="e">
        <f xml:space="preserve">
IF($A$4&lt;=12,SUMIFS(#REF!,#REF!,$A$4,#REF!,10),SUMIFS(#REF!,#REF!,10))</f>
        <v>#REF!</v>
      </c>
      <c r="D25" s="300" t="e">
        <f xml:space="preserve">
IF($A$4&lt;=12,SUMIFS(#REF!,#REF!,$A$4,#REF!,10),SUMIFS(#REF!,#REF!,10))</f>
        <v>#REF!</v>
      </c>
      <c r="E25" s="300" t="e">
        <f xml:space="preserve">
IF($A$4&lt;=12,SUMIFS(#REF!,#REF!,$A$4,#REF!,10),SUMIFS(#REF!,#REF!,10))</f>
        <v>#REF!</v>
      </c>
      <c r="F25" s="301" t="e">
        <f xml:space="preserve">
IF($A$4&lt;=12,SUMIFS(#REF!,#REF!,$A$4,#REF!,10),SUMIFS(#REF!,#REF!,10))</f>
        <v>#REF!</v>
      </c>
    </row>
    <row r="26" spans="1:46" x14ac:dyDescent="0.3">
      <c r="A26" s="216" t="s">
        <v>148</v>
      </c>
      <c r="B26" s="239" t="e">
        <f xml:space="preserve">
SUM(C26:F26)</f>
        <v>#REF!</v>
      </c>
      <c r="C26" s="299" t="e">
        <f xml:space="preserve">
IF($A$4&lt;=12,SUMIFS(#REF!,#REF!,$A$4,#REF!,11),SUMIFS(#REF!,#REF!,11))</f>
        <v>#REF!</v>
      </c>
      <c r="D26" s="300" t="e">
        <f xml:space="preserve">
IF($A$4&lt;=12,SUMIFS(#REF!,#REF!,$A$4,#REF!,11),SUMIFS(#REF!,#REF!,11))</f>
        <v>#REF!</v>
      </c>
      <c r="E26" s="300" t="e">
        <f xml:space="preserve">
IF($A$4&lt;=12,SUMIFS(#REF!,#REF!,$A$4,#REF!,11),SUMIFS(#REF!,#REF!,11))</f>
        <v>#REF!</v>
      </c>
      <c r="F26" s="301" t="e">
        <f xml:space="preserve">
IF($A$4&lt;=12,SUMIFS(#REF!,#REF!,$A$4,#REF!,11),SUMIFS(#REF!,#REF!,11))</f>
        <v>#REF!</v>
      </c>
    </row>
    <row r="27" spans="1:46" x14ac:dyDescent="0.3">
      <c r="A27" s="216" t="s">
        <v>56</v>
      </c>
      <c r="B27" s="261" t="e">
        <f xml:space="preserve">
IF(B26=0,0,B25/B26)</f>
        <v>#REF!</v>
      </c>
      <c r="C27" s="302" t="e">
        <f xml:space="preserve">
IF(C26=0,0,C25/C26)</f>
        <v>#REF!</v>
      </c>
      <c r="D27" s="303" t="e">
        <f t="shared" ref="D27:E27" si="5" xml:space="preserve">
IF(D26=0,0,D25/D26)</f>
        <v>#REF!</v>
      </c>
      <c r="E27" s="303" t="e">
        <f t="shared" si="5"/>
        <v>#REF!</v>
      </c>
      <c r="F27" s="304" t="e">
        <f xml:space="preserve">
IF(F26=0,0,F25/F26)</f>
        <v>#REF!</v>
      </c>
    </row>
    <row r="28" spans="1:46" ht="15" thickBot="1" x14ac:dyDescent="0.35">
      <c r="A28" s="216" t="s">
        <v>147</v>
      </c>
      <c r="B28" s="239" t="e">
        <f xml:space="preserve">
SUM(C28:F28)</f>
        <v>#REF!</v>
      </c>
      <c r="C28" s="305" t="e">
        <f xml:space="preserve">
C26-C25</f>
        <v>#REF!</v>
      </c>
      <c r="D28" s="306" t="e">
        <f t="shared" ref="D28:E28" si="6" xml:space="preserve">
D26-D25</f>
        <v>#REF!</v>
      </c>
      <c r="E28" s="306" t="e">
        <f t="shared" si="6"/>
        <v>#REF!</v>
      </c>
      <c r="F28" s="307" t="e">
        <f xml:space="preserve">
F26-F25</f>
        <v>#REF!</v>
      </c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</row>
    <row r="29" spans="1:46" x14ac:dyDescent="0.3">
      <c r="A29" s="217"/>
      <c r="B29" s="217"/>
      <c r="C29" s="218"/>
      <c r="D29" s="217"/>
      <c r="E29" s="217"/>
      <c r="F29" s="217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127"/>
      <c r="AJ29" s="127"/>
      <c r="AK29" s="127"/>
      <c r="AL29" s="127"/>
      <c r="AM29" s="127"/>
    </row>
    <row r="30" spans="1:46" x14ac:dyDescent="0.3">
      <c r="A30" s="88" t="s">
        <v>120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145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57" t="s">
        <v>142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</row>
    <row r="33" spans="1:1" x14ac:dyDescent="0.3">
      <c r="A33" s="259" t="s">
        <v>220</v>
      </c>
    </row>
    <row r="34" spans="1:1" x14ac:dyDescent="0.3">
      <c r="A34" s="259" t="s">
        <v>221</v>
      </c>
    </row>
    <row r="35" spans="1:1" x14ac:dyDescent="0.3">
      <c r="A35" s="259" t="s">
        <v>222</v>
      </c>
    </row>
    <row r="36" spans="1:1" x14ac:dyDescent="0.3">
      <c r="A36" s="259" t="s">
        <v>223</v>
      </c>
    </row>
    <row r="37" spans="1:1" x14ac:dyDescent="0.3">
      <c r="A37" s="259" t="s">
        <v>150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AS22">
    <cfRule type="cellIs" dxfId="8" priority="15" operator="greaterThan">
      <formula>1</formula>
    </cfRule>
  </conditionalFormatting>
  <conditionalFormatting sqref="B23:AS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2017-09-07T11:11:34Z</dcterms:modified>
</cp:coreProperties>
</file>