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O8" i="431" l="1"/>
  <c r="J8" i="431"/>
  <c r="G8" i="431"/>
  <c r="P8" i="431"/>
  <c r="I8" i="431"/>
  <c r="H8" i="431"/>
  <c r="F8" i="431"/>
  <c r="K8" i="431"/>
  <c r="N8" i="431"/>
  <c r="Q8" i="431"/>
  <c r="C8" i="431"/>
  <c r="L8" i="431"/>
  <c r="E8" i="431"/>
  <c r="M8" i="431"/>
  <c r="D8" i="431"/>
  <c r="M6" i="431" l="1"/>
  <c r="L6" i="431"/>
  <c r="C6" i="431"/>
  <c r="S8" i="431"/>
  <c r="Q6" i="431"/>
  <c r="R8" i="431"/>
  <c r="N6" i="431"/>
  <c r="K6" i="431"/>
  <c r="H6" i="431"/>
  <c r="I6" i="431"/>
  <c r="P6" i="431"/>
  <c r="G6" i="431"/>
  <c r="J6" i="431"/>
  <c r="O6" i="431"/>
  <c r="S6" i="431" l="1"/>
  <c r="R6" i="431"/>
  <c r="D18" i="414" l="1"/>
  <c r="E18" i="414" s="1"/>
  <c r="D17" i="414"/>
  <c r="A19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<sst xmlns="http://schemas.openxmlformats.org/spreadsheetml/2006/main" count="1499" uniqueCount="496">
  <si>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</si>
  <si>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</si>
  <si>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</si>
  <si>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</si>
  <si>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</si>
  <si>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</si>
  <si>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</si>
  <si>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</si>
  <si>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</si>
  <si>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</si>
  <si>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</si>
  <si>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</si>
  <si>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</si>
  <si>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</si>
  <si>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</si>
  <si>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</si>
  <si>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</si>
  <si>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</si>
  <si>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</si>
  <si>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</si>
  <si>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</si>
  <si>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</si>
  <si>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</si>
  <si>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</si>
  <si>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</si>
  <si>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</si>
  <si>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</si>
  <si>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</si>
  <si>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</si>
  <si>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</si>
  <si>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</si>
  <si>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</si>
  <si>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</si>
  <si>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</si>
  <si>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</si>
  <si>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</si>
  <si>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</si>
  <si>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</si>
  <si>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</si>
  <si>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</si>
  <si>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</si>
  <si>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</si>
  <si>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</si>
  <si>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</si>
  <si>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</si>
  <si>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</si>
  <si>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</si>
  <si>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</si>
  <si>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</si>
  <si>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</si>
  <si>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</si>
  <si>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</si>
  <si>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</si>
  <si>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</si>
  <si>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</si>
  <si>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</si>
  <si>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</si>
  <si>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</si>
  <si>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</si>
  <si>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</si>
  <si>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</si>
  <si>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</si>
  <si>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</si>
  <si>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</si>
  <si>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</si>
  <si>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</si>
  <si>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</si>
  <si>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</si>
  <si>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</si>
  <si>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</si>
  <si>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</si>
  <si>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</si>
  <si>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</si>
  <si>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</si>
  <si>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</si>
  <si>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</si>
  <si>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</si>
  <si>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</si>
  <si>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</si>
  <si>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</si>
  <si>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</si>
  <si>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</si>
  <si>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</si>
  <si>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</si>
  <si>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</si>
  <si>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</si>
  <si>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</si>
  <si>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</si>
  <si>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</si>
  <si>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</si>
  <si>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</si>
  <si>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</si>
  <si>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</si>
  <si>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</si>
  <si>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</si>
  <si>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</si>
  <si>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</si>
  <si>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</si>
  <si>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</si>
  <si>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</si>
  <si>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</si>
  <si>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</si>
  <si>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</si>
  <si>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</si>
  <si>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</si>
  <si>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</si>
  <si>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</si>
  <si>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</si>
  <si>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</si>
  <si>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</si>
  <si>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</si>
  <si>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</si>
  <si>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</si>
  <si>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</si>
  <si>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</si>
  <si>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</si>
  <si>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</si>
  <si>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</si>
  <si>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</si>
  <si>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</si>
  <si>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</si>
  <si>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</si>
  <si>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</si>
  <si>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</si>
  <si>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</si>
  <si>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</si>
  <si>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</si>
  <si>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</si>
  <si>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</si>
  <si>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</si>
  <si>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</si>
  <si>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</si>
  <si>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</si>
  <si>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</si>
  <si>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</si>
  <si>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</si>
  <si>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</si>
  <si>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</si>
  <si>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</si>
  <si>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</si>
  <si>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</si>
  <si>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</si>
  <si>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</si>
  <si>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</si>
  <si>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</si>
  <si>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</si>
  <si>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</si>
  <si>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</si>
  <si>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</si>
  <si>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</si>
  <si>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</si>
  <si>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</si>
  <si>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</si>
  <si>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</si>
  <si>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</si>
  <si>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</si>
  <si>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</si>
  <si>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</si>
  <si>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</si>
  <si>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</si>
  <si>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</si>
  <si>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</si>
  <si>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</si>
  <si>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</si>
  <si>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</si>
  <si>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</si>
  <si>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</si>
  <si>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</si>
  <si>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</si>
  <si>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</si>
  <si>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</si>
  <si>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</si>
  <si>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</si>
  <si>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</si>
  <si>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</si>
  <si>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</si>
  <si>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</si>
  <si>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</si>
  <si>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</si>
  <si>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</si>
  <si>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</si>
  <si>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</si>
  <si>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</si>
  <si>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</si>
  <si>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</si>
  <si>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</si>
  <si>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</si>
  <si>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</si>
  <si>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</si>
  <si>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</si>
  <si>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</si>
  <si>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</si>
  <si>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</si>
  <si>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</si>
  <si>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</si>
  <si>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</si>
  <si>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</si>
  <si>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</si>
  <si>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</si>
  <si>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</si>
  <si>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</si>
  <si>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</si>
  <si>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Nutriční ambulance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</si>
  <si>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</si>
  <si>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</si>
  <si>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</si>
  <si>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</si>
  <si>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</si>
  <si>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</si>
  <si>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</si>
  <si>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50115     Zdravotnické prostředky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</si>
  <si>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</si>
  <si>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</si>
  <si>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</si>
  <si>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</si>
  <si>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</si>
  <si>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50115070     ZPr - katetry ostatní (Z513)</t>
  </si>
  <si>
    <t>50115089     ZPr - katetry PICC/MIDLINE (Z554)</t>
  </si>
  <si>
    <t>50117     Všeobecný materiál</t>
  </si>
  <si>
    <t>50117001     všeobecný materiál (N524,525,P35,49,T13,V26,31,32,34,35,37,47,111,Z510)</t>
  </si>
  <si>
    <t>50119     DDHM a textil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</si>
  <si>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</si>
  <si>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</si>
  <si>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</si>
  <si>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</si>
  <si>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50210073     pára</t>
  </si>
  <si>
    <t>51     Služby</t>
  </si>
  <si>
    <t>--</t>
  </si>
  <si>
    <t>51102     Technika a stavby</t>
  </si>
  <si>
    <t>51102021     opravy zdravotnické techniky</t>
  </si>
  <si>
    <t>51102023     opravy ostatní techniky</t>
  </si>
  <si>
    <t>51808     Revize a smluvní servisy majetku</t>
  </si>
  <si>
    <t>51808008     revize, tech.kontroly, prev.prohl.- OHM</t>
  </si>
  <si>
    <t>55     Odpisy, rezervy, komplexní náklady příštích období  a opravné položky provozních nákladů</t>
  </si>
  <si>
    <t>551     Odpisy DM</t>
  </si>
  <si>
    <t>55110     Odpisy DM</t>
  </si>
  <si>
    <t>55110004     odpisy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</si>
  <si>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</si>
  <si>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</si>
  <si>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</si>
  <si>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</si>
  <si>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</si>
  <si>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</si>
  <si>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</si>
  <si>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</si>
  <si>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</si>
  <si>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</si>
  <si>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</si>
  <si>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</si>
  <si>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</si>
  <si>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</si>
  <si>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</si>
  <si>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</si>
  <si>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</si>
  <si>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7     Účtová třída 7 - Vnitropodnikové účetnictví - náklady</t>
  </si>
  <si>
    <t>79     Vnitropodnikové náklady</t>
  </si>
  <si>
    <t>79906     VPN - prádelna</t>
  </si>
  <si>
    <t>79906000     výkony prádelny - praní prádla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</si>
  <si>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</si>
  <si>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</si>
  <si>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</si>
  <si>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</si>
  <si>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</si>
  <si>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57</t>
  </si>
  <si>
    <t>NUT: Nutriční ambulance</t>
  </si>
  <si>
    <t/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</si>
  <si>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</si>
  <si>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</si>
  <si>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</si>
  <si>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</si>
  <si>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</si>
  <si>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</si>
  <si>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</si>
  <si>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</si>
  <si>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SumaKL</t>
  </si>
  <si>
    <t>5721</t>
  </si>
  <si>
    <t>Nutriční ambulance: Nutriční ambulance</t>
  </si>
  <si>
    <t>Nutriční ambulance: Nutriční ambulance Celkem</t>
  </si>
  <si>
    <t>SumaNS</t>
  </si>
  <si>
    <t>mezeraNS</t>
  </si>
  <si>
    <t>50115050</t>
  </si>
  <si>
    <t>obvazový materiál (Z502)</t>
  </si>
  <si>
    <t>ZM985</t>
  </si>
  <si>
    <t>Fixace atraumatická GripLock k CVC a PICC bal. á 100 ks 3601CVC</t>
  </si>
  <si>
    <t>ZA602</t>
  </si>
  <si>
    <t>Kompresa gáza 5,0 x 5,0 cm/2 ks sterilní karton á 1000 ks 26001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</si>
  <si>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</si>
  <si>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</si>
  <si>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</si>
  <si>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ZA464</t>
  </si>
  <si>
    <t>Kompresa NT 10 x 10 cm/2 ks sterilní 26520</t>
  </si>
  <si>
    <t>ZA315</t>
  </si>
  <si>
    <t>Kompresa NT 5 x 5 cm/2 ks sterilní 26501</t>
  </si>
  <si>
    <t>ZC854</t>
  </si>
  <si>
    <t>Kompresa NT 7,5 x 7,5 cm/2 ks sterilní 26510</t>
  </si>
  <si>
    <t>ZH403</t>
  </si>
  <si>
    <t>Krytí excilon 5 x 5 cm NT i.v. s nástřihem do kříže antiseptický bal. á 70 ks 7089</t>
  </si>
  <si>
    <t>ZK760</t>
  </si>
  <si>
    <t>Krytí tegaderm + PAD na i. v. vstupy bal. á 25 ks 9 x 10 cm 3586</t>
  </si>
  <si>
    <t>ZL669</t>
  </si>
  <si>
    <t>Krytí tegaderm diamond 10,0 cm x 12,0 cm bal. á 50 ks 1686</t>
  </si>
  <si>
    <t>ZO420</t>
  </si>
  <si>
    <t>Krytí tegaderm CHG 7,5 cm x 8,5 cm na CŽK-antibakt. bal. á 25 ks 1660R</t>
  </si>
  <si>
    <t>ZK646</t>
  </si>
  <si>
    <t>Krytí tegaderm CHG 8,5 cm x 11,5 cm na CŽK-antibakt. bal. á 25 ks 1657R</t>
  </si>
  <si>
    <t>ZI599</t>
  </si>
  <si>
    <t>Náplast curapor 10 x   8 cm 32913 ( 22121,  náhrada za cosmopor )</t>
  </si>
  <si>
    <t>ZI600</t>
  </si>
  <si>
    <t>Náplast curapor 10 x 15 cm 32914 ( náhrada za cosmopor )</t>
  </si>
  <si>
    <t>ZH011</t>
  </si>
  <si>
    <t>Náplast micropore 1,25 cm x 9,14 m bal. á 24 ks 1530-0</t>
  </si>
  <si>
    <t>ZA314</t>
  </si>
  <si>
    <t>Obinadlo idealast-haft 8 cm x   4 m 9311113</t>
  </si>
  <si>
    <t>ZP212</t>
  </si>
  <si>
    <t>Obvaz elastický síťový pruban Tg-fix vel. C paže, noha, loket 25 m 24252</t>
  </si>
  <si>
    <t>ZA615</t>
  </si>
  <si>
    <t>Tampón cavilon 1 ml bal. á 25 ks 3343E</t>
  </si>
  <si>
    <t>ZA593</t>
  </si>
  <si>
    <t>Tampon sterilní stáčený 20 x 20 cm / 5 ks 28003+</t>
  </si>
  <si>
    <t>50115060</t>
  </si>
  <si>
    <t>ZPr - ostatní (Z503)</t>
  </si>
  <si>
    <t>ZA675</t>
  </si>
  <si>
    <t>Cévka pupeční CP-01 GAM646958</t>
  </si>
  <si>
    <t>ZA738</t>
  </si>
  <si>
    <t>Filtr mini spike zelený 4550242</t>
  </si>
  <si>
    <t>ZH212</t>
  </si>
  <si>
    <t>Hadička prodlužovací sada bal. á 50 ks 4097145</t>
  </si>
  <si>
    <t>ZN298</t>
  </si>
  <si>
    <t>Hadička spojovací Gamaplus HS 1,8 x 1800 LL NO DOP 606304-ND</t>
  </si>
  <si>
    <t>ZN299</t>
  </si>
  <si>
    <t>Hadička spojovací Gamaplus HS 1,8 x 1800 UNIV NO DOP 606307-ND</t>
  </si>
  <si>
    <t>ZN297</t>
  </si>
  <si>
    <t>Hadička spojovací Gamaplus HS 1,8 x 450 LL NO DOP 606301-ND</t>
  </si>
  <si>
    <t>ZQ249</t>
  </si>
  <si>
    <t>Hadička spojovací HS 1,8 x 1800 mm LL DEPH free 2200 180 ND</t>
  </si>
  <si>
    <t>ZQ248</t>
  </si>
  <si>
    <t>Hadička spojovací HS 1,8 x 450 mm LL DEPH free 2200 045 ND</t>
  </si>
  <si>
    <t>ZF973</t>
  </si>
  <si>
    <t>Hadička tlaková spojovací unicath 1,5 mm x   25 cm LL na obou koncích male-male bal. á 40 ks PN 1202</t>
  </si>
  <si>
    <t>ZK884</t>
  </si>
  <si>
    <t>Kohout trojcestný discofix modrý 4095111</t>
  </si>
  <si>
    <t>ZB334</t>
  </si>
  <si>
    <t>Konektor bezjehlový bionecteur á 50 ks 896.03 povoleno pouze pro HOK, DK a NOVOR</t>
  </si>
  <si>
    <t>ZO372</t>
  </si>
  <si>
    <t>Konektor bezjehlový OptiSyte JIM:JSM4001</t>
  </si>
  <si>
    <t>ZO087</t>
  </si>
  <si>
    <t>Konektor flocare na aplikační set s konektorem Luer NOVÝ 30 ks 589735</t>
  </si>
  <si>
    <t>ZO086</t>
  </si>
  <si>
    <t>Konektor flocare na sondu Luer NOVÝ 30 ks 589733</t>
  </si>
  <si>
    <t>ZO083</t>
  </si>
  <si>
    <t>Konektor flocare transition NOVÝ 30 ks (je součástí setu) 589732</t>
  </si>
  <si>
    <t>ZP078</t>
  </si>
  <si>
    <t>Kontejner 25 ml PP šroubový sterilní uzávěr 2680/EST/SG</t>
  </si>
  <si>
    <t>ZF159</t>
  </si>
  <si>
    <t>Nádoba na kontaminovaný odpad 1 l 15-0002</t>
  </si>
  <si>
    <t>ZP835</t>
  </si>
  <si>
    <t>Regulátor průtoku infuze Flow Regulator 5 až 250 ml/hod včetně spojovací hadičky 55 cm bal á 50 ks 02-018-01</t>
  </si>
  <si>
    <t>ZH546</t>
  </si>
  <si>
    <t>Set flocare infinity pack mobile W/O MP Transition (APA 3227163) pro domácí péči 586484</t>
  </si>
  <si>
    <t>ZN906</t>
  </si>
  <si>
    <t>Set flocare infinity pack transition (APA 3386415) pro nemocniční péči 586514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</si>
  <si>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</si>
  <si>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</si>
  <si>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</si>
  <si>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</si>
  <si>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</si>
  <si>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</si>
  <si>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ZH168</t>
  </si>
  <si>
    <t>Stříkačka injekční 3-dílná 1 ml L tuberculin s jehlou KD-JECT III 26G x 1/2" 0,45 x 12 mm 831786</t>
  </si>
  <si>
    <t>ZH491</t>
  </si>
  <si>
    <t>Stříkačka injekční 3-dílná 50 - 60 ml LL MRG00711</t>
  </si>
  <si>
    <t>ZP675</t>
  </si>
  <si>
    <t>Stříkačka injekční pro enterální výživu 25 ml NUTRICAIR ENFIT excentrická bal.á 50 ks NCE20SE</t>
  </si>
  <si>
    <t>ZK798</t>
  </si>
  <si>
    <t>Zátka combi modrá 4495152</t>
  </si>
  <si>
    <t>50115063</t>
  </si>
  <si>
    <t>ZPr - vaky, sety (Z528)</t>
  </si>
  <si>
    <t>ZN400</t>
  </si>
  <si>
    <t>Set infuzní  Spike (DEHP free) s filtrem 1,2 um k mobilní pumpě Mini Rythmic PN+ bal. á 20 ks KM1EE148X</t>
  </si>
  <si>
    <t>ZA715</t>
  </si>
  <si>
    <t>Set infuzní intrafix primeline classic 150 cm 4062957</t>
  </si>
  <si>
    <t>ZB715</t>
  </si>
  <si>
    <t>Set pro enterální výživu kangaro univ.  á 30 ks  S777403</t>
  </si>
  <si>
    <t>50115065</t>
  </si>
  <si>
    <t>ZPr - vpichovací materiál (Z530)</t>
  </si>
  <si>
    <t>ZB781</t>
  </si>
  <si>
    <t>Jehla cytocan žlutá bal. á 25 ks 4439767</t>
  </si>
  <si>
    <t>ZC634</t>
  </si>
  <si>
    <t>Jehla gripper portacath bez Y protu 22G x 16 mm á 12 ks 21-2737-24</t>
  </si>
  <si>
    <t>ZA834</t>
  </si>
  <si>
    <t>Jehla injekční 0,7 x 40 mm černá 4660021</t>
  </si>
  <si>
    <t>ZB556</t>
  </si>
  <si>
    <t>Jehla injekční 1,2 x 40 mm růžová 4665120</t>
  </si>
  <si>
    <t>50115067</t>
  </si>
  <si>
    <t>ZPr - rukavice (Z532)</t>
  </si>
  <si>
    <t>ZP947</t>
  </si>
  <si>
    <t>Rukavice nitril basic bez p. modré M bal. á 200 ks 44751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</si>
  <si>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</si>
  <si>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</si>
  <si>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</si>
  <si>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</si>
  <si>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</si>
  <si>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</si>
  <si>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</si>
  <si>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</si>
  <si>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</si>
  <si>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</si>
  <si>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</si>
  <si>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Rukavice vyšetřovací nitril bez pudru nesterilní basic modré M bal. á 200 ks 44751</t>
  </si>
  <si>
    <t>50115070</t>
  </si>
  <si>
    <t>ZPr - katetry ostatní (Z513)</t>
  </si>
  <si>
    <t>ZA240</t>
  </si>
  <si>
    <t>Katetr broviak 1 lumen 6,6 Fr x 90 cm 0600540CE</t>
  </si>
  <si>
    <t>50115089</t>
  </si>
  <si>
    <t>ZPr - katetry PICC/MIDLINE (Z554)</t>
  </si>
  <si>
    <t>ZO096</t>
  </si>
  <si>
    <t>Katetr CVC 2 lumen 5 Fr x 50 cm PICC MSB set. EU-025052-HPMSB</t>
  </si>
  <si>
    <t>ZP296</t>
  </si>
  <si>
    <t>Katetr CVC 2 lumen 5 Fr x 50 cm PICC POWERPICC SOLO možnost vysokotlakého CT Full tray set ( mikro zaváděcí příslušenství a rouškování) 6295108</t>
  </si>
  <si>
    <t>Spotřeba zdravotnického materiálu - orientační přehled</t>
  </si>
  <si>
    <t>Specializovaná ambulantní péče</t>
  </si>
  <si>
    <t>101 - Pracoviště interního lékařství</t>
  </si>
  <si>
    <t>501 - Pracoviště chirurgie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</si>
  <si>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</si>
  <si>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</si>
  <si>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</si>
  <si>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</si>
  <si>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</si>
  <si>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</si>
  <si>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</si>
  <si>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Bawadekjiová Diana</t>
  </si>
  <si>
    <t>Berka Zdeněk</t>
  </si>
  <si>
    <t>Gregar Jan</t>
  </si>
  <si>
    <t>Homolová Zuzana</t>
  </si>
  <si>
    <t>Hrabalová Monika</t>
  </si>
  <si>
    <t>Konečný Michal</t>
  </si>
  <si>
    <t>Koudelková Gabriela</t>
  </si>
  <si>
    <t>Navrátil Vít</t>
  </si>
  <si>
    <t>Procházka Vlastimil</t>
  </si>
  <si>
    <t>Sovová Markéta</t>
  </si>
  <si>
    <t>Sychra Pavel</t>
  </si>
  <si>
    <t>Špatenková Veronika</t>
  </si>
  <si>
    <t>Vrzalová Drahomíra</t>
  </si>
  <si>
    <t>Zborovjanová Veronika</t>
  </si>
  <si>
    <t>Zdravotní výkony vykázané na pracovišti v rámci ambulantní péče dle lékařů *</t>
  </si>
  <si>
    <t>06</t>
  </si>
  <si>
    <t>101</t>
  </si>
  <si>
    <t>1</t>
  </si>
  <si>
    <t>0107298</t>
  </si>
  <si>
    <t>0,9% SODIUM CHLORIDE IN WATER FOR INJECTION FRESEN</t>
  </si>
  <si>
    <t>0155379</t>
  </si>
  <si>
    <t>FERINJECT</t>
  </si>
  <si>
    <t>V</t>
  </si>
  <si>
    <t>09220</t>
  </si>
  <si>
    <t xml:space="preserve">KANYLACE PERIFERNÍ ŽÍLY VČETNĚ INFÚZE             </t>
  </si>
  <si>
    <t>09511</t>
  </si>
  <si>
    <t xml:space="preserve">MINIMÁLNÍ KONTAKT LÉKAŘE S PACIENTEM              </t>
  </si>
  <si>
    <t>11022</t>
  </si>
  <si>
    <t xml:space="preserve">CÍLENÉ VYŠETŘENÍ INTERNISTOU                      </t>
  </si>
  <si>
    <t>09543</t>
  </si>
  <si>
    <t xml:space="preserve">Signalni kod                                      </t>
  </si>
  <si>
    <t>09119</t>
  </si>
  <si>
    <t xml:space="preserve">ODBĚR KRVE ZE ŽÍLY U DOSPĚLÉHO NEBO DÍTĚTE NAD 10 </t>
  </si>
  <si>
    <t>11023</t>
  </si>
  <si>
    <t>KONTROLNÍ VYŠETŘENÍ INTERNISTOU</t>
  </si>
  <si>
    <t xml:space="preserve">KONTROLNÍ VYŠETŘENÍ INTERNISTOU                   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</si>
  <si>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</si>
  <si>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</si>
  <si>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</si>
  <si>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</si>
  <si>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</si>
  <si>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</si>
  <si>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501</t>
  </si>
  <si>
    <t>51022</t>
  </si>
  <si>
    <t xml:space="preserve">CÍLENÉ VYŠETŘENÍ CHIRURGEM             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</si>
  <si>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</si>
  <si>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</si>
  <si>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</si>
  <si>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</si>
  <si>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</si>
  <si>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</si>
  <si>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13 - Otolaryngologická klinika</t>
  </si>
  <si>
    <t>16 - Klinika plicních nemocí a tuberkulózy</t>
  </si>
  <si>
    <t>17 - Neurologická klinika</t>
  </si>
  <si>
    <t>21 - Onkologická klinika</t>
  </si>
  <si>
    <t>01</t>
  </si>
  <si>
    <t>02</t>
  </si>
  <si>
    <t>MINIMÁLNÍ KONTAKT LÉKAŘE S PACIENTEM</t>
  </si>
  <si>
    <t>CÍLENÉ VYŠETŘENÍ INTERNISTOU</t>
  </si>
  <si>
    <t>03</t>
  </si>
  <si>
    <t>04</t>
  </si>
  <si>
    <t>13</t>
  </si>
  <si>
    <t>16</t>
  </si>
  <si>
    <t>17</t>
  </si>
  <si>
    <t>21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</si>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</sst>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6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8" borderId="97" xfId="0" applyNumberFormat="1" applyFont="1" applyFill="1" applyBorder="1" applyAlignment="1">
      <alignment horizontal="right" vertical="top"/>
    </xf>
    <xf numFmtId="3" fontId="33" fillId="8" borderId="98" xfId="0" applyNumberFormat="1" applyFont="1" applyFill="1" applyBorder="1" applyAlignment="1">
      <alignment horizontal="right" vertical="top"/>
    </xf>
    <xf numFmtId="177" fontId="33" fillId="8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8" borderId="100" xfId="0" applyNumberFormat="1" applyFont="1" applyFill="1" applyBorder="1" applyAlignment="1">
      <alignment horizontal="right" vertical="top"/>
    </xf>
    <xf numFmtId="3" fontId="35" fillId="8" borderId="102" xfId="0" applyNumberFormat="1" applyFont="1" applyFill="1" applyBorder="1" applyAlignment="1">
      <alignment horizontal="right" vertical="top"/>
    </xf>
    <xf numFmtId="3" fontId="35" fillId="8" borderId="103" xfId="0" applyNumberFormat="1" applyFont="1" applyFill="1" applyBorder="1" applyAlignment="1">
      <alignment horizontal="right" vertical="top"/>
    </xf>
    <xf numFmtId="0" fontId="35" fillId="8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8" borderId="105" xfId="0" applyFont="1" applyFill="1" applyBorder="1" applyAlignment="1">
      <alignment horizontal="right" vertical="top"/>
    </xf>
    <xf numFmtId="0" fontId="33" fillId="8" borderId="99" xfId="0" applyFont="1" applyFill="1" applyBorder="1" applyAlignment="1">
      <alignment horizontal="right" vertical="top"/>
    </xf>
    <xf numFmtId="0" fontId="33" fillId="8" borderId="100" xfId="0" applyFont="1" applyFill="1" applyBorder="1" applyAlignment="1">
      <alignment horizontal="right" vertical="top"/>
    </xf>
    <xf numFmtId="177" fontId="35" fillId="8" borderId="104" xfId="0" applyNumberFormat="1" applyFont="1" applyFill="1" applyBorder="1" applyAlignment="1">
      <alignment horizontal="right" vertical="top"/>
    </xf>
    <xf numFmtId="177" fontId="35" fillId="8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0" fontId="35" fillId="0" borderId="108" xfId="0" applyFont="1" applyBorder="1" applyAlignment="1">
      <alignment horizontal="right" vertical="top"/>
    </xf>
    <xf numFmtId="177" fontId="35" fillId="8" borderId="109" xfId="0" applyNumberFormat="1" applyFont="1" applyFill="1" applyBorder="1" applyAlignment="1">
      <alignment horizontal="right" vertical="top"/>
    </xf>
    <xf numFmtId="0" fontId="37" fillId="9" borderId="96" xfId="0" applyFont="1" applyFill="1" applyBorder="1" applyAlignment="1">
      <alignment vertical="top"/>
    </xf>
    <xf numFmtId="0" fontId="37" fillId="9" borderId="96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4"/>
    </xf>
    <xf numFmtId="0" fontId="38" fillId="9" borderId="101" xfId="0" applyFont="1" applyFill="1" applyBorder="1" applyAlignment="1">
      <alignment vertical="top" indent="6"/>
    </xf>
    <xf numFmtId="0" fontId="37" fillId="9" borderId="96" xfId="0" applyFont="1" applyFill="1" applyBorder="1" applyAlignment="1">
      <alignment vertical="top" indent="8"/>
    </xf>
    <xf numFmtId="0" fontId="38" fillId="9" borderId="101" xfId="0" applyFont="1" applyFill="1" applyBorder="1" applyAlignment="1">
      <alignment vertical="top" indent="2"/>
    </xf>
    <xf numFmtId="0" fontId="37" fillId="9" borderId="96" xfId="0" applyFont="1" applyFill="1" applyBorder="1" applyAlignment="1">
      <alignment vertical="top" indent="6"/>
    </xf>
    <xf numFmtId="0" fontId="38" fillId="9" borderId="101" xfId="0" applyFont="1" applyFill="1" applyBorder="1" applyAlignment="1">
      <alignment vertical="top" indent="4"/>
    </xf>
    <xf numFmtId="0" fontId="32" fillId="9" borderId="96" xfId="0" applyFont="1" applyFill="1" applyBorder="1"/>
    <xf numFmtId="0" fontId="38" fillId="9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71" xfId="0" applyFont="1" applyBorder="1" applyAlignment="1">
      <alignment horizontal="left" indent="1"/>
    </xf>
    <xf numFmtId="0" fontId="58" fillId="0" borderId="66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7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69"/>
      <tableStyleElement type="headerRow" dxfId="68"/>
      <tableStyleElement type="totalRow" dxfId="67"/>
      <tableStyleElement type="firstColumn" dxfId="66"/>
      <tableStyleElement type="lastColumn" dxfId="65"/>
      <tableStyleElement type="firstRowStripe" dxfId="64"/>
      <tableStyleElement type="firstColumnStripe" dxfId="63"/>
    </tableStyle>
    <tableStyle name="TableStyleMedium2 2" pivot="0" count="7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2.051536532554167</c:v>
                </c:pt>
                <c:pt idx="1">
                  <c:v>1.9648435429060536</c:v>
                </c:pt>
                <c:pt idx="2">
                  <c:v>2.1107547380973881</c:v>
                </c:pt>
                <c:pt idx="3">
                  <c:v>2.3627482162040487</c:v>
                </c:pt>
                <c:pt idx="4">
                  <c:v>1.7142862519687141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1.9908741379152946</c:v>
                </c:pt>
                <c:pt idx="1">
                  <c:v>1.9908741379152946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8" totalsRowShown="0" headerRowDxfId="55" tableBorderDxfId="54">
  <autoFilter ref="A7:S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53"/>
    <tableColumn id="2" name="popis" dataDxfId="52"/>
    <tableColumn id="3" name="01 uv_sk" dataDxfId="51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name="02 uv_pla" dataDxfId="50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name="03 uv_pln" dataDxfId="49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name="04 uv_rozd" dataDxfId="48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name="05 h_vram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name="06 h_naduv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name="07 h_nadzk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name="08 h_oon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name="09 m_kl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name="10 m_gr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name="11 m_jo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name="12 m_oc" dataDxfId="4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name="13 m_sk" dataDxfId="3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name="14_vzsk" dataDxfId="3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name="15_vzpl" dataDxfId="3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name="16_vzpln" dataDxfId="36">
      <calculatedColumnFormula>IF(Tabulka[[#This Row],[15_vzpl]]=0,"",Tabulka[[#This Row],[14_vzsk]]/Tabulka[[#This Row],[15_vzpl]])</calculatedColumnFormula>
    </tableColumn>
    <tableColumn id="20" name="17_vzroz" dataDxfId="3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272" t="s">
        <v>89</v>
      </c>
      <c r="B1" s="272"/>
    </row>
    <row r="2" spans="1:3" ht="14.4" customHeight="1" thickBot="1" x14ac:dyDescent="0.35">
      <c r="A2" s="199" t="s">
        <v>202</v>
      </c>
      <c r="B2" s="41"/>
    </row>
    <row r="3" spans="1:3" ht="14.4" customHeight="1" thickBot="1" x14ac:dyDescent="0.35">
      <c r="A3" s="268" t="s">
        <v>109</v>
      </c>
      <c r="B3" s="269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" customHeight="1" x14ac:dyDescent="0.3">
      <c r="A5" s="118" t="str">
        <f t="shared" si="0"/>
        <v>HI</v>
      </c>
      <c r="B5" s="65" t="s">
        <v>107</v>
      </c>
      <c r="C5" s="42" t="s">
        <v>92</v>
      </c>
    </row>
    <row r="6" spans="1:3" ht="14.4" customHeight="1" x14ac:dyDescent="0.3">
      <c r="A6" s="119" t="str">
        <f t="shared" si="0"/>
        <v>HI Graf</v>
      </c>
      <c r="B6" s="66" t="s">
        <v>85</v>
      </c>
      <c r="C6" s="42" t="s">
        <v>93</v>
      </c>
    </row>
    <row r="7" spans="1:3" ht="14.4" customHeight="1" x14ac:dyDescent="0.3">
      <c r="A7" s="119" t="str">
        <f t="shared" si="0"/>
        <v>Man Tab</v>
      </c>
      <c r="B7" s="66" t="s">
        <v>204</v>
      </c>
      <c r="C7" s="42" t="s">
        <v>94</v>
      </c>
    </row>
    <row r="8" spans="1:3" ht="14.4" customHeight="1" thickBot="1" x14ac:dyDescent="0.35">
      <c r="A8" s="120" t="str">
        <f t="shared" si="0"/>
        <v>HV</v>
      </c>
      <c r="B8" s="67" t="s">
        <v>43</v>
      </c>
      <c r="C8" s="42" t="s">
        <v>48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70" t="s">
        <v>90</v>
      </c>
      <c r="B10" s="269"/>
    </row>
    <row r="11" spans="1:3" ht="14.4" customHeight="1" x14ac:dyDescent="0.3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" customHeight="1" x14ac:dyDescent="0.3">
      <c r="A12" s="119" t="str">
        <f t="shared" ref="A12:A13" si="2">HYPERLINK("#'"&amp;C12&amp;"'!A1",C12)</f>
        <v>MŽ Detail</v>
      </c>
      <c r="B12" s="66" t="s">
        <v>419</v>
      </c>
      <c r="C12" s="42" t="s">
        <v>96</v>
      </c>
    </row>
    <row r="13" spans="1:3" ht="14.4" customHeight="1" thickBot="1" x14ac:dyDescent="0.35">
      <c r="A13" s="121" t="str">
        <f t="shared" si="2"/>
        <v>Osobní náklady</v>
      </c>
      <c r="B13" s="66" t="s">
        <v>87</v>
      </c>
      <c r="C13" s="42" t="s">
        <v>97</v>
      </c>
    </row>
    <row r="14" spans="1:3" ht="14.4" customHeight="1" thickBot="1" x14ac:dyDescent="0.35">
      <c r="A14" s="69"/>
      <c r="B14" s="69"/>
    </row>
    <row r="15" spans="1:3" ht="14.4" customHeight="1" thickBot="1" x14ac:dyDescent="0.35">
      <c r="A15" s="271" t="s">
        <v>91</v>
      </c>
      <c r="B15" s="269"/>
    </row>
    <row r="16" spans="1:3" ht="14.4" customHeight="1" x14ac:dyDescent="0.3">
      <c r="A16" s="122" t="str">
        <f t="shared" ref="A16:A21" si="3">HYPERLINK("#'"&amp;C16&amp;"'!A1",C16)</f>
        <v>ZV Vykáz.-A</v>
      </c>
      <c r="B16" s="65" t="s">
        <v>423</v>
      </c>
      <c r="C16" s="42" t="s">
        <v>100</v>
      </c>
    </row>
    <row r="17" spans="1:3" ht="14.4" customHeight="1" x14ac:dyDescent="0.3">
      <c r="A17" s="119" t="str">
        <f t="shared" ref="A17" si="4">HYPERLINK("#'"&amp;C17&amp;"'!A1",C17)</f>
        <v>ZV Vykáz.-A Lékaři</v>
      </c>
      <c r="B17" s="66" t="s">
        <v>444</v>
      </c>
      <c r="C17" s="42" t="s">
        <v>142</v>
      </c>
    </row>
    <row r="18" spans="1:3" ht="14.4" customHeight="1" x14ac:dyDescent="0.3">
      <c r="A18" s="119" t="str">
        <f t="shared" si="3"/>
        <v>ZV Vykáz.-A Detail</v>
      </c>
      <c r="B18" s="66" t="s">
        <v>475</v>
      </c>
      <c r="C18" s="42" t="s">
        <v>101</v>
      </c>
    </row>
    <row r="19" spans="1:3" ht="14.4" customHeight="1" x14ac:dyDescent="0.3">
      <c r="A19" s="223" t="str">
        <f>HYPERLINK("#'"&amp;C19&amp;"'!A1",C19)</f>
        <v>ZV Vykáz.-A Det.Lék.</v>
      </c>
      <c r="B19" s="66" t="s">
        <v>476</v>
      </c>
      <c r="C19" s="42" t="s">
        <v>146</v>
      </c>
    </row>
    <row r="20" spans="1:3" ht="14.4" customHeight="1" x14ac:dyDescent="0.3">
      <c r="A20" s="119" t="str">
        <f t="shared" si="3"/>
        <v>ZV Vykáz.-H</v>
      </c>
      <c r="B20" s="66" t="s">
        <v>104</v>
      </c>
      <c r="C20" s="42" t="s">
        <v>102</v>
      </c>
    </row>
    <row r="21" spans="1:3" ht="14.4" customHeight="1" x14ac:dyDescent="0.3">
      <c r="A21" s="119" t="str">
        <f t="shared" si="3"/>
        <v>ZV Vykáz.-H Detail</v>
      </c>
      <c r="B21" s="66" t="s">
        <v>495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47" t="s">
        <v>423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  <c r="H2" s="86"/>
      <c r="I2" s="194"/>
      <c r="J2" s="194"/>
      <c r="K2" s="86"/>
      <c r="L2" s="86"/>
      <c r="M2" s="86"/>
      <c r="N2" s="86"/>
      <c r="O2" s="86"/>
      <c r="P2" s="86"/>
      <c r="Q2" s="86"/>
      <c r="R2" s="194"/>
      <c r="S2" s="194"/>
      <c r="T2" s="86"/>
      <c r="U2" s="86"/>
      <c r="V2" s="86"/>
      <c r="W2" s="86"/>
      <c r="X2" s="86"/>
      <c r="Y2" s="86"/>
      <c r="Z2" s="86"/>
      <c r="AA2" s="194"/>
      <c r="AB2" s="194"/>
    </row>
    <row r="3" spans="1:28" ht="14.4" customHeight="1" thickBot="1" x14ac:dyDescent="0.35">
      <c r="A3" s="187" t="s">
        <v>105</v>
      </c>
      <c r="B3" s="188">
        <f>SUBTOTAL(9,B6:B1048576)/4</f>
        <v>401418</v>
      </c>
      <c r="C3" s="189">
        <f t="shared" ref="C3:Z3" si="0">SUBTOTAL(9,C6:C1048576)</f>
        <v>5</v>
      </c>
      <c r="D3" s="189"/>
      <c r="E3" s="189">
        <f>SUBTOTAL(9,E6:E1048576)/4</f>
        <v>1019246.3300000001</v>
      </c>
      <c r="F3" s="189"/>
      <c r="G3" s="189">
        <f t="shared" si="0"/>
        <v>5</v>
      </c>
      <c r="H3" s="189">
        <f>SUBTOTAL(9,H6:H1048576)/4</f>
        <v>901829</v>
      </c>
      <c r="I3" s="192">
        <f>IF(B3&lt;&gt;0,H3/B3,"")</f>
        <v>2.2466082736698403</v>
      </c>
      <c r="J3" s="190">
        <f>IF(E3&lt;&gt;0,H3/E3,"")</f>
        <v>0.88479985010100548</v>
      </c>
      <c r="K3" s="191">
        <f t="shared" si="0"/>
        <v>0</v>
      </c>
      <c r="L3" s="191"/>
      <c r="M3" s="189">
        <f t="shared" si="0"/>
        <v>0</v>
      </c>
      <c r="N3" s="189">
        <f t="shared" si="0"/>
        <v>2249.98</v>
      </c>
      <c r="O3" s="189"/>
      <c r="P3" s="189">
        <f t="shared" si="0"/>
        <v>2</v>
      </c>
      <c r="Q3" s="189">
        <f t="shared" si="0"/>
        <v>0</v>
      </c>
      <c r="R3" s="192" t="str">
        <f>IF(K3&lt;&gt;0,Q3/K3,"")</f>
        <v/>
      </c>
      <c r="S3" s="192">
        <f>IF(N3&lt;&gt;0,Q3/N3,"")</f>
        <v>0</v>
      </c>
      <c r="T3" s="188">
        <f t="shared" si="0"/>
        <v>0</v>
      </c>
      <c r="U3" s="191"/>
      <c r="V3" s="189">
        <f t="shared" si="0"/>
        <v>0</v>
      </c>
      <c r="W3" s="189">
        <f t="shared" si="0"/>
        <v>0</v>
      </c>
      <c r="X3" s="189"/>
      <c r="Y3" s="189">
        <f t="shared" si="0"/>
        <v>0</v>
      </c>
      <c r="Z3" s="189">
        <f t="shared" si="0"/>
        <v>0</v>
      </c>
      <c r="AA3" s="192" t="str">
        <f>IF(T3&lt;&gt;0,Z3/T3,"")</f>
        <v/>
      </c>
      <c r="AB3" s="190" t="str">
        <f>IF(W3&lt;&gt;0,Z3/W3,"")</f>
        <v/>
      </c>
    </row>
    <row r="4" spans="1:28" ht="14.4" customHeight="1" x14ac:dyDescent="0.3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" customHeight="1" thickBot="1" x14ac:dyDescent="0.35">
      <c r="A5" s="424"/>
      <c r="B5" s="425">
        <v>2015</v>
      </c>
      <c r="C5" s="426"/>
      <c r="D5" s="426"/>
      <c r="E5" s="426">
        <v>2017</v>
      </c>
      <c r="F5" s="426"/>
      <c r="G5" s="426"/>
      <c r="H5" s="426">
        <v>2018</v>
      </c>
      <c r="I5" s="427" t="s">
        <v>144</v>
      </c>
      <c r="J5" s="428" t="s">
        <v>2</v>
      </c>
      <c r="K5" s="425">
        <v>2015</v>
      </c>
      <c r="L5" s="426"/>
      <c r="M5" s="426"/>
      <c r="N5" s="426">
        <v>2017</v>
      </c>
      <c r="O5" s="426"/>
      <c r="P5" s="426"/>
      <c r="Q5" s="426">
        <v>2018</v>
      </c>
      <c r="R5" s="427" t="s">
        <v>144</v>
      </c>
      <c r="S5" s="428" t="s">
        <v>2</v>
      </c>
      <c r="T5" s="425">
        <v>2015</v>
      </c>
      <c r="U5" s="426"/>
      <c r="V5" s="426"/>
      <c r="W5" s="426">
        <v>2017</v>
      </c>
      <c r="X5" s="426"/>
      <c r="Y5" s="426"/>
      <c r="Z5" s="426">
        <v>2018</v>
      </c>
      <c r="AA5" s="427" t="s">
        <v>144</v>
      </c>
      <c r="AB5" s="428" t="s">
        <v>2</v>
      </c>
    </row>
    <row r="6" spans="1:28" ht="14.4" customHeight="1" x14ac:dyDescent="0.3">
      <c r="A6" s="429" t="s">
        <v>420</v>
      </c>
      <c r="B6" s="430">
        <v>401418</v>
      </c>
      <c r="C6" s="431">
        <v>1</v>
      </c>
      <c r="D6" s="431">
        <v>0.39383806267911703</v>
      </c>
      <c r="E6" s="430">
        <v>1019246.33</v>
      </c>
      <c r="F6" s="431">
        <v>2.5391146635178292</v>
      </c>
      <c r="G6" s="431">
        <v>1</v>
      </c>
      <c r="H6" s="430">
        <v>901829</v>
      </c>
      <c r="I6" s="431">
        <v>2.2466082736698403</v>
      </c>
      <c r="J6" s="431">
        <v>0.88479985010100559</v>
      </c>
      <c r="K6" s="430"/>
      <c r="L6" s="431"/>
      <c r="M6" s="431"/>
      <c r="N6" s="430">
        <v>1124.99</v>
      </c>
      <c r="O6" s="431"/>
      <c r="P6" s="431">
        <v>1</v>
      </c>
      <c r="Q6" s="430"/>
      <c r="R6" s="431"/>
      <c r="S6" s="431"/>
      <c r="T6" s="430"/>
      <c r="U6" s="431"/>
      <c r="V6" s="431"/>
      <c r="W6" s="430"/>
      <c r="X6" s="431"/>
      <c r="Y6" s="431"/>
      <c r="Z6" s="430"/>
      <c r="AA6" s="431"/>
      <c r="AB6" s="432"/>
    </row>
    <row r="7" spans="1:28" ht="14.4" customHeight="1" x14ac:dyDescent="0.3">
      <c r="A7" s="439" t="s">
        <v>421</v>
      </c>
      <c r="B7" s="433">
        <v>401167</v>
      </c>
      <c r="C7" s="434">
        <v>1</v>
      </c>
      <c r="D7" s="434">
        <v>0.39359180228787288</v>
      </c>
      <c r="E7" s="433">
        <v>1019246.33</v>
      </c>
      <c r="F7" s="434">
        <v>2.5407033230549869</v>
      </c>
      <c r="G7" s="434">
        <v>1</v>
      </c>
      <c r="H7" s="433">
        <v>901829</v>
      </c>
      <c r="I7" s="434">
        <v>2.2480139193901794</v>
      </c>
      <c r="J7" s="434">
        <v>0.88479985010100559</v>
      </c>
      <c r="K7" s="433"/>
      <c r="L7" s="434"/>
      <c r="M7" s="434"/>
      <c r="N7" s="433">
        <v>1124.99</v>
      </c>
      <c r="O7" s="434"/>
      <c r="P7" s="434">
        <v>1</v>
      </c>
      <c r="Q7" s="433"/>
      <c r="R7" s="434"/>
      <c r="S7" s="434"/>
      <c r="T7" s="433"/>
      <c r="U7" s="434"/>
      <c r="V7" s="434"/>
      <c r="W7" s="433"/>
      <c r="X7" s="434"/>
      <c r="Y7" s="434"/>
      <c r="Z7" s="433"/>
      <c r="AA7" s="434"/>
      <c r="AB7" s="435"/>
    </row>
    <row r="8" spans="1:28" ht="14.4" customHeight="1" thickBot="1" x14ac:dyDescent="0.35">
      <c r="A8" s="440" t="s">
        <v>422</v>
      </c>
      <c r="B8" s="436">
        <v>251</v>
      </c>
      <c r="C8" s="437">
        <v>1</v>
      </c>
      <c r="D8" s="437"/>
      <c r="E8" s="436"/>
      <c r="F8" s="437"/>
      <c r="G8" s="437"/>
      <c r="H8" s="436"/>
      <c r="I8" s="437"/>
      <c r="J8" s="437"/>
      <c r="K8" s="436"/>
      <c r="L8" s="437"/>
      <c r="M8" s="437"/>
      <c r="N8" s="436"/>
      <c r="O8" s="437"/>
      <c r="P8" s="437"/>
      <c r="Q8" s="436"/>
      <c r="R8" s="437"/>
      <c r="S8" s="437"/>
      <c r="T8" s="436"/>
      <c r="U8" s="437"/>
      <c r="V8" s="437"/>
      <c r="W8" s="436"/>
      <c r="X8" s="437"/>
      <c r="Y8" s="437"/>
      <c r="Z8" s="436"/>
      <c r="AA8" s="437"/>
      <c r="AB8" s="438"/>
    </row>
    <row r="9" spans="1:28" ht="14.4" customHeight="1" thickBot="1" x14ac:dyDescent="0.35"/>
    <row r="10" spans="1:28" ht="14.4" customHeight="1" x14ac:dyDescent="0.3">
      <c r="A10" s="429" t="s">
        <v>275</v>
      </c>
      <c r="B10" s="430">
        <v>401418</v>
      </c>
      <c r="C10" s="431">
        <v>1</v>
      </c>
      <c r="D10" s="431">
        <v>0.39383806267911697</v>
      </c>
      <c r="E10" s="430">
        <v>1019246.3300000001</v>
      </c>
      <c r="F10" s="431">
        <v>2.5391146635178297</v>
      </c>
      <c r="G10" s="431">
        <v>1</v>
      </c>
      <c r="H10" s="430">
        <v>901829</v>
      </c>
      <c r="I10" s="431">
        <v>2.2466082736698403</v>
      </c>
      <c r="J10" s="432">
        <v>0.88479985010100548</v>
      </c>
    </row>
    <row r="11" spans="1:28" ht="14.4" customHeight="1" x14ac:dyDescent="0.3">
      <c r="A11" s="439" t="s">
        <v>424</v>
      </c>
      <c r="B11" s="433"/>
      <c r="C11" s="434"/>
      <c r="D11" s="434"/>
      <c r="E11" s="433">
        <v>14344</v>
      </c>
      <c r="F11" s="434"/>
      <c r="G11" s="434">
        <v>1</v>
      </c>
      <c r="H11" s="433"/>
      <c r="I11" s="434"/>
      <c r="J11" s="435"/>
    </row>
    <row r="12" spans="1:28" ht="14.4" customHeight="1" thickBot="1" x14ac:dyDescent="0.35">
      <c r="A12" s="440" t="s">
        <v>425</v>
      </c>
      <c r="B12" s="436">
        <v>401418</v>
      </c>
      <c r="C12" s="437">
        <v>1</v>
      </c>
      <c r="D12" s="437">
        <v>0.39945971664728847</v>
      </c>
      <c r="E12" s="436">
        <v>1004902.3300000001</v>
      </c>
      <c r="F12" s="437">
        <v>2.5033813381562364</v>
      </c>
      <c r="G12" s="437">
        <v>1</v>
      </c>
      <c r="H12" s="436">
        <v>901829</v>
      </c>
      <c r="I12" s="437">
        <v>2.2466082736698403</v>
      </c>
      <c r="J12" s="438">
        <v>0.89742950441760838</v>
      </c>
    </row>
    <row r="13" spans="1:28" ht="14.4" customHeight="1" x14ac:dyDescent="0.3">
      <c r="A13" s="441" t="s">
        <v>179</v>
      </c>
    </row>
    <row r="14" spans="1:28" ht="14.4" customHeight="1" x14ac:dyDescent="0.3">
      <c r="A14" s="442" t="s">
        <v>426</v>
      </c>
    </row>
    <row r="15" spans="1:28" ht="14.4" customHeight="1" x14ac:dyDescent="0.3">
      <c r="A15" s="441" t="s">
        <v>427</v>
      </c>
    </row>
    <row r="16" spans="1:28" ht="14.4" customHeight="1" x14ac:dyDescent="0.3">
      <c r="A16" s="441" t="s">
        <v>428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47" t="s">
        <v>444</v>
      </c>
      <c r="B1" s="272"/>
      <c r="C1" s="272"/>
      <c r="D1" s="272"/>
      <c r="E1" s="272"/>
      <c r="F1" s="272"/>
      <c r="G1" s="272"/>
    </row>
    <row r="2" spans="1:7" ht="14.4" customHeight="1" thickBot="1" x14ac:dyDescent="0.35">
      <c r="A2" s="199" t="s">
        <v>202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28" t="s">
        <v>105</v>
      </c>
      <c r="B3" s="215">
        <f t="shared" ref="B3:G3" si="0">SUBTOTAL(9,B6:B1048576)</f>
        <v>931</v>
      </c>
      <c r="C3" s="216">
        <f t="shared" si="0"/>
        <v>1418</v>
      </c>
      <c r="D3" s="227">
        <f t="shared" si="0"/>
        <v>1425</v>
      </c>
      <c r="E3" s="191">
        <f t="shared" si="0"/>
        <v>401418</v>
      </c>
      <c r="F3" s="189">
        <f t="shared" si="0"/>
        <v>1019246.3300000001</v>
      </c>
      <c r="G3" s="217">
        <f t="shared" si="0"/>
        <v>901829</v>
      </c>
    </row>
    <row r="4" spans="1:7" ht="14.4" customHeight="1" x14ac:dyDescent="0.3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" customHeight="1" thickBot="1" x14ac:dyDescent="0.35">
      <c r="A5" s="424"/>
      <c r="B5" s="425">
        <v>2015</v>
      </c>
      <c r="C5" s="426">
        <v>2017</v>
      </c>
      <c r="D5" s="443">
        <v>2018</v>
      </c>
      <c r="E5" s="425">
        <v>2015</v>
      </c>
      <c r="F5" s="426">
        <v>2017</v>
      </c>
      <c r="G5" s="443">
        <v>2018</v>
      </c>
    </row>
    <row r="6" spans="1:7" ht="14.4" customHeight="1" x14ac:dyDescent="0.3">
      <c r="A6" s="450" t="s">
        <v>429</v>
      </c>
      <c r="B6" s="410">
        <v>15</v>
      </c>
      <c r="C6" s="410">
        <v>4</v>
      </c>
      <c r="D6" s="410">
        <v>19</v>
      </c>
      <c r="E6" s="444">
        <v>621</v>
      </c>
      <c r="F6" s="444">
        <v>214</v>
      </c>
      <c r="G6" s="445">
        <v>747</v>
      </c>
    </row>
    <row r="7" spans="1:7" ht="14.4" customHeight="1" x14ac:dyDescent="0.3">
      <c r="A7" s="451" t="s">
        <v>430</v>
      </c>
      <c r="B7" s="416"/>
      <c r="C7" s="416">
        <v>1</v>
      </c>
      <c r="D7" s="416"/>
      <c r="E7" s="446"/>
      <c r="F7" s="446">
        <v>37</v>
      </c>
      <c r="G7" s="447"/>
    </row>
    <row r="8" spans="1:7" ht="14.4" customHeight="1" x14ac:dyDescent="0.3">
      <c r="A8" s="451" t="s">
        <v>431</v>
      </c>
      <c r="B8" s="416">
        <v>1</v>
      </c>
      <c r="C8" s="416">
        <v>8</v>
      </c>
      <c r="D8" s="416">
        <v>13</v>
      </c>
      <c r="E8" s="446">
        <v>59</v>
      </c>
      <c r="F8" s="446">
        <v>296</v>
      </c>
      <c r="G8" s="447">
        <v>503</v>
      </c>
    </row>
    <row r="9" spans="1:7" ht="14.4" customHeight="1" x14ac:dyDescent="0.3">
      <c r="A9" s="451" t="s">
        <v>424</v>
      </c>
      <c r="B9" s="416"/>
      <c r="C9" s="416">
        <v>4</v>
      </c>
      <c r="D9" s="416"/>
      <c r="E9" s="446"/>
      <c r="F9" s="446">
        <v>14344</v>
      </c>
      <c r="G9" s="447"/>
    </row>
    <row r="10" spans="1:7" ht="14.4" customHeight="1" x14ac:dyDescent="0.3">
      <c r="A10" s="451" t="s">
        <v>432</v>
      </c>
      <c r="B10" s="416"/>
      <c r="C10" s="416">
        <v>1</v>
      </c>
      <c r="D10" s="416"/>
      <c r="E10" s="446"/>
      <c r="F10" s="446">
        <v>37</v>
      </c>
      <c r="G10" s="447"/>
    </row>
    <row r="11" spans="1:7" ht="14.4" customHeight="1" x14ac:dyDescent="0.3">
      <c r="A11" s="451" t="s">
        <v>433</v>
      </c>
      <c r="B11" s="416">
        <v>1</v>
      </c>
      <c r="C11" s="416"/>
      <c r="D11" s="416"/>
      <c r="E11" s="446">
        <v>59</v>
      </c>
      <c r="F11" s="446"/>
      <c r="G11" s="447"/>
    </row>
    <row r="12" spans="1:7" ht="14.4" customHeight="1" x14ac:dyDescent="0.3">
      <c r="A12" s="451" t="s">
        <v>434</v>
      </c>
      <c r="B12" s="416">
        <v>1</v>
      </c>
      <c r="C12" s="416"/>
      <c r="D12" s="416"/>
      <c r="E12" s="446">
        <v>251</v>
      </c>
      <c r="F12" s="446"/>
      <c r="G12" s="447"/>
    </row>
    <row r="13" spans="1:7" ht="14.4" customHeight="1" x14ac:dyDescent="0.3">
      <c r="A13" s="451" t="s">
        <v>435</v>
      </c>
      <c r="B13" s="416">
        <v>3</v>
      </c>
      <c r="C13" s="416">
        <v>6</v>
      </c>
      <c r="D13" s="416">
        <v>4</v>
      </c>
      <c r="E13" s="446">
        <v>133</v>
      </c>
      <c r="F13" s="446">
        <v>222</v>
      </c>
      <c r="G13" s="447">
        <v>148</v>
      </c>
    </row>
    <row r="14" spans="1:7" ht="14.4" customHeight="1" x14ac:dyDescent="0.3">
      <c r="A14" s="451" t="s">
        <v>436</v>
      </c>
      <c r="B14" s="416">
        <v>5</v>
      </c>
      <c r="C14" s="416"/>
      <c r="D14" s="416"/>
      <c r="E14" s="446">
        <v>229</v>
      </c>
      <c r="F14" s="446"/>
      <c r="G14" s="447"/>
    </row>
    <row r="15" spans="1:7" ht="14.4" customHeight="1" x14ac:dyDescent="0.3">
      <c r="A15" s="451" t="s">
        <v>437</v>
      </c>
      <c r="B15" s="416"/>
      <c r="C15" s="416">
        <v>2</v>
      </c>
      <c r="D15" s="416"/>
      <c r="E15" s="446"/>
      <c r="F15" s="446">
        <v>96</v>
      </c>
      <c r="G15" s="447"/>
    </row>
    <row r="16" spans="1:7" ht="14.4" customHeight="1" x14ac:dyDescent="0.3">
      <c r="A16" s="451" t="s">
        <v>438</v>
      </c>
      <c r="B16" s="416"/>
      <c r="C16" s="416">
        <v>1</v>
      </c>
      <c r="D16" s="416"/>
      <c r="E16" s="446"/>
      <c r="F16" s="446">
        <v>37</v>
      </c>
      <c r="G16" s="447"/>
    </row>
    <row r="17" spans="1:7" ht="14.4" customHeight="1" x14ac:dyDescent="0.3">
      <c r="A17" s="451" t="s">
        <v>439</v>
      </c>
      <c r="B17" s="416">
        <v>1</v>
      </c>
      <c r="C17" s="416"/>
      <c r="D17" s="416"/>
      <c r="E17" s="446">
        <v>59</v>
      </c>
      <c r="F17" s="446"/>
      <c r="G17" s="447"/>
    </row>
    <row r="18" spans="1:7" ht="14.4" customHeight="1" x14ac:dyDescent="0.3">
      <c r="A18" s="451" t="s">
        <v>440</v>
      </c>
      <c r="B18" s="416">
        <v>7</v>
      </c>
      <c r="C18" s="416"/>
      <c r="D18" s="416"/>
      <c r="E18" s="446">
        <v>259</v>
      </c>
      <c r="F18" s="446"/>
      <c r="G18" s="447"/>
    </row>
    <row r="19" spans="1:7" ht="14.4" customHeight="1" x14ac:dyDescent="0.3">
      <c r="A19" s="451" t="s">
        <v>441</v>
      </c>
      <c r="B19" s="416"/>
      <c r="C19" s="416"/>
      <c r="D19" s="416">
        <v>4</v>
      </c>
      <c r="E19" s="446"/>
      <c r="F19" s="446"/>
      <c r="G19" s="447">
        <v>148</v>
      </c>
    </row>
    <row r="20" spans="1:7" ht="14.4" customHeight="1" x14ac:dyDescent="0.3">
      <c r="A20" s="451" t="s">
        <v>442</v>
      </c>
      <c r="B20" s="416">
        <v>897</v>
      </c>
      <c r="C20" s="416">
        <v>1387</v>
      </c>
      <c r="D20" s="416">
        <v>1385</v>
      </c>
      <c r="E20" s="446">
        <v>399748</v>
      </c>
      <c r="F20" s="446">
        <v>1003705.3300000001</v>
      </c>
      <c r="G20" s="447">
        <v>900283</v>
      </c>
    </row>
    <row r="21" spans="1:7" ht="14.4" customHeight="1" thickBot="1" x14ac:dyDescent="0.35">
      <c r="A21" s="452" t="s">
        <v>443</v>
      </c>
      <c r="B21" s="422"/>
      <c r="C21" s="422">
        <v>4</v>
      </c>
      <c r="D21" s="422"/>
      <c r="E21" s="448"/>
      <c r="F21" s="448">
        <v>258</v>
      </c>
      <c r="G21" s="449"/>
    </row>
    <row r="22" spans="1:7" ht="14.4" customHeight="1" x14ac:dyDescent="0.3">
      <c r="A22" s="441" t="s">
        <v>179</v>
      </c>
    </row>
    <row r="23" spans="1:7" ht="14.4" customHeight="1" x14ac:dyDescent="0.3">
      <c r="A23" s="442" t="s">
        <v>426</v>
      </c>
    </row>
    <row r="24" spans="1:7" ht="14.4" customHeight="1" x14ac:dyDescent="0.3">
      <c r="A24" s="441" t="s">
        <v>427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1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272" t="s">
        <v>475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" customHeight="1" thickBot="1" x14ac:dyDescent="0.35">
      <c r="A2" s="199" t="s">
        <v>202</v>
      </c>
      <c r="B2" s="170"/>
      <c r="C2" s="170"/>
      <c r="D2" s="86"/>
      <c r="E2" s="86"/>
      <c r="F2" s="86"/>
      <c r="G2" s="197"/>
      <c r="H2" s="197"/>
      <c r="I2" s="86"/>
      <c r="J2" s="86"/>
      <c r="K2" s="197"/>
      <c r="L2" s="197"/>
      <c r="M2" s="86"/>
      <c r="N2" s="86"/>
      <c r="O2" s="197"/>
      <c r="P2" s="197"/>
      <c r="Q2" s="194"/>
      <c r="R2" s="197"/>
    </row>
    <row r="3" spans="1:18" ht="14.4" customHeight="1" thickBot="1" x14ac:dyDescent="0.35">
      <c r="F3" s="63" t="s">
        <v>105</v>
      </c>
      <c r="G3" s="77">
        <f t="shared" ref="G3:P3" si="0">SUBTOTAL(9,G6:G1048576)</f>
        <v>931</v>
      </c>
      <c r="H3" s="78">
        <f t="shared" si="0"/>
        <v>401418</v>
      </c>
      <c r="I3" s="58"/>
      <c r="J3" s="58"/>
      <c r="K3" s="78">
        <f t="shared" si="0"/>
        <v>1420</v>
      </c>
      <c r="L3" s="78">
        <f t="shared" si="0"/>
        <v>1020371.3200000001</v>
      </c>
      <c r="M3" s="58"/>
      <c r="N3" s="58"/>
      <c r="O3" s="78">
        <f t="shared" si="0"/>
        <v>1425</v>
      </c>
      <c r="P3" s="78">
        <f t="shared" si="0"/>
        <v>901829</v>
      </c>
      <c r="Q3" s="59">
        <f>IF(L3=0,0,P3/L3)</f>
        <v>0.88382433171485053</v>
      </c>
      <c r="R3" s="79">
        <f>IF(O3=0,0,P3/O3)</f>
        <v>632.8624561403509</v>
      </c>
    </row>
    <row r="4" spans="1:18" ht="14.4" customHeight="1" x14ac:dyDescent="0.3">
      <c r="A4" s="355" t="s">
        <v>145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2015</v>
      </c>
      <c r="H4" s="360"/>
      <c r="I4" s="76"/>
      <c r="J4" s="76"/>
      <c r="K4" s="359">
        <v>2017</v>
      </c>
      <c r="L4" s="360"/>
      <c r="M4" s="76"/>
      <c r="N4" s="76"/>
      <c r="O4" s="359">
        <v>2018</v>
      </c>
      <c r="P4" s="360"/>
      <c r="Q4" s="361" t="s">
        <v>2</v>
      </c>
      <c r="R4" s="356" t="s">
        <v>79</v>
      </c>
    </row>
    <row r="5" spans="1:18" ht="14.4" customHeight="1" thickBot="1" x14ac:dyDescent="0.35">
      <c r="A5" s="453"/>
      <c r="B5" s="453"/>
      <c r="C5" s="454"/>
      <c r="D5" s="455"/>
      <c r="E5" s="456"/>
      <c r="F5" s="457"/>
      <c r="G5" s="458" t="s">
        <v>53</v>
      </c>
      <c r="H5" s="459" t="s">
        <v>10</v>
      </c>
      <c r="I5" s="460"/>
      <c r="J5" s="460"/>
      <c r="K5" s="458" t="s">
        <v>53</v>
      </c>
      <c r="L5" s="459" t="s">
        <v>10</v>
      </c>
      <c r="M5" s="460"/>
      <c r="N5" s="460"/>
      <c r="O5" s="458" t="s">
        <v>53</v>
      </c>
      <c r="P5" s="459" t="s">
        <v>10</v>
      </c>
      <c r="Q5" s="461"/>
      <c r="R5" s="462"/>
    </row>
    <row r="6" spans="1:18" ht="14.4" customHeight="1" x14ac:dyDescent="0.3">
      <c r="A6" s="406" t="s">
        <v>445</v>
      </c>
      <c r="B6" s="407" t="s">
        <v>446</v>
      </c>
      <c r="C6" s="407" t="s">
        <v>275</v>
      </c>
      <c r="D6" s="407" t="s">
        <v>447</v>
      </c>
      <c r="E6" s="407" t="s">
        <v>448</v>
      </c>
      <c r="F6" s="407" t="s">
        <v>449</v>
      </c>
      <c r="G6" s="410"/>
      <c r="H6" s="410"/>
      <c r="I6" s="407"/>
      <c r="J6" s="407"/>
      <c r="K6" s="410">
        <v>1</v>
      </c>
      <c r="L6" s="410">
        <v>6.09</v>
      </c>
      <c r="M6" s="407">
        <v>1</v>
      </c>
      <c r="N6" s="407">
        <v>6.09</v>
      </c>
      <c r="O6" s="410"/>
      <c r="P6" s="410"/>
      <c r="Q6" s="463"/>
      <c r="R6" s="411"/>
    </row>
    <row r="7" spans="1:18" ht="14.4" customHeight="1" x14ac:dyDescent="0.3">
      <c r="A7" s="412" t="s">
        <v>445</v>
      </c>
      <c r="B7" s="413" t="s">
        <v>446</v>
      </c>
      <c r="C7" s="413" t="s">
        <v>275</v>
      </c>
      <c r="D7" s="413" t="s">
        <v>447</v>
      </c>
      <c r="E7" s="413" t="s">
        <v>450</v>
      </c>
      <c r="F7" s="413" t="s">
        <v>451</v>
      </c>
      <c r="G7" s="416"/>
      <c r="H7" s="416"/>
      <c r="I7" s="413"/>
      <c r="J7" s="413"/>
      <c r="K7" s="416">
        <v>1</v>
      </c>
      <c r="L7" s="416">
        <v>1118.9000000000001</v>
      </c>
      <c r="M7" s="413">
        <v>1</v>
      </c>
      <c r="N7" s="413">
        <v>1118.9000000000001</v>
      </c>
      <c r="O7" s="416"/>
      <c r="P7" s="416"/>
      <c r="Q7" s="464"/>
      <c r="R7" s="417"/>
    </row>
    <row r="8" spans="1:18" ht="14.4" customHeight="1" x14ac:dyDescent="0.3">
      <c r="A8" s="412" t="s">
        <v>445</v>
      </c>
      <c r="B8" s="413" t="s">
        <v>446</v>
      </c>
      <c r="C8" s="413" t="s">
        <v>275</v>
      </c>
      <c r="D8" s="413" t="s">
        <v>452</v>
      </c>
      <c r="E8" s="413" t="s">
        <v>453</v>
      </c>
      <c r="F8" s="413" t="s">
        <v>454</v>
      </c>
      <c r="G8" s="416"/>
      <c r="H8" s="416"/>
      <c r="I8" s="413"/>
      <c r="J8" s="413"/>
      <c r="K8" s="416">
        <v>1</v>
      </c>
      <c r="L8" s="416">
        <v>147</v>
      </c>
      <c r="M8" s="413">
        <v>1</v>
      </c>
      <c r="N8" s="413">
        <v>147</v>
      </c>
      <c r="O8" s="416"/>
      <c r="P8" s="416"/>
      <c r="Q8" s="464"/>
      <c r="R8" s="417"/>
    </row>
    <row r="9" spans="1:18" ht="14.4" customHeight="1" x14ac:dyDescent="0.3">
      <c r="A9" s="412" t="s">
        <v>445</v>
      </c>
      <c r="B9" s="413" t="s">
        <v>446</v>
      </c>
      <c r="C9" s="413" t="s">
        <v>275</v>
      </c>
      <c r="D9" s="413" t="s">
        <v>452</v>
      </c>
      <c r="E9" s="413" t="s">
        <v>455</v>
      </c>
      <c r="F9" s="413" t="s">
        <v>456</v>
      </c>
      <c r="G9" s="416">
        <v>116</v>
      </c>
      <c r="H9" s="416">
        <v>4292</v>
      </c>
      <c r="I9" s="413">
        <v>0.8721804511278195</v>
      </c>
      <c r="J9" s="413">
        <v>37</v>
      </c>
      <c r="K9" s="416">
        <v>133</v>
      </c>
      <c r="L9" s="416">
        <v>4921</v>
      </c>
      <c r="M9" s="413">
        <v>1</v>
      </c>
      <c r="N9" s="413">
        <v>37</v>
      </c>
      <c r="O9" s="416">
        <v>154</v>
      </c>
      <c r="P9" s="416">
        <v>5698</v>
      </c>
      <c r="Q9" s="464">
        <v>1.1578947368421053</v>
      </c>
      <c r="R9" s="417">
        <v>37</v>
      </c>
    </row>
    <row r="10" spans="1:18" ht="14.4" customHeight="1" x14ac:dyDescent="0.3">
      <c r="A10" s="412" t="s">
        <v>445</v>
      </c>
      <c r="B10" s="413" t="s">
        <v>446</v>
      </c>
      <c r="C10" s="413" t="s">
        <v>275</v>
      </c>
      <c r="D10" s="413" t="s">
        <v>452</v>
      </c>
      <c r="E10" s="413" t="s">
        <v>457</v>
      </c>
      <c r="F10" s="413" t="s">
        <v>458</v>
      </c>
      <c r="G10" s="416">
        <v>48</v>
      </c>
      <c r="H10" s="416">
        <v>22512</v>
      </c>
      <c r="I10" s="413">
        <v>0.81182834475297516</v>
      </c>
      <c r="J10" s="413">
        <v>469</v>
      </c>
      <c r="K10" s="416">
        <v>59</v>
      </c>
      <c r="L10" s="416">
        <v>27730</v>
      </c>
      <c r="M10" s="413">
        <v>1</v>
      </c>
      <c r="N10" s="413">
        <v>470</v>
      </c>
      <c r="O10" s="416">
        <v>69</v>
      </c>
      <c r="P10" s="416">
        <v>32499</v>
      </c>
      <c r="Q10" s="464">
        <v>1.1719798052650559</v>
      </c>
      <c r="R10" s="417">
        <v>471</v>
      </c>
    </row>
    <row r="11" spans="1:18" ht="14.4" customHeight="1" x14ac:dyDescent="0.3">
      <c r="A11" s="412" t="s">
        <v>445</v>
      </c>
      <c r="B11" s="413" t="s">
        <v>446</v>
      </c>
      <c r="C11" s="413" t="s">
        <v>275</v>
      </c>
      <c r="D11" s="413" t="s">
        <v>452</v>
      </c>
      <c r="E11" s="413" t="s">
        <v>459</v>
      </c>
      <c r="F11" s="413" t="s">
        <v>460</v>
      </c>
      <c r="G11" s="416">
        <v>36</v>
      </c>
      <c r="H11" s="416">
        <v>1200</v>
      </c>
      <c r="I11" s="413">
        <v>0.51428644898064146</v>
      </c>
      <c r="J11" s="413">
        <v>33.333333333333336</v>
      </c>
      <c r="K11" s="416">
        <v>70</v>
      </c>
      <c r="L11" s="416">
        <v>2333.33</v>
      </c>
      <c r="M11" s="413">
        <v>1</v>
      </c>
      <c r="N11" s="413">
        <v>33.333285714285715</v>
      </c>
      <c r="O11" s="416">
        <v>75</v>
      </c>
      <c r="P11" s="416">
        <v>2500</v>
      </c>
      <c r="Q11" s="464">
        <v>1.071430102043003</v>
      </c>
      <c r="R11" s="417">
        <v>33.333333333333336</v>
      </c>
    </row>
    <row r="12" spans="1:18" ht="14.4" customHeight="1" x14ac:dyDescent="0.3">
      <c r="A12" s="412" t="s">
        <v>445</v>
      </c>
      <c r="B12" s="413" t="s">
        <v>446</v>
      </c>
      <c r="C12" s="413" t="s">
        <v>275</v>
      </c>
      <c r="D12" s="413" t="s">
        <v>452</v>
      </c>
      <c r="E12" s="413" t="s">
        <v>461</v>
      </c>
      <c r="F12" s="413" t="s">
        <v>462</v>
      </c>
      <c r="G12" s="416">
        <v>24</v>
      </c>
      <c r="H12" s="416">
        <v>888</v>
      </c>
      <c r="I12" s="413">
        <v>1</v>
      </c>
      <c r="J12" s="413">
        <v>37</v>
      </c>
      <c r="K12" s="416">
        <v>24</v>
      </c>
      <c r="L12" s="416">
        <v>888</v>
      </c>
      <c r="M12" s="413">
        <v>1</v>
      </c>
      <c r="N12" s="413">
        <v>37</v>
      </c>
      <c r="O12" s="416">
        <v>37</v>
      </c>
      <c r="P12" s="416">
        <v>1369</v>
      </c>
      <c r="Q12" s="464">
        <v>1.5416666666666667</v>
      </c>
      <c r="R12" s="417">
        <v>37</v>
      </c>
    </row>
    <row r="13" spans="1:18" ht="14.4" customHeight="1" x14ac:dyDescent="0.3">
      <c r="A13" s="412" t="s">
        <v>445</v>
      </c>
      <c r="B13" s="413" t="s">
        <v>446</v>
      </c>
      <c r="C13" s="413" t="s">
        <v>275</v>
      </c>
      <c r="D13" s="413" t="s">
        <v>452</v>
      </c>
      <c r="E13" s="413" t="s">
        <v>463</v>
      </c>
      <c r="F13" s="413" t="s">
        <v>464</v>
      </c>
      <c r="G13" s="416"/>
      <c r="H13" s="416"/>
      <c r="I13" s="413"/>
      <c r="J13" s="413"/>
      <c r="K13" s="416">
        <v>1</v>
      </c>
      <c r="L13" s="416">
        <v>235</v>
      </c>
      <c r="M13" s="413">
        <v>1</v>
      </c>
      <c r="N13" s="413">
        <v>235</v>
      </c>
      <c r="O13" s="416">
        <v>2</v>
      </c>
      <c r="P13" s="416">
        <v>472</v>
      </c>
      <c r="Q13" s="464">
        <v>2.0085106382978721</v>
      </c>
      <c r="R13" s="417">
        <v>236</v>
      </c>
    </row>
    <row r="14" spans="1:18" ht="14.4" customHeight="1" x14ac:dyDescent="0.3">
      <c r="A14" s="412" t="s">
        <v>445</v>
      </c>
      <c r="B14" s="413" t="s">
        <v>446</v>
      </c>
      <c r="C14" s="413" t="s">
        <v>275</v>
      </c>
      <c r="D14" s="413" t="s">
        <v>452</v>
      </c>
      <c r="E14" s="413" t="s">
        <v>463</v>
      </c>
      <c r="F14" s="413" t="s">
        <v>465</v>
      </c>
      <c r="G14" s="416">
        <v>5</v>
      </c>
      <c r="H14" s="416">
        <v>1175</v>
      </c>
      <c r="I14" s="413">
        <v>0.41666666666666669</v>
      </c>
      <c r="J14" s="413">
        <v>235</v>
      </c>
      <c r="K14" s="416">
        <v>12</v>
      </c>
      <c r="L14" s="416">
        <v>2820</v>
      </c>
      <c r="M14" s="413">
        <v>1</v>
      </c>
      <c r="N14" s="413">
        <v>235</v>
      </c>
      <c r="O14" s="416">
        <v>8</v>
      </c>
      <c r="P14" s="416">
        <v>1888</v>
      </c>
      <c r="Q14" s="464">
        <v>0.66950354609929075</v>
      </c>
      <c r="R14" s="417">
        <v>236</v>
      </c>
    </row>
    <row r="15" spans="1:18" ht="14.4" customHeight="1" x14ac:dyDescent="0.3">
      <c r="A15" s="412" t="s">
        <v>445</v>
      </c>
      <c r="B15" s="413" t="s">
        <v>446</v>
      </c>
      <c r="C15" s="413" t="s">
        <v>275</v>
      </c>
      <c r="D15" s="413" t="s">
        <v>452</v>
      </c>
      <c r="E15" s="413" t="s">
        <v>466</v>
      </c>
      <c r="F15" s="413" t="s">
        <v>467</v>
      </c>
      <c r="G15" s="416">
        <v>10</v>
      </c>
      <c r="H15" s="416">
        <v>590</v>
      </c>
      <c r="I15" s="413">
        <v>2.5</v>
      </c>
      <c r="J15" s="413">
        <v>59</v>
      </c>
      <c r="K15" s="416">
        <v>4</v>
      </c>
      <c r="L15" s="416">
        <v>236</v>
      </c>
      <c r="M15" s="413">
        <v>1</v>
      </c>
      <c r="N15" s="413">
        <v>59</v>
      </c>
      <c r="O15" s="416">
        <v>3</v>
      </c>
      <c r="P15" s="416">
        <v>177</v>
      </c>
      <c r="Q15" s="464">
        <v>0.75</v>
      </c>
      <c r="R15" s="417">
        <v>59</v>
      </c>
    </row>
    <row r="16" spans="1:18" ht="14.4" customHeight="1" x14ac:dyDescent="0.3">
      <c r="A16" s="412" t="s">
        <v>445</v>
      </c>
      <c r="B16" s="413" t="s">
        <v>446</v>
      </c>
      <c r="C16" s="413" t="s">
        <v>275</v>
      </c>
      <c r="D16" s="413" t="s">
        <v>452</v>
      </c>
      <c r="E16" s="413" t="s">
        <v>468</v>
      </c>
      <c r="F16" s="413" t="s">
        <v>469</v>
      </c>
      <c r="G16" s="416">
        <v>634</v>
      </c>
      <c r="H16" s="416">
        <v>166108</v>
      </c>
      <c r="I16" s="413">
        <v>0.69900771775082693</v>
      </c>
      <c r="J16" s="413">
        <v>262</v>
      </c>
      <c r="K16" s="416">
        <v>907</v>
      </c>
      <c r="L16" s="416">
        <v>237634</v>
      </c>
      <c r="M16" s="413">
        <v>1</v>
      </c>
      <c r="N16" s="413">
        <v>262</v>
      </c>
      <c r="O16" s="416">
        <v>904</v>
      </c>
      <c r="P16" s="416">
        <v>236848</v>
      </c>
      <c r="Q16" s="464">
        <v>0.99669239250275632</v>
      </c>
      <c r="R16" s="417">
        <v>262</v>
      </c>
    </row>
    <row r="17" spans="1:18" ht="14.4" customHeight="1" x14ac:dyDescent="0.3">
      <c r="A17" s="412" t="s">
        <v>445</v>
      </c>
      <c r="B17" s="413" t="s">
        <v>446</v>
      </c>
      <c r="C17" s="413" t="s">
        <v>275</v>
      </c>
      <c r="D17" s="413" t="s">
        <v>452</v>
      </c>
      <c r="E17" s="413" t="s">
        <v>470</v>
      </c>
      <c r="F17" s="413" t="s">
        <v>471</v>
      </c>
      <c r="G17" s="416">
        <v>57</v>
      </c>
      <c r="H17" s="416">
        <v>204402</v>
      </c>
      <c r="I17" s="413">
        <v>0.27536231884057971</v>
      </c>
      <c r="J17" s="413">
        <v>3586</v>
      </c>
      <c r="K17" s="416">
        <v>207</v>
      </c>
      <c r="L17" s="416">
        <v>742302</v>
      </c>
      <c r="M17" s="413">
        <v>1</v>
      </c>
      <c r="N17" s="413">
        <v>3586</v>
      </c>
      <c r="O17" s="416">
        <v>173</v>
      </c>
      <c r="P17" s="416">
        <v>620378</v>
      </c>
      <c r="Q17" s="464">
        <v>0.83574879227053145</v>
      </c>
      <c r="R17" s="417">
        <v>3586</v>
      </c>
    </row>
    <row r="18" spans="1:18" ht="14.4" customHeight="1" thickBot="1" x14ac:dyDescent="0.35">
      <c r="A18" s="418" t="s">
        <v>445</v>
      </c>
      <c r="B18" s="419" t="s">
        <v>472</v>
      </c>
      <c r="C18" s="419" t="s">
        <v>275</v>
      </c>
      <c r="D18" s="419" t="s">
        <v>452</v>
      </c>
      <c r="E18" s="419" t="s">
        <v>473</v>
      </c>
      <c r="F18" s="419" t="s">
        <v>474</v>
      </c>
      <c r="G18" s="422">
        <v>1</v>
      </c>
      <c r="H18" s="422">
        <v>251</v>
      </c>
      <c r="I18" s="419"/>
      <c r="J18" s="419">
        <v>251</v>
      </c>
      <c r="K18" s="422"/>
      <c r="L18" s="422"/>
      <c r="M18" s="419"/>
      <c r="N18" s="419"/>
      <c r="O18" s="422"/>
      <c r="P18" s="422"/>
      <c r="Q18" s="465"/>
      <c r="R18" s="423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272" t="s">
        <v>476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" customHeight="1" thickBot="1" x14ac:dyDescent="0.35">
      <c r="A2" s="199" t="s">
        <v>202</v>
      </c>
      <c r="B2" s="170"/>
      <c r="C2" s="170"/>
      <c r="D2" s="170"/>
      <c r="E2" s="86"/>
      <c r="F2" s="86"/>
      <c r="G2" s="86"/>
      <c r="H2" s="197"/>
      <c r="I2" s="197"/>
      <c r="J2" s="86"/>
      <c r="K2" s="86"/>
      <c r="L2" s="197"/>
      <c r="M2" s="197"/>
      <c r="N2" s="86"/>
      <c r="O2" s="86"/>
      <c r="P2" s="197"/>
      <c r="Q2" s="197"/>
      <c r="R2" s="194"/>
      <c r="S2" s="197"/>
    </row>
    <row r="3" spans="1:19" ht="14.4" customHeight="1" thickBot="1" x14ac:dyDescent="0.35">
      <c r="G3" s="63" t="s">
        <v>105</v>
      </c>
      <c r="H3" s="77">
        <f t="shared" ref="H3:Q3" si="0">SUBTOTAL(9,H6:H1048576)</f>
        <v>931</v>
      </c>
      <c r="I3" s="78">
        <f t="shared" si="0"/>
        <v>401418</v>
      </c>
      <c r="J3" s="58"/>
      <c r="K3" s="58"/>
      <c r="L3" s="78">
        <f t="shared" si="0"/>
        <v>1420</v>
      </c>
      <c r="M3" s="78">
        <f t="shared" si="0"/>
        <v>1020371.3200000001</v>
      </c>
      <c r="N3" s="58"/>
      <c r="O3" s="58"/>
      <c r="P3" s="78">
        <f t="shared" si="0"/>
        <v>1425</v>
      </c>
      <c r="Q3" s="78">
        <f t="shared" si="0"/>
        <v>901829</v>
      </c>
      <c r="R3" s="59">
        <f>IF(M3=0,0,Q3/M3)</f>
        <v>0.88382433171485053</v>
      </c>
      <c r="S3" s="79">
        <f>IF(P3=0,0,Q3/P3)</f>
        <v>632.8624561403509</v>
      </c>
    </row>
    <row r="4" spans="1:19" ht="14.4" customHeight="1" x14ac:dyDescent="0.3">
      <c r="A4" s="355" t="s">
        <v>145</v>
      </c>
      <c r="B4" s="355" t="s">
        <v>76</v>
      </c>
      <c r="C4" s="363" t="s">
        <v>0</v>
      </c>
      <c r="D4" s="222" t="s">
        <v>106</v>
      </c>
      <c r="E4" s="357" t="s">
        <v>77</v>
      </c>
      <c r="F4" s="362" t="s">
        <v>52</v>
      </c>
      <c r="G4" s="358" t="s">
        <v>51</v>
      </c>
      <c r="H4" s="359">
        <v>2015</v>
      </c>
      <c r="I4" s="360"/>
      <c r="J4" s="76"/>
      <c r="K4" s="76"/>
      <c r="L4" s="359">
        <v>2017</v>
      </c>
      <c r="M4" s="360"/>
      <c r="N4" s="76"/>
      <c r="O4" s="76"/>
      <c r="P4" s="359">
        <v>2018</v>
      </c>
      <c r="Q4" s="360"/>
      <c r="R4" s="361" t="s">
        <v>2</v>
      </c>
      <c r="S4" s="356" t="s">
        <v>79</v>
      </c>
    </row>
    <row r="5" spans="1:19" ht="14.4" customHeight="1" thickBot="1" x14ac:dyDescent="0.35">
      <c r="A5" s="453"/>
      <c r="B5" s="453"/>
      <c r="C5" s="454"/>
      <c r="D5" s="466"/>
      <c r="E5" s="455"/>
      <c r="F5" s="456"/>
      <c r="G5" s="457"/>
      <c r="H5" s="458" t="s">
        <v>53</v>
      </c>
      <c r="I5" s="459" t="s">
        <v>10</v>
      </c>
      <c r="J5" s="460"/>
      <c r="K5" s="460"/>
      <c r="L5" s="458" t="s">
        <v>53</v>
      </c>
      <c r="M5" s="459" t="s">
        <v>10</v>
      </c>
      <c r="N5" s="460"/>
      <c r="O5" s="460"/>
      <c r="P5" s="458" t="s">
        <v>53</v>
      </c>
      <c r="Q5" s="459" t="s">
        <v>10</v>
      </c>
      <c r="R5" s="461"/>
      <c r="S5" s="462"/>
    </row>
    <row r="6" spans="1:19" ht="14.4" customHeight="1" x14ac:dyDescent="0.3">
      <c r="A6" s="406" t="s">
        <v>445</v>
      </c>
      <c r="B6" s="407" t="s">
        <v>446</v>
      </c>
      <c r="C6" s="407" t="s">
        <v>275</v>
      </c>
      <c r="D6" s="407" t="s">
        <v>429</v>
      </c>
      <c r="E6" s="407" t="s">
        <v>452</v>
      </c>
      <c r="F6" s="407" t="s">
        <v>461</v>
      </c>
      <c r="G6" s="407" t="s">
        <v>462</v>
      </c>
      <c r="H6" s="410">
        <v>12</v>
      </c>
      <c r="I6" s="410">
        <v>444</v>
      </c>
      <c r="J6" s="407">
        <v>12</v>
      </c>
      <c r="K6" s="407">
        <v>37</v>
      </c>
      <c r="L6" s="410">
        <v>1</v>
      </c>
      <c r="M6" s="410">
        <v>37</v>
      </c>
      <c r="N6" s="407">
        <v>1</v>
      </c>
      <c r="O6" s="407">
        <v>37</v>
      </c>
      <c r="P6" s="410">
        <v>17</v>
      </c>
      <c r="Q6" s="410">
        <v>629</v>
      </c>
      <c r="R6" s="463">
        <v>17</v>
      </c>
      <c r="S6" s="411">
        <v>37</v>
      </c>
    </row>
    <row r="7" spans="1:19" ht="14.4" customHeight="1" x14ac:dyDescent="0.3">
      <c r="A7" s="412" t="s">
        <v>445</v>
      </c>
      <c r="B7" s="413" t="s">
        <v>446</v>
      </c>
      <c r="C7" s="413" t="s">
        <v>275</v>
      </c>
      <c r="D7" s="413" t="s">
        <v>429</v>
      </c>
      <c r="E7" s="413" t="s">
        <v>452</v>
      </c>
      <c r="F7" s="413" t="s">
        <v>466</v>
      </c>
      <c r="G7" s="413" t="s">
        <v>467</v>
      </c>
      <c r="H7" s="416">
        <v>3</v>
      </c>
      <c r="I7" s="416">
        <v>177</v>
      </c>
      <c r="J7" s="413">
        <v>1</v>
      </c>
      <c r="K7" s="413">
        <v>59</v>
      </c>
      <c r="L7" s="416">
        <v>3</v>
      </c>
      <c r="M7" s="416">
        <v>177</v>
      </c>
      <c r="N7" s="413">
        <v>1</v>
      </c>
      <c r="O7" s="413">
        <v>59</v>
      </c>
      <c r="P7" s="416">
        <v>2</v>
      </c>
      <c r="Q7" s="416">
        <v>118</v>
      </c>
      <c r="R7" s="464">
        <v>0.66666666666666663</v>
      </c>
      <c r="S7" s="417">
        <v>59</v>
      </c>
    </row>
    <row r="8" spans="1:19" ht="14.4" customHeight="1" x14ac:dyDescent="0.3">
      <c r="A8" s="412" t="s">
        <v>445</v>
      </c>
      <c r="B8" s="413" t="s">
        <v>446</v>
      </c>
      <c r="C8" s="413" t="s">
        <v>275</v>
      </c>
      <c r="D8" s="413" t="s">
        <v>430</v>
      </c>
      <c r="E8" s="413" t="s">
        <v>452</v>
      </c>
      <c r="F8" s="413" t="s">
        <v>461</v>
      </c>
      <c r="G8" s="413" t="s">
        <v>462</v>
      </c>
      <c r="H8" s="416"/>
      <c r="I8" s="416"/>
      <c r="J8" s="413"/>
      <c r="K8" s="413"/>
      <c r="L8" s="416">
        <v>1</v>
      </c>
      <c r="M8" s="416">
        <v>37</v>
      </c>
      <c r="N8" s="413">
        <v>1</v>
      </c>
      <c r="O8" s="413">
        <v>37</v>
      </c>
      <c r="P8" s="416"/>
      <c r="Q8" s="416"/>
      <c r="R8" s="464"/>
      <c r="S8" s="417"/>
    </row>
    <row r="9" spans="1:19" ht="14.4" customHeight="1" x14ac:dyDescent="0.3">
      <c r="A9" s="412" t="s">
        <v>445</v>
      </c>
      <c r="B9" s="413" t="s">
        <v>446</v>
      </c>
      <c r="C9" s="413" t="s">
        <v>275</v>
      </c>
      <c r="D9" s="413" t="s">
        <v>431</v>
      </c>
      <c r="E9" s="413" t="s">
        <v>452</v>
      </c>
      <c r="F9" s="413" t="s">
        <v>461</v>
      </c>
      <c r="G9" s="413" t="s">
        <v>462</v>
      </c>
      <c r="H9" s="416"/>
      <c r="I9" s="416"/>
      <c r="J9" s="413"/>
      <c r="K9" s="413"/>
      <c r="L9" s="416">
        <v>8</v>
      </c>
      <c r="M9" s="416">
        <v>296</v>
      </c>
      <c r="N9" s="413">
        <v>1</v>
      </c>
      <c r="O9" s="413">
        <v>37</v>
      </c>
      <c r="P9" s="416">
        <v>12</v>
      </c>
      <c r="Q9" s="416">
        <v>444</v>
      </c>
      <c r="R9" s="464">
        <v>1.5</v>
      </c>
      <c r="S9" s="417">
        <v>37</v>
      </c>
    </row>
    <row r="10" spans="1:19" ht="14.4" customHeight="1" x14ac:dyDescent="0.3">
      <c r="A10" s="412" t="s">
        <v>445</v>
      </c>
      <c r="B10" s="413" t="s">
        <v>446</v>
      </c>
      <c r="C10" s="413" t="s">
        <v>275</v>
      </c>
      <c r="D10" s="413" t="s">
        <v>431</v>
      </c>
      <c r="E10" s="413" t="s">
        <v>452</v>
      </c>
      <c r="F10" s="413" t="s">
        <v>466</v>
      </c>
      <c r="G10" s="413" t="s">
        <v>467</v>
      </c>
      <c r="H10" s="416">
        <v>1</v>
      </c>
      <c r="I10" s="416">
        <v>59</v>
      </c>
      <c r="J10" s="413"/>
      <c r="K10" s="413">
        <v>59</v>
      </c>
      <c r="L10" s="416"/>
      <c r="M10" s="416"/>
      <c r="N10" s="413"/>
      <c r="O10" s="413"/>
      <c r="P10" s="416">
        <v>1</v>
      </c>
      <c r="Q10" s="416">
        <v>59</v>
      </c>
      <c r="R10" s="464"/>
      <c r="S10" s="417">
        <v>59</v>
      </c>
    </row>
    <row r="11" spans="1:19" ht="14.4" customHeight="1" x14ac:dyDescent="0.3">
      <c r="A11" s="412" t="s">
        <v>445</v>
      </c>
      <c r="B11" s="413" t="s">
        <v>446</v>
      </c>
      <c r="C11" s="413" t="s">
        <v>275</v>
      </c>
      <c r="D11" s="413" t="s">
        <v>424</v>
      </c>
      <c r="E11" s="413" t="s">
        <v>452</v>
      </c>
      <c r="F11" s="413" t="s">
        <v>470</v>
      </c>
      <c r="G11" s="413" t="s">
        <v>471</v>
      </c>
      <c r="H11" s="416"/>
      <c r="I11" s="416"/>
      <c r="J11" s="413"/>
      <c r="K11" s="413"/>
      <c r="L11" s="416">
        <v>4</v>
      </c>
      <c r="M11" s="416">
        <v>14344</v>
      </c>
      <c r="N11" s="413">
        <v>1</v>
      </c>
      <c r="O11" s="413">
        <v>3586</v>
      </c>
      <c r="P11" s="416"/>
      <c r="Q11" s="416"/>
      <c r="R11" s="464"/>
      <c r="S11" s="417"/>
    </row>
    <row r="12" spans="1:19" ht="14.4" customHeight="1" x14ac:dyDescent="0.3">
      <c r="A12" s="412" t="s">
        <v>445</v>
      </c>
      <c r="B12" s="413" t="s">
        <v>446</v>
      </c>
      <c r="C12" s="413" t="s">
        <v>275</v>
      </c>
      <c r="D12" s="413" t="s">
        <v>432</v>
      </c>
      <c r="E12" s="413" t="s">
        <v>452</v>
      </c>
      <c r="F12" s="413" t="s">
        <v>461</v>
      </c>
      <c r="G12" s="413" t="s">
        <v>462</v>
      </c>
      <c r="H12" s="416"/>
      <c r="I12" s="416"/>
      <c r="J12" s="413"/>
      <c r="K12" s="413"/>
      <c r="L12" s="416">
        <v>1</v>
      </c>
      <c r="M12" s="416">
        <v>37</v>
      </c>
      <c r="N12" s="413">
        <v>1</v>
      </c>
      <c r="O12" s="413">
        <v>37</v>
      </c>
      <c r="P12" s="416"/>
      <c r="Q12" s="416"/>
      <c r="R12" s="464"/>
      <c r="S12" s="417"/>
    </row>
    <row r="13" spans="1:19" ht="14.4" customHeight="1" x14ac:dyDescent="0.3">
      <c r="A13" s="412" t="s">
        <v>445</v>
      </c>
      <c r="B13" s="413" t="s">
        <v>446</v>
      </c>
      <c r="C13" s="413" t="s">
        <v>275</v>
      </c>
      <c r="D13" s="413" t="s">
        <v>433</v>
      </c>
      <c r="E13" s="413" t="s">
        <v>452</v>
      </c>
      <c r="F13" s="413" t="s">
        <v>466</v>
      </c>
      <c r="G13" s="413" t="s">
        <v>467</v>
      </c>
      <c r="H13" s="416">
        <v>1</v>
      </c>
      <c r="I13" s="416">
        <v>59</v>
      </c>
      <c r="J13" s="413"/>
      <c r="K13" s="413">
        <v>59</v>
      </c>
      <c r="L13" s="416"/>
      <c r="M13" s="416"/>
      <c r="N13" s="413"/>
      <c r="O13" s="413"/>
      <c r="P13" s="416"/>
      <c r="Q13" s="416"/>
      <c r="R13" s="464"/>
      <c r="S13" s="417"/>
    </row>
    <row r="14" spans="1:19" ht="14.4" customHeight="1" x14ac:dyDescent="0.3">
      <c r="A14" s="412" t="s">
        <v>445</v>
      </c>
      <c r="B14" s="413" t="s">
        <v>446</v>
      </c>
      <c r="C14" s="413" t="s">
        <v>275</v>
      </c>
      <c r="D14" s="413" t="s">
        <v>435</v>
      </c>
      <c r="E14" s="413" t="s">
        <v>452</v>
      </c>
      <c r="F14" s="413" t="s">
        <v>461</v>
      </c>
      <c r="G14" s="413" t="s">
        <v>462</v>
      </c>
      <c r="H14" s="416">
        <v>2</v>
      </c>
      <c r="I14" s="416">
        <v>74</v>
      </c>
      <c r="J14" s="413">
        <v>0.33333333333333331</v>
      </c>
      <c r="K14" s="413">
        <v>37</v>
      </c>
      <c r="L14" s="416">
        <v>6</v>
      </c>
      <c r="M14" s="416">
        <v>222</v>
      </c>
      <c r="N14" s="413">
        <v>1</v>
      </c>
      <c r="O14" s="413">
        <v>37</v>
      </c>
      <c r="P14" s="416">
        <v>4</v>
      </c>
      <c r="Q14" s="416">
        <v>148</v>
      </c>
      <c r="R14" s="464">
        <v>0.66666666666666663</v>
      </c>
      <c r="S14" s="417">
        <v>37</v>
      </c>
    </row>
    <row r="15" spans="1:19" ht="14.4" customHeight="1" x14ac:dyDescent="0.3">
      <c r="A15" s="412" t="s">
        <v>445</v>
      </c>
      <c r="B15" s="413" t="s">
        <v>446</v>
      </c>
      <c r="C15" s="413" t="s">
        <v>275</v>
      </c>
      <c r="D15" s="413" t="s">
        <v>435</v>
      </c>
      <c r="E15" s="413" t="s">
        <v>452</v>
      </c>
      <c r="F15" s="413" t="s">
        <v>466</v>
      </c>
      <c r="G15" s="413" t="s">
        <v>467</v>
      </c>
      <c r="H15" s="416">
        <v>1</v>
      </c>
      <c r="I15" s="416">
        <v>59</v>
      </c>
      <c r="J15" s="413"/>
      <c r="K15" s="413">
        <v>59</v>
      </c>
      <c r="L15" s="416"/>
      <c r="M15" s="416"/>
      <c r="N15" s="413"/>
      <c r="O15" s="413"/>
      <c r="P15" s="416"/>
      <c r="Q15" s="416"/>
      <c r="R15" s="464"/>
      <c r="S15" s="417"/>
    </row>
    <row r="16" spans="1:19" ht="14.4" customHeight="1" x14ac:dyDescent="0.3">
      <c r="A16" s="412" t="s">
        <v>445</v>
      </c>
      <c r="B16" s="413" t="s">
        <v>446</v>
      </c>
      <c r="C16" s="413" t="s">
        <v>275</v>
      </c>
      <c r="D16" s="413" t="s">
        <v>436</v>
      </c>
      <c r="E16" s="413" t="s">
        <v>452</v>
      </c>
      <c r="F16" s="413" t="s">
        <v>461</v>
      </c>
      <c r="G16" s="413" t="s">
        <v>462</v>
      </c>
      <c r="H16" s="416">
        <v>3</v>
      </c>
      <c r="I16" s="416">
        <v>111</v>
      </c>
      <c r="J16" s="413"/>
      <c r="K16" s="413">
        <v>37</v>
      </c>
      <c r="L16" s="416"/>
      <c r="M16" s="416"/>
      <c r="N16" s="413"/>
      <c r="O16" s="413"/>
      <c r="P16" s="416"/>
      <c r="Q16" s="416"/>
      <c r="R16" s="464"/>
      <c r="S16" s="417"/>
    </row>
    <row r="17" spans="1:19" ht="14.4" customHeight="1" x14ac:dyDescent="0.3">
      <c r="A17" s="412" t="s">
        <v>445</v>
      </c>
      <c r="B17" s="413" t="s">
        <v>446</v>
      </c>
      <c r="C17" s="413" t="s">
        <v>275</v>
      </c>
      <c r="D17" s="413" t="s">
        <v>436</v>
      </c>
      <c r="E17" s="413" t="s">
        <v>452</v>
      </c>
      <c r="F17" s="413" t="s">
        <v>466</v>
      </c>
      <c r="G17" s="413" t="s">
        <v>467</v>
      </c>
      <c r="H17" s="416">
        <v>2</v>
      </c>
      <c r="I17" s="416">
        <v>118</v>
      </c>
      <c r="J17" s="413"/>
      <c r="K17" s="413">
        <v>59</v>
      </c>
      <c r="L17" s="416"/>
      <c r="M17" s="416"/>
      <c r="N17" s="413"/>
      <c r="O17" s="413"/>
      <c r="P17" s="416"/>
      <c r="Q17" s="416"/>
      <c r="R17" s="464"/>
      <c r="S17" s="417"/>
    </row>
    <row r="18" spans="1:19" ht="14.4" customHeight="1" x14ac:dyDescent="0.3">
      <c r="A18" s="412" t="s">
        <v>445</v>
      </c>
      <c r="B18" s="413" t="s">
        <v>446</v>
      </c>
      <c r="C18" s="413" t="s">
        <v>275</v>
      </c>
      <c r="D18" s="413" t="s">
        <v>437</v>
      </c>
      <c r="E18" s="413" t="s">
        <v>452</v>
      </c>
      <c r="F18" s="413" t="s">
        <v>461</v>
      </c>
      <c r="G18" s="413" t="s">
        <v>462</v>
      </c>
      <c r="H18" s="416"/>
      <c r="I18" s="416"/>
      <c r="J18" s="413"/>
      <c r="K18" s="413"/>
      <c r="L18" s="416">
        <v>1</v>
      </c>
      <c r="M18" s="416">
        <v>37</v>
      </c>
      <c r="N18" s="413">
        <v>1</v>
      </c>
      <c r="O18" s="413">
        <v>37</v>
      </c>
      <c r="P18" s="416"/>
      <c r="Q18" s="416"/>
      <c r="R18" s="464"/>
      <c r="S18" s="417"/>
    </row>
    <row r="19" spans="1:19" ht="14.4" customHeight="1" x14ac:dyDescent="0.3">
      <c r="A19" s="412" t="s">
        <v>445</v>
      </c>
      <c r="B19" s="413" t="s">
        <v>446</v>
      </c>
      <c r="C19" s="413" t="s">
        <v>275</v>
      </c>
      <c r="D19" s="413" t="s">
        <v>437</v>
      </c>
      <c r="E19" s="413" t="s">
        <v>452</v>
      </c>
      <c r="F19" s="413" t="s">
        <v>466</v>
      </c>
      <c r="G19" s="413" t="s">
        <v>467</v>
      </c>
      <c r="H19" s="416"/>
      <c r="I19" s="416"/>
      <c r="J19" s="413"/>
      <c r="K19" s="413"/>
      <c r="L19" s="416">
        <v>1</v>
      </c>
      <c r="M19" s="416">
        <v>59</v>
      </c>
      <c r="N19" s="413">
        <v>1</v>
      </c>
      <c r="O19" s="413">
        <v>59</v>
      </c>
      <c r="P19" s="416"/>
      <c r="Q19" s="416"/>
      <c r="R19" s="464"/>
      <c r="S19" s="417"/>
    </row>
    <row r="20" spans="1:19" ht="14.4" customHeight="1" x14ac:dyDescent="0.3">
      <c r="A20" s="412" t="s">
        <v>445</v>
      </c>
      <c r="B20" s="413" t="s">
        <v>446</v>
      </c>
      <c r="C20" s="413" t="s">
        <v>275</v>
      </c>
      <c r="D20" s="413" t="s">
        <v>438</v>
      </c>
      <c r="E20" s="413" t="s">
        <v>452</v>
      </c>
      <c r="F20" s="413" t="s">
        <v>461</v>
      </c>
      <c r="G20" s="413" t="s">
        <v>462</v>
      </c>
      <c r="H20" s="416"/>
      <c r="I20" s="416"/>
      <c r="J20" s="413"/>
      <c r="K20" s="413"/>
      <c r="L20" s="416">
        <v>1</v>
      </c>
      <c r="M20" s="416">
        <v>37</v>
      </c>
      <c r="N20" s="413">
        <v>1</v>
      </c>
      <c r="O20" s="413">
        <v>37</v>
      </c>
      <c r="P20" s="416"/>
      <c r="Q20" s="416"/>
      <c r="R20" s="464"/>
      <c r="S20" s="417"/>
    </row>
    <row r="21" spans="1:19" ht="14.4" customHeight="1" x14ac:dyDescent="0.3">
      <c r="A21" s="412" t="s">
        <v>445</v>
      </c>
      <c r="B21" s="413" t="s">
        <v>446</v>
      </c>
      <c r="C21" s="413" t="s">
        <v>275</v>
      </c>
      <c r="D21" s="413" t="s">
        <v>439</v>
      </c>
      <c r="E21" s="413" t="s">
        <v>452</v>
      </c>
      <c r="F21" s="413" t="s">
        <v>466</v>
      </c>
      <c r="G21" s="413" t="s">
        <v>467</v>
      </c>
      <c r="H21" s="416">
        <v>1</v>
      </c>
      <c r="I21" s="416">
        <v>59</v>
      </c>
      <c r="J21" s="413"/>
      <c r="K21" s="413">
        <v>59</v>
      </c>
      <c r="L21" s="416"/>
      <c r="M21" s="416"/>
      <c r="N21" s="413"/>
      <c r="O21" s="413"/>
      <c r="P21" s="416"/>
      <c r="Q21" s="416"/>
      <c r="R21" s="464"/>
      <c r="S21" s="417"/>
    </row>
    <row r="22" spans="1:19" ht="14.4" customHeight="1" x14ac:dyDescent="0.3">
      <c r="A22" s="412" t="s">
        <v>445</v>
      </c>
      <c r="B22" s="413" t="s">
        <v>446</v>
      </c>
      <c r="C22" s="413" t="s">
        <v>275</v>
      </c>
      <c r="D22" s="413" t="s">
        <v>440</v>
      </c>
      <c r="E22" s="413" t="s">
        <v>452</v>
      </c>
      <c r="F22" s="413" t="s">
        <v>461</v>
      </c>
      <c r="G22" s="413" t="s">
        <v>462</v>
      </c>
      <c r="H22" s="416">
        <v>7</v>
      </c>
      <c r="I22" s="416">
        <v>259</v>
      </c>
      <c r="J22" s="413"/>
      <c r="K22" s="413">
        <v>37</v>
      </c>
      <c r="L22" s="416"/>
      <c r="M22" s="416"/>
      <c r="N22" s="413"/>
      <c r="O22" s="413"/>
      <c r="P22" s="416"/>
      <c r="Q22" s="416"/>
      <c r="R22" s="464"/>
      <c r="S22" s="417"/>
    </row>
    <row r="23" spans="1:19" ht="14.4" customHeight="1" x14ac:dyDescent="0.3">
      <c r="A23" s="412" t="s">
        <v>445</v>
      </c>
      <c r="B23" s="413" t="s">
        <v>446</v>
      </c>
      <c r="C23" s="413" t="s">
        <v>275</v>
      </c>
      <c r="D23" s="413" t="s">
        <v>442</v>
      </c>
      <c r="E23" s="413" t="s">
        <v>452</v>
      </c>
      <c r="F23" s="413" t="s">
        <v>455</v>
      </c>
      <c r="G23" s="413" t="s">
        <v>456</v>
      </c>
      <c r="H23" s="416">
        <v>116</v>
      </c>
      <c r="I23" s="416">
        <v>4292</v>
      </c>
      <c r="J23" s="413">
        <v>0.8721804511278195</v>
      </c>
      <c r="K23" s="413">
        <v>37</v>
      </c>
      <c r="L23" s="416">
        <v>133</v>
      </c>
      <c r="M23" s="416">
        <v>4921</v>
      </c>
      <c r="N23" s="413">
        <v>1</v>
      </c>
      <c r="O23" s="413">
        <v>37</v>
      </c>
      <c r="P23" s="416">
        <v>154</v>
      </c>
      <c r="Q23" s="416">
        <v>5698</v>
      </c>
      <c r="R23" s="464">
        <v>1.1578947368421053</v>
      </c>
      <c r="S23" s="417">
        <v>37</v>
      </c>
    </row>
    <row r="24" spans="1:19" ht="14.4" customHeight="1" x14ac:dyDescent="0.3">
      <c r="A24" s="412" t="s">
        <v>445</v>
      </c>
      <c r="B24" s="413" t="s">
        <v>446</v>
      </c>
      <c r="C24" s="413" t="s">
        <v>275</v>
      </c>
      <c r="D24" s="413" t="s">
        <v>442</v>
      </c>
      <c r="E24" s="413" t="s">
        <v>452</v>
      </c>
      <c r="F24" s="413" t="s">
        <v>457</v>
      </c>
      <c r="G24" s="413" t="s">
        <v>458</v>
      </c>
      <c r="H24" s="416">
        <v>48</v>
      </c>
      <c r="I24" s="416">
        <v>22512</v>
      </c>
      <c r="J24" s="413">
        <v>0.81182834475297516</v>
      </c>
      <c r="K24" s="413">
        <v>469</v>
      </c>
      <c r="L24" s="416">
        <v>59</v>
      </c>
      <c r="M24" s="416">
        <v>27730</v>
      </c>
      <c r="N24" s="413">
        <v>1</v>
      </c>
      <c r="O24" s="413">
        <v>470</v>
      </c>
      <c r="P24" s="416">
        <v>69</v>
      </c>
      <c r="Q24" s="416">
        <v>32499</v>
      </c>
      <c r="R24" s="464">
        <v>1.1719798052650559</v>
      </c>
      <c r="S24" s="417">
        <v>471</v>
      </c>
    </row>
    <row r="25" spans="1:19" ht="14.4" customHeight="1" x14ac:dyDescent="0.3">
      <c r="A25" s="412" t="s">
        <v>445</v>
      </c>
      <c r="B25" s="413" t="s">
        <v>446</v>
      </c>
      <c r="C25" s="413" t="s">
        <v>275</v>
      </c>
      <c r="D25" s="413" t="s">
        <v>442</v>
      </c>
      <c r="E25" s="413" t="s">
        <v>452</v>
      </c>
      <c r="F25" s="413" t="s">
        <v>459</v>
      </c>
      <c r="G25" s="413" t="s">
        <v>460</v>
      </c>
      <c r="H25" s="416">
        <v>36</v>
      </c>
      <c r="I25" s="416">
        <v>1200</v>
      </c>
      <c r="J25" s="413">
        <v>0.51428644898064146</v>
      </c>
      <c r="K25" s="413">
        <v>33.333333333333336</v>
      </c>
      <c r="L25" s="416">
        <v>70</v>
      </c>
      <c r="M25" s="416">
        <v>2333.33</v>
      </c>
      <c r="N25" s="413">
        <v>1</v>
      </c>
      <c r="O25" s="413">
        <v>33.333285714285715</v>
      </c>
      <c r="P25" s="416">
        <v>75</v>
      </c>
      <c r="Q25" s="416">
        <v>2500</v>
      </c>
      <c r="R25" s="464">
        <v>1.071430102043003</v>
      </c>
      <c r="S25" s="417">
        <v>33.333333333333336</v>
      </c>
    </row>
    <row r="26" spans="1:19" ht="14.4" customHeight="1" x14ac:dyDescent="0.3">
      <c r="A26" s="412" t="s">
        <v>445</v>
      </c>
      <c r="B26" s="413" t="s">
        <v>446</v>
      </c>
      <c r="C26" s="413" t="s">
        <v>275</v>
      </c>
      <c r="D26" s="413" t="s">
        <v>442</v>
      </c>
      <c r="E26" s="413" t="s">
        <v>452</v>
      </c>
      <c r="F26" s="413" t="s">
        <v>461</v>
      </c>
      <c r="G26" s="413" t="s">
        <v>462</v>
      </c>
      <c r="H26" s="416"/>
      <c r="I26" s="416"/>
      <c r="J26" s="413"/>
      <c r="K26" s="413"/>
      <c r="L26" s="416">
        <v>2</v>
      </c>
      <c r="M26" s="416">
        <v>74</v>
      </c>
      <c r="N26" s="413">
        <v>1</v>
      </c>
      <c r="O26" s="413">
        <v>37</v>
      </c>
      <c r="P26" s="416"/>
      <c r="Q26" s="416"/>
      <c r="R26" s="464"/>
      <c r="S26" s="417"/>
    </row>
    <row r="27" spans="1:19" ht="14.4" customHeight="1" x14ac:dyDescent="0.3">
      <c r="A27" s="412" t="s">
        <v>445</v>
      </c>
      <c r="B27" s="413" t="s">
        <v>446</v>
      </c>
      <c r="C27" s="413" t="s">
        <v>275</v>
      </c>
      <c r="D27" s="413" t="s">
        <v>442</v>
      </c>
      <c r="E27" s="413" t="s">
        <v>452</v>
      </c>
      <c r="F27" s="413" t="s">
        <v>463</v>
      </c>
      <c r="G27" s="413" t="s">
        <v>464</v>
      </c>
      <c r="H27" s="416"/>
      <c r="I27" s="416"/>
      <c r="J27" s="413"/>
      <c r="K27" s="413"/>
      <c r="L27" s="416">
        <v>1</v>
      </c>
      <c r="M27" s="416">
        <v>235</v>
      </c>
      <c r="N27" s="413">
        <v>1</v>
      </c>
      <c r="O27" s="413">
        <v>235</v>
      </c>
      <c r="P27" s="416">
        <v>2</v>
      </c>
      <c r="Q27" s="416">
        <v>472</v>
      </c>
      <c r="R27" s="464">
        <v>2.0085106382978721</v>
      </c>
      <c r="S27" s="417">
        <v>236</v>
      </c>
    </row>
    <row r="28" spans="1:19" ht="14.4" customHeight="1" x14ac:dyDescent="0.3">
      <c r="A28" s="412" t="s">
        <v>445</v>
      </c>
      <c r="B28" s="413" t="s">
        <v>446</v>
      </c>
      <c r="C28" s="413" t="s">
        <v>275</v>
      </c>
      <c r="D28" s="413" t="s">
        <v>442</v>
      </c>
      <c r="E28" s="413" t="s">
        <v>452</v>
      </c>
      <c r="F28" s="413" t="s">
        <v>463</v>
      </c>
      <c r="G28" s="413" t="s">
        <v>465</v>
      </c>
      <c r="H28" s="416">
        <v>5</v>
      </c>
      <c r="I28" s="416">
        <v>1175</v>
      </c>
      <c r="J28" s="413">
        <v>0.41666666666666669</v>
      </c>
      <c r="K28" s="413">
        <v>235</v>
      </c>
      <c r="L28" s="416">
        <v>12</v>
      </c>
      <c r="M28" s="416">
        <v>2820</v>
      </c>
      <c r="N28" s="413">
        <v>1</v>
      </c>
      <c r="O28" s="413">
        <v>235</v>
      </c>
      <c r="P28" s="416">
        <v>8</v>
      </c>
      <c r="Q28" s="416">
        <v>1888</v>
      </c>
      <c r="R28" s="464">
        <v>0.66950354609929075</v>
      </c>
      <c r="S28" s="417">
        <v>236</v>
      </c>
    </row>
    <row r="29" spans="1:19" ht="14.4" customHeight="1" x14ac:dyDescent="0.3">
      <c r="A29" s="412" t="s">
        <v>445</v>
      </c>
      <c r="B29" s="413" t="s">
        <v>446</v>
      </c>
      <c r="C29" s="413" t="s">
        <v>275</v>
      </c>
      <c r="D29" s="413" t="s">
        <v>442</v>
      </c>
      <c r="E29" s="413" t="s">
        <v>452</v>
      </c>
      <c r="F29" s="413" t="s">
        <v>466</v>
      </c>
      <c r="G29" s="413" t="s">
        <v>467</v>
      </c>
      <c r="H29" s="416">
        <v>1</v>
      </c>
      <c r="I29" s="416">
        <v>59</v>
      </c>
      <c r="J29" s="413"/>
      <c r="K29" s="413">
        <v>59</v>
      </c>
      <c r="L29" s="416"/>
      <c r="M29" s="416"/>
      <c r="N29" s="413"/>
      <c r="O29" s="413"/>
      <c r="P29" s="416"/>
      <c r="Q29" s="416"/>
      <c r="R29" s="464"/>
      <c r="S29" s="417"/>
    </row>
    <row r="30" spans="1:19" ht="14.4" customHeight="1" x14ac:dyDescent="0.3">
      <c r="A30" s="412" t="s">
        <v>445</v>
      </c>
      <c r="B30" s="413" t="s">
        <v>446</v>
      </c>
      <c r="C30" s="413" t="s">
        <v>275</v>
      </c>
      <c r="D30" s="413" t="s">
        <v>442</v>
      </c>
      <c r="E30" s="413" t="s">
        <v>452</v>
      </c>
      <c r="F30" s="413" t="s">
        <v>468</v>
      </c>
      <c r="G30" s="413" t="s">
        <v>469</v>
      </c>
      <c r="H30" s="416">
        <v>634</v>
      </c>
      <c r="I30" s="416">
        <v>166108</v>
      </c>
      <c r="J30" s="413">
        <v>0.69900771775082693</v>
      </c>
      <c r="K30" s="413">
        <v>262</v>
      </c>
      <c r="L30" s="416">
        <v>907</v>
      </c>
      <c r="M30" s="416">
        <v>237634</v>
      </c>
      <c r="N30" s="413">
        <v>1</v>
      </c>
      <c r="O30" s="413">
        <v>262</v>
      </c>
      <c r="P30" s="416">
        <v>904</v>
      </c>
      <c r="Q30" s="416">
        <v>236848</v>
      </c>
      <c r="R30" s="464">
        <v>0.99669239250275632</v>
      </c>
      <c r="S30" s="417">
        <v>262</v>
      </c>
    </row>
    <row r="31" spans="1:19" ht="14.4" customHeight="1" x14ac:dyDescent="0.3">
      <c r="A31" s="412" t="s">
        <v>445</v>
      </c>
      <c r="B31" s="413" t="s">
        <v>446</v>
      </c>
      <c r="C31" s="413" t="s">
        <v>275</v>
      </c>
      <c r="D31" s="413" t="s">
        <v>442</v>
      </c>
      <c r="E31" s="413" t="s">
        <v>452</v>
      </c>
      <c r="F31" s="413" t="s">
        <v>470</v>
      </c>
      <c r="G31" s="413" t="s">
        <v>471</v>
      </c>
      <c r="H31" s="416">
        <v>57</v>
      </c>
      <c r="I31" s="416">
        <v>204402</v>
      </c>
      <c r="J31" s="413">
        <v>0.28078817733990147</v>
      </c>
      <c r="K31" s="413">
        <v>3586</v>
      </c>
      <c r="L31" s="416">
        <v>203</v>
      </c>
      <c r="M31" s="416">
        <v>727958</v>
      </c>
      <c r="N31" s="413">
        <v>1</v>
      </c>
      <c r="O31" s="413">
        <v>3586</v>
      </c>
      <c r="P31" s="416">
        <v>173</v>
      </c>
      <c r="Q31" s="416">
        <v>620378</v>
      </c>
      <c r="R31" s="464">
        <v>0.85221674876847286</v>
      </c>
      <c r="S31" s="417">
        <v>3586</v>
      </c>
    </row>
    <row r="32" spans="1:19" ht="14.4" customHeight="1" x14ac:dyDescent="0.3">
      <c r="A32" s="412" t="s">
        <v>445</v>
      </c>
      <c r="B32" s="413" t="s">
        <v>446</v>
      </c>
      <c r="C32" s="413" t="s">
        <v>275</v>
      </c>
      <c r="D32" s="413" t="s">
        <v>443</v>
      </c>
      <c r="E32" s="413" t="s">
        <v>447</v>
      </c>
      <c r="F32" s="413" t="s">
        <v>448</v>
      </c>
      <c r="G32" s="413" t="s">
        <v>449</v>
      </c>
      <c r="H32" s="416"/>
      <c r="I32" s="416"/>
      <c r="J32" s="413"/>
      <c r="K32" s="413"/>
      <c r="L32" s="416">
        <v>1</v>
      </c>
      <c r="M32" s="416">
        <v>6.09</v>
      </c>
      <c r="N32" s="413">
        <v>1</v>
      </c>
      <c r="O32" s="413">
        <v>6.09</v>
      </c>
      <c r="P32" s="416"/>
      <c r="Q32" s="416"/>
      <c r="R32" s="464"/>
      <c r="S32" s="417"/>
    </row>
    <row r="33" spans="1:19" ht="14.4" customHeight="1" x14ac:dyDescent="0.3">
      <c r="A33" s="412" t="s">
        <v>445</v>
      </c>
      <c r="B33" s="413" t="s">
        <v>446</v>
      </c>
      <c r="C33" s="413" t="s">
        <v>275</v>
      </c>
      <c r="D33" s="413" t="s">
        <v>443</v>
      </c>
      <c r="E33" s="413" t="s">
        <v>447</v>
      </c>
      <c r="F33" s="413" t="s">
        <v>450</v>
      </c>
      <c r="G33" s="413" t="s">
        <v>451</v>
      </c>
      <c r="H33" s="416"/>
      <c r="I33" s="416"/>
      <c r="J33" s="413"/>
      <c r="K33" s="413"/>
      <c r="L33" s="416">
        <v>1</v>
      </c>
      <c r="M33" s="416">
        <v>1118.9000000000001</v>
      </c>
      <c r="N33" s="413">
        <v>1</v>
      </c>
      <c r="O33" s="413">
        <v>1118.9000000000001</v>
      </c>
      <c r="P33" s="416"/>
      <c r="Q33" s="416"/>
      <c r="R33" s="464"/>
      <c r="S33" s="417"/>
    </row>
    <row r="34" spans="1:19" ht="14.4" customHeight="1" x14ac:dyDescent="0.3">
      <c r="A34" s="412" t="s">
        <v>445</v>
      </c>
      <c r="B34" s="413" t="s">
        <v>446</v>
      </c>
      <c r="C34" s="413" t="s">
        <v>275</v>
      </c>
      <c r="D34" s="413" t="s">
        <v>443</v>
      </c>
      <c r="E34" s="413" t="s">
        <v>452</v>
      </c>
      <c r="F34" s="413" t="s">
        <v>453</v>
      </c>
      <c r="G34" s="413" t="s">
        <v>454</v>
      </c>
      <c r="H34" s="416"/>
      <c r="I34" s="416"/>
      <c r="J34" s="413"/>
      <c r="K34" s="413"/>
      <c r="L34" s="416">
        <v>1</v>
      </c>
      <c r="M34" s="416">
        <v>147</v>
      </c>
      <c r="N34" s="413">
        <v>1</v>
      </c>
      <c r="O34" s="413">
        <v>147</v>
      </c>
      <c r="P34" s="416"/>
      <c r="Q34" s="416"/>
      <c r="R34" s="464"/>
      <c r="S34" s="417"/>
    </row>
    <row r="35" spans="1:19" ht="14.4" customHeight="1" x14ac:dyDescent="0.3">
      <c r="A35" s="412" t="s">
        <v>445</v>
      </c>
      <c r="B35" s="413" t="s">
        <v>446</v>
      </c>
      <c r="C35" s="413" t="s">
        <v>275</v>
      </c>
      <c r="D35" s="413" t="s">
        <v>443</v>
      </c>
      <c r="E35" s="413" t="s">
        <v>452</v>
      </c>
      <c r="F35" s="413" t="s">
        <v>461</v>
      </c>
      <c r="G35" s="413" t="s">
        <v>462</v>
      </c>
      <c r="H35" s="416"/>
      <c r="I35" s="416"/>
      <c r="J35" s="413"/>
      <c r="K35" s="413"/>
      <c r="L35" s="416">
        <v>3</v>
      </c>
      <c r="M35" s="416">
        <v>111</v>
      </c>
      <c r="N35" s="413">
        <v>1</v>
      </c>
      <c r="O35" s="413">
        <v>37</v>
      </c>
      <c r="P35" s="416"/>
      <c r="Q35" s="416"/>
      <c r="R35" s="464"/>
      <c r="S35" s="417"/>
    </row>
    <row r="36" spans="1:19" ht="14.4" customHeight="1" x14ac:dyDescent="0.3">
      <c r="A36" s="412" t="s">
        <v>445</v>
      </c>
      <c r="B36" s="413" t="s">
        <v>446</v>
      </c>
      <c r="C36" s="413" t="s">
        <v>275</v>
      </c>
      <c r="D36" s="413" t="s">
        <v>441</v>
      </c>
      <c r="E36" s="413" t="s">
        <v>452</v>
      </c>
      <c r="F36" s="413" t="s">
        <v>461</v>
      </c>
      <c r="G36" s="413" t="s">
        <v>462</v>
      </c>
      <c r="H36" s="416"/>
      <c r="I36" s="416"/>
      <c r="J36" s="413"/>
      <c r="K36" s="413"/>
      <c r="L36" s="416"/>
      <c r="M36" s="416"/>
      <c r="N36" s="413"/>
      <c r="O36" s="413"/>
      <c r="P36" s="416">
        <v>4</v>
      </c>
      <c r="Q36" s="416">
        <v>148</v>
      </c>
      <c r="R36" s="464"/>
      <c r="S36" s="417">
        <v>37</v>
      </c>
    </row>
    <row r="37" spans="1:19" ht="14.4" customHeight="1" thickBot="1" x14ac:dyDescent="0.35">
      <c r="A37" s="418" t="s">
        <v>445</v>
      </c>
      <c r="B37" s="419" t="s">
        <v>472</v>
      </c>
      <c r="C37" s="419" t="s">
        <v>275</v>
      </c>
      <c r="D37" s="419" t="s">
        <v>434</v>
      </c>
      <c r="E37" s="419" t="s">
        <v>452</v>
      </c>
      <c r="F37" s="419" t="s">
        <v>473</v>
      </c>
      <c r="G37" s="419" t="s">
        <v>474</v>
      </c>
      <c r="H37" s="422">
        <v>1</v>
      </c>
      <c r="I37" s="422">
        <v>251</v>
      </c>
      <c r="J37" s="419"/>
      <c r="K37" s="419">
        <v>251</v>
      </c>
      <c r="L37" s="422"/>
      <c r="M37" s="422"/>
      <c r="N37" s="419"/>
      <c r="O37" s="419"/>
      <c r="P37" s="422"/>
      <c r="Q37" s="422"/>
      <c r="R37" s="465"/>
      <c r="S37" s="423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" customHeight="1" thickBot="1" x14ac:dyDescent="0.35">
      <c r="A2" s="199" t="s">
        <v>202</v>
      </c>
      <c r="B2" s="193"/>
      <c r="C2" s="86"/>
      <c r="D2" s="193"/>
      <c r="E2" s="86"/>
      <c r="F2" s="193"/>
      <c r="G2" s="194"/>
      <c r="H2" s="193"/>
      <c r="I2" s="86"/>
      <c r="J2" s="193"/>
      <c r="K2" s="86"/>
      <c r="L2" s="193"/>
      <c r="M2" s="194"/>
      <c r="N2" s="193"/>
      <c r="O2" s="86"/>
      <c r="P2" s="193"/>
      <c r="Q2" s="86"/>
      <c r="R2" s="193"/>
      <c r="S2" s="194"/>
    </row>
    <row r="3" spans="1:19" ht="14.4" customHeight="1" thickBot="1" x14ac:dyDescent="0.35">
      <c r="A3" s="187" t="s">
        <v>105</v>
      </c>
      <c r="B3" s="188">
        <f>SUBTOTAL(9,B6:B1048576)</f>
        <v>2999</v>
      </c>
      <c r="C3" s="189">
        <f t="shared" ref="C3:R3" si="0">SUBTOTAL(9,C6:C1048576)</f>
        <v>3.2853238602518946</v>
      </c>
      <c r="D3" s="189">
        <f t="shared" si="0"/>
        <v>3928.33</v>
      </c>
      <c r="E3" s="189">
        <f t="shared" si="0"/>
        <v>6</v>
      </c>
      <c r="F3" s="189">
        <f t="shared" si="0"/>
        <v>2995.33</v>
      </c>
      <c r="G3" s="192">
        <f>IF(D3&lt;&gt;0,F3/D3,"")</f>
        <v>0.76249449511624534</v>
      </c>
      <c r="H3" s="188">
        <f t="shared" si="0"/>
        <v>0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90" t="str">
        <f>IF(J3&lt;&gt;0,L3/J3,"")</f>
        <v/>
      </c>
      <c r="N3" s="191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90" t="str">
        <f>IF(P3&lt;&gt;0,R3/P3,"")</f>
        <v/>
      </c>
    </row>
    <row r="4" spans="1:19" ht="14.4" customHeight="1" x14ac:dyDescent="0.3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" customHeight="1" thickBot="1" x14ac:dyDescent="0.35">
      <c r="A5" s="424"/>
      <c r="B5" s="425">
        <v>2015</v>
      </c>
      <c r="C5" s="426"/>
      <c r="D5" s="426">
        <v>2017</v>
      </c>
      <c r="E5" s="426"/>
      <c r="F5" s="426">
        <v>2018</v>
      </c>
      <c r="G5" s="467" t="s">
        <v>2</v>
      </c>
      <c r="H5" s="425">
        <v>2015</v>
      </c>
      <c r="I5" s="426"/>
      <c r="J5" s="426">
        <v>2017</v>
      </c>
      <c r="K5" s="426"/>
      <c r="L5" s="426">
        <v>2018</v>
      </c>
      <c r="M5" s="467" t="s">
        <v>2</v>
      </c>
      <c r="N5" s="425">
        <v>2015</v>
      </c>
      <c r="O5" s="426"/>
      <c r="P5" s="426">
        <v>2017</v>
      </c>
      <c r="Q5" s="426"/>
      <c r="R5" s="426">
        <v>2018</v>
      </c>
      <c r="S5" s="467" t="s">
        <v>2</v>
      </c>
    </row>
    <row r="6" spans="1:19" ht="14.4" customHeight="1" x14ac:dyDescent="0.3">
      <c r="A6" s="450" t="s">
        <v>477</v>
      </c>
      <c r="B6" s="444"/>
      <c r="C6" s="407"/>
      <c r="D6" s="444">
        <v>37</v>
      </c>
      <c r="E6" s="407">
        <v>1</v>
      </c>
      <c r="F6" s="444">
        <v>546</v>
      </c>
      <c r="G6" s="463">
        <v>14.756756756756756</v>
      </c>
      <c r="H6" s="444"/>
      <c r="I6" s="407"/>
      <c r="J6" s="444"/>
      <c r="K6" s="407"/>
      <c r="L6" s="444"/>
      <c r="M6" s="463"/>
      <c r="N6" s="444"/>
      <c r="O6" s="407"/>
      <c r="P6" s="444"/>
      <c r="Q6" s="407"/>
      <c r="R6" s="444"/>
      <c r="S6" s="468"/>
    </row>
    <row r="7" spans="1:19" ht="14.4" customHeight="1" x14ac:dyDescent="0.3">
      <c r="A7" s="451" t="s">
        <v>478</v>
      </c>
      <c r="B7" s="446">
        <v>1407</v>
      </c>
      <c r="C7" s="413">
        <v>0.82025033084012988</v>
      </c>
      <c r="D7" s="446">
        <v>1715.33</v>
      </c>
      <c r="E7" s="413">
        <v>1</v>
      </c>
      <c r="F7" s="446">
        <v>615.33000000000004</v>
      </c>
      <c r="G7" s="464">
        <v>0.35872397731048838</v>
      </c>
      <c r="H7" s="446"/>
      <c r="I7" s="413"/>
      <c r="J7" s="446"/>
      <c r="K7" s="413"/>
      <c r="L7" s="446"/>
      <c r="M7" s="464"/>
      <c r="N7" s="446"/>
      <c r="O7" s="413"/>
      <c r="P7" s="446"/>
      <c r="Q7" s="413"/>
      <c r="R7" s="446"/>
      <c r="S7" s="469"/>
    </row>
    <row r="8" spans="1:19" ht="14.4" customHeight="1" x14ac:dyDescent="0.3">
      <c r="A8" s="451" t="s">
        <v>479</v>
      </c>
      <c r="B8" s="446">
        <v>543</v>
      </c>
      <c r="C8" s="413"/>
      <c r="D8" s="446"/>
      <c r="E8" s="413"/>
      <c r="F8" s="446">
        <v>508</v>
      </c>
      <c r="G8" s="464"/>
      <c r="H8" s="446"/>
      <c r="I8" s="413"/>
      <c r="J8" s="446"/>
      <c r="K8" s="413"/>
      <c r="L8" s="446"/>
      <c r="M8" s="464"/>
      <c r="N8" s="446"/>
      <c r="O8" s="413"/>
      <c r="P8" s="446"/>
      <c r="Q8" s="413"/>
      <c r="R8" s="446"/>
      <c r="S8" s="469"/>
    </row>
    <row r="9" spans="1:19" ht="14.4" customHeight="1" x14ac:dyDescent="0.3">
      <c r="A9" s="451" t="s">
        <v>480</v>
      </c>
      <c r="B9" s="446"/>
      <c r="C9" s="413"/>
      <c r="D9" s="446">
        <v>581</v>
      </c>
      <c r="E9" s="413">
        <v>1</v>
      </c>
      <c r="F9" s="446">
        <v>37</v>
      </c>
      <c r="G9" s="464">
        <v>6.3683304647160072E-2</v>
      </c>
      <c r="H9" s="446"/>
      <c r="I9" s="413"/>
      <c r="J9" s="446"/>
      <c r="K9" s="413"/>
      <c r="L9" s="446"/>
      <c r="M9" s="464"/>
      <c r="N9" s="446"/>
      <c r="O9" s="413"/>
      <c r="P9" s="446"/>
      <c r="Q9" s="413"/>
      <c r="R9" s="446"/>
      <c r="S9" s="469"/>
    </row>
    <row r="10" spans="1:19" ht="14.4" customHeight="1" x14ac:dyDescent="0.3">
      <c r="A10" s="451" t="s">
        <v>481</v>
      </c>
      <c r="B10" s="446">
        <v>469</v>
      </c>
      <c r="C10" s="413"/>
      <c r="D10" s="446"/>
      <c r="E10" s="413"/>
      <c r="F10" s="446"/>
      <c r="G10" s="464"/>
      <c r="H10" s="446"/>
      <c r="I10" s="413"/>
      <c r="J10" s="446"/>
      <c r="K10" s="413"/>
      <c r="L10" s="446"/>
      <c r="M10" s="464"/>
      <c r="N10" s="446"/>
      <c r="O10" s="413"/>
      <c r="P10" s="446"/>
      <c r="Q10" s="413"/>
      <c r="R10" s="446"/>
      <c r="S10" s="469"/>
    </row>
    <row r="11" spans="1:19" ht="14.4" customHeight="1" x14ac:dyDescent="0.3">
      <c r="A11" s="451" t="s">
        <v>482</v>
      </c>
      <c r="B11" s="446">
        <v>506</v>
      </c>
      <c r="C11" s="413">
        <v>0.46507352941176472</v>
      </c>
      <c r="D11" s="446">
        <v>1088</v>
      </c>
      <c r="E11" s="413">
        <v>1</v>
      </c>
      <c r="F11" s="446">
        <v>1215</v>
      </c>
      <c r="G11" s="464">
        <v>1.1167279411764706</v>
      </c>
      <c r="H11" s="446"/>
      <c r="I11" s="413"/>
      <c r="J11" s="446"/>
      <c r="K11" s="413"/>
      <c r="L11" s="446"/>
      <c r="M11" s="464"/>
      <c r="N11" s="446"/>
      <c r="O11" s="413"/>
      <c r="P11" s="446"/>
      <c r="Q11" s="413"/>
      <c r="R11" s="446"/>
      <c r="S11" s="469"/>
    </row>
    <row r="12" spans="1:19" ht="14.4" customHeight="1" x14ac:dyDescent="0.3">
      <c r="A12" s="451" t="s">
        <v>483</v>
      </c>
      <c r="B12" s="446">
        <v>74</v>
      </c>
      <c r="C12" s="413">
        <v>2</v>
      </c>
      <c r="D12" s="446">
        <v>37</v>
      </c>
      <c r="E12" s="413">
        <v>1</v>
      </c>
      <c r="F12" s="446">
        <v>37</v>
      </c>
      <c r="G12" s="464">
        <v>1</v>
      </c>
      <c r="H12" s="446"/>
      <c r="I12" s="413"/>
      <c r="J12" s="446"/>
      <c r="K12" s="413"/>
      <c r="L12" s="446"/>
      <c r="M12" s="464"/>
      <c r="N12" s="446"/>
      <c r="O12" s="413"/>
      <c r="P12" s="446"/>
      <c r="Q12" s="413"/>
      <c r="R12" s="446"/>
      <c r="S12" s="469"/>
    </row>
    <row r="13" spans="1:19" ht="14.4" customHeight="1" thickBot="1" x14ac:dyDescent="0.35">
      <c r="A13" s="452" t="s">
        <v>484</v>
      </c>
      <c r="B13" s="448"/>
      <c r="C13" s="419"/>
      <c r="D13" s="448">
        <v>470</v>
      </c>
      <c r="E13" s="419">
        <v>1</v>
      </c>
      <c r="F13" s="448">
        <v>37</v>
      </c>
      <c r="G13" s="465">
        <v>7.8723404255319152E-2</v>
      </c>
      <c r="H13" s="448"/>
      <c r="I13" s="419"/>
      <c r="J13" s="448"/>
      <c r="K13" s="419"/>
      <c r="L13" s="448"/>
      <c r="M13" s="465"/>
      <c r="N13" s="448"/>
      <c r="O13" s="419"/>
      <c r="P13" s="448"/>
      <c r="Q13" s="419"/>
      <c r="R13" s="448"/>
      <c r="S13" s="47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272" t="s">
        <v>495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" customHeight="1" thickBot="1" x14ac:dyDescent="0.35">
      <c r="A2" s="199" t="s">
        <v>202</v>
      </c>
      <c r="B2" s="105"/>
      <c r="C2" s="105"/>
      <c r="D2" s="105"/>
      <c r="E2" s="10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6"/>
      <c r="Q2" s="195"/>
    </row>
    <row r="3" spans="1:17" ht="14.4" customHeight="1" thickBot="1" x14ac:dyDescent="0.35">
      <c r="E3" s="63" t="s">
        <v>105</v>
      </c>
      <c r="F3" s="77">
        <f t="shared" ref="F3:O3" si="0">SUBTOTAL(9,F6:F1048576)</f>
        <v>11</v>
      </c>
      <c r="G3" s="78">
        <f t="shared" si="0"/>
        <v>2999</v>
      </c>
      <c r="H3" s="78"/>
      <c r="I3" s="78"/>
      <c r="J3" s="78">
        <f t="shared" si="0"/>
        <v>19</v>
      </c>
      <c r="K3" s="78">
        <f t="shared" si="0"/>
        <v>3928.33</v>
      </c>
      <c r="L3" s="78"/>
      <c r="M3" s="78"/>
      <c r="N3" s="78">
        <f t="shared" si="0"/>
        <v>18</v>
      </c>
      <c r="O3" s="78">
        <f t="shared" si="0"/>
        <v>2995.33</v>
      </c>
      <c r="P3" s="59">
        <f>IF(K3=0,0,O3/K3)</f>
        <v>0.76249449511624534</v>
      </c>
      <c r="Q3" s="79">
        <f>IF(N3=0,0,O3/N3)</f>
        <v>166.40722222222223</v>
      </c>
    </row>
    <row r="4" spans="1:17" ht="14.4" customHeight="1" x14ac:dyDescent="0.3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2015</v>
      </c>
      <c r="G4" s="365"/>
      <c r="H4" s="80"/>
      <c r="I4" s="80"/>
      <c r="J4" s="364">
        <v>2017</v>
      </c>
      <c r="K4" s="365"/>
      <c r="L4" s="80"/>
      <c r="M4" s="80"/>
      <c r="N4" s="364">
        <v>2018</v>
      </c>
      <c r="O4" s="365"/>
      <c r="P4" s="367" t="s">
        <v>2</v>
      </c>
      <c r="Q4" s="356" t="s">
        <v>79</v>
      </c>
    </row>
    <row r="5" spans="1:17" ht="14.4" customHeight="1" thickBot="1" x14ac:dyDescent="0.35">
      <c r="A5" s="455"/>
      <c r="B5" s="453"/>
      <c r="C5" s="455"/>
      <c r="D5" s="471"/>
      <c r="E5" s="457"/>
      <c r="F5" s="472" t="s">
        <v>53</v>
      </c>
      <c r="G5" s="473" t="s">
        <v>10</v>
      </c>
      <c r="H5" s="474"/>
      <c r="I5" s="474"/>
      <c r="J5" s="472" t="s">
        <v>53</v>
      </c>
      <c r="K5" s="473" t="s">
        <v>10</v>
      </c>
      <c r="L5" s="474"/>
      <c r="M5" s="474"/>
      <c r="N5" s="472" t="s">
        <v>53</v>
      </c>
      <c r="O5" s="473" t="s">
        <v>10</v>
      </c>
      <c r="P5" s="475"/>
      <c r="Q5" s="462"/>
    </row>
    <row r="6" spans="1:17" ht="14.4" customHeight="1" x14ac:dyDescent="0.3">
      <c r="A6" s="406" t="s">
        <v>485</v>
      </c>
      <c r="B6" s="407" t="s">
        <v>446</v>
      </c>
      <c r="C6" s="407" t="s">
        <v>452</v>
      </c>
      <c r="D6" s="407" t="s">
        <v>455</v>
      </c>
      <c r="E6" s="407" t="s">
        <v>456</v>
      </c>
      <c r="F6" s="410"/>
      <c r="G6" s="410"/>
      <c r="H6" s="410"/>
      <c r="I6" s="410"/>
      <c r="J6" s="410">
        <v>1</v>
      </c>
      <c r="K6" s="410">
        <v>37</v>
      </c>
      <c r="L6" s="410">
        <v>1</v>
      </c>
      <c r="M6" s="410">
        <v>37</v>
      </c>
      <c r="N6" s="410">
        <v>2</v>
      </c>
      <c r="O6" s="410">
        <v>74</v>
      </c>
      <c r="P6" s="463">
        <v>2</v>
      </c>
      <c r="Q6" s="411">
        <v>37</v>
      </c>
    </row>
    <row r="7" spans="1:17" ht="14.4" customHeight="1" x14ac:dyDescent="0.3">
      <c r="A7" s="412" t="s">
        <v>485</v>
      </c>
      <c r="B7" s="413" t="s">
        <v>446</v>
      </c>
      <c r="C7" s="413" t="s">
        <v>452</v>
      </c>
      <c r="D7" s="413" t="s">
        <v>463</v>
      </c>
      <c r="E7" s="413" t="s">
        <v>465</v>
      </c>
      <c r="F7" s="416"/>
      <c r="G7" s="416"/>
      <c r="H7" s="416"/>
      <c r="I7" s="416"/>
      <c r="J7" s="416"/>
      <c r="K7" s="416"/>
      <c r="L7" s="416"/>
      <c r="M7" s="416"/>
      <c r="N7" s="416">
        <v>2</v>
      </c>
      <c r="O7" s="416">
        <v>472</v>
      </c>
      <c r="P7" s="464"/>
      <c r="Q7" s="417">
        <v>236</v>
      </c>
    </row>
    <row r="8" spans="1:17" ht="14.4" customHeight="1" x14ac:dyDescent="0.3">
      <c r="A8" s="412" t="s">
        <v>486</v>
      </c>
      <c r="B8" s="413" t="s">
        <v>446</v>
      </c>
      <c r="C8" s="413" t="s">
        <v>452</v>
      </c>
      <c r="D8" s="413" t="s">
        <v>455</v>
      </c>
      <c r="E8" s="413" t="s">
        <v>456</v>
      </c>
      <c r="F8" s="416"/>
      <c r="G8" s="416"/>
      <c r="H8" s="416"/>
      <c r="I8" s="416"/>
      <c r="J8" s="416">
        <v>1</v>
      </c>
      <c r="K8" s="416">
        <v>37</v>
      </c>
      <c r="L8" s="416">
        <v>1</v>
      </c>
      <c r="M8" s="416">
        <v>37</v>
      </c>
      <c r="N8" s="416">
        <v>2</v>
      </c>
      <c r="O8" s="416">
        <v>74</v>
      </c>
      <c r="P8" s="464">
        <v>2</v>
      </c>
      <c r="Q8" s="417">
        <v>37</v>
      </c>
    </row>
    <row r="9" spans="1:17" ht="14.4" customHeight="1" x14ac:dyDescent="0.3">
      <c r="A9" s="412" t="s">
        <v>486</v>
      </c>
      <c r="B9" s="413" t="s">
        <v>446</v>
      </c>
      <c r="C9" s="413" t="s">
        <v>452</v>
      </c>
      <c r="D9" s="413" t="s">
        <v>455</v>
      </c>
      <c r="E9" s="413" t="s">
        <v>487</v>
      </c>
      <c r="F9" s="416"/>
      <c r="G9" s="416"/>
      <c r="H9" s="416"/>
      <c r="I9" s="416"/>
      <c r="J9" s="416"/>
      <c r="K9" s="416"/>
      <c r="L9" s="416"/>
      <c r="M9" s="416"/>
      <c r="N9" s="416">
        <v>1</v>
      </c>
      <c r="O9" s="416">
        <v>37</v>
      </c>
      <c r="P9" s="464"/>
      <c r="Q9" s="417">
        <v>37</v>
      </c>
    </row>
    <row r="10" spans="1:17" ht="14.4" customHeight="1" x14ac:dyDescent="0.3">
      <c r="A10" s="412" t="s">
        <v>486</v>
      </c>
      <c r="B10" s="413" t="s">
        <v>446</v>
      </c>
      <c r="C10" s="413" t="s">
        <v>452</v>
      </c>
      <c r="D10" s="413" t="s">
        <v>457</v>
      </c>
      <c r="E10" s="413" t="s">
        <v>488</v>
      </c>
      <c r="F10" s="416">
        <v>1</v>
      </c>
      <c r="G10" s="416">
        <v>469</v>
      </c>
      <c r="H10" s="416"/>
      <c r="I10" s="416">
        <v>469</v>
      </c>
      <c r="J10" s="416"/>
      <c r="K10" s="416"/>
      <c r="L10" s="416"/>
      <c r="M10" s="416"/>
      <c r="N10" s="416"/>
      <c r="O10" s="416"/>
      <c r="P10" s="464"/>
      <c r="Q10" s="417"/>
    </row>
    <row r="11" spans="1:17" ht="14.4" customHeight="1" x14ac:dyDescent="0.3">
      <c r="A11" s="412" t="s">
        <v>486</v>
      </c>
      <c r="B11" s="413" t="s">
        <v>446</v>
      </c>
      <c r="C11" s="413" t="s">
        <v>452</v>
      </c>
      <c r="D11" s="413" t="s">
        <v>457</v>
      </c>
      <c r="E11" s="413" t="s">
        <v>458</v>
      </c>
      <c r="F11" s="416">
        <v>2</v>
      </c>
      <c r="G11" s="416">
        <v>938</v>
      </c>
      <c r="H11" s="416">
        <v>0.66524822695035457</v>
      </c>
      <c r="I11" s="416">
        <v>469</v>
      </c>
      <c r="J11" s="416">
        <v>3</v>
      </c>
      <c r="K11" s="416">
        <v>1410</v>
      </c>
      <c r="L11" s="416">
        <v>1</v>
      </c>
      <c r="M11" s="416">
        <v>470</v>
      </c>
      <c r="N11" s="416">
        <v>1</v>
      </c>
      <c r="O11" s="416">
        <v>471</v>
      </c>
      <c r="P11" s="464">
        <v>0.33404255319148934</v>
      </c>
      <c r="Q11" s="417">
        <v>471</v>
      </c>
    </row>
    <row r="12" spans="1:17" ht="14.4" customHeight="1" x14ac:dyDescent="0.3">
      <c r="A12" s="412" t="s">
        <v>486</v>
      </c>
      <c r="B12" s="413" t="s">
        <v>446</v>
      </c>
      <c r="C12" s="413" t="s">
        <v>452</v>
      </c>
      <c r="D12" s="413" t="s">
        <v>459</v>
      </c>
      <c r="E12" s="413" t="s">
        <v>460</v>
      </c>
      <c r="F12" s="416"/>
      <c r="G12" s="416"/>
      <c r="H12" s="416"/>
      <c r="I12" s="416"/>
      <c r="J12" s="416">
        <v>1</v>
      </c>
      <c r="K12" s="416">
        <v>33.33</v>
      </c>
      <c r="L12" s="416">
        <v>1</v>
      </c>
      <c r="M12" s="416">
        <v>33.33</v>
      </c>
      <c r="N12" s="416">
        <v>1</v>
      </c>
      <c r="O12" s="416">
        <v>33.33</v>
      </c>
      <c r="P12" s="464">
        <v>1</v>
      </c>
      <c r="Q12" s="417">
        <v>33.33</v>
      </c>
    </row>
    <row r="13" spans="1:17" ht="14.4" customHeight="1" x14ac:dyDescent="0.3">
      <c r="A13" s="412" t="s">
        <v>486</v>
      </c>
      <c r="B13" s="413" t="s">
        <v>446</v>
      </c>
      <c r="C13" s="413" t="s">
        <v>452</v>
      </c>
      <c r="D13" s="413" t="s">
        <v>463</v>
      </c>
      <c r="E13" s="413" t="s">
        <v>465</v>
      </c>
      <c r="F13" s="416"/>
      <c r="G13" s="416"/>
      <c r="H13" s="416"/>
      <c r="I13" s="416"/>
      <c r="J13" s="416">
        <v>1</v>
      </c>
      <c r="K13" s="416">
        <v>235</v>
      </c>
      <c r="L13" s="416">
        <v>1</v>
      </c>
      <c r="M13" s="416">
        <v>235</v>
      </c>
      <c r="N13" s="416"/>
      <c r="O13" s="416"/>
      <c r="P13" s="464"/>
      <c r="Q13" s="417"/>
    </row>
    <row r="14" spans="1:17" ht="14.4" customHeight="1" x14ac:dyDescent="0.3">
      <c r="A14" s="412" t="s">
        <v>489</v>
      </c>
      <c r="B14" s="413" t="s">
        <v>446</v>
      </c>
      <c r="C14" s="413" t="s">
        <v>452</v>
      </c>
      <c r="D14" s="413" t="s">
        <v>455</v>
      </c>
      <c r="E14" s="413" t="s">
        <v>456</v>
      </c>
      <c r="F14" s="416">
        <v>2</v>
      </c>
      <c r="G14" s="416">
        <v>74</v>
      </c>
      <c r="H14" s="416"/>
      <c r="I14" s="416">
        <v>37</v>
      </c>
      <c r="J14" s="416"/>
      <c r="K14" s="416"/>
      <c r="L14" s="416"/>
      <c r="M14" s="416"/>
      <c r="N14" s="416">
        <v>1</v>
      </c>
      <c r="O14" s="416">
        <v>37</v>
      </c>
      <c r="P14" s="464"/>
      <c r="Q14" s="417">
        <v>37</v>
      </c>
    </row>
    <row r="15" spans="1:17" ht="14.4" customHeight="1" x14ac:dyDescent="0.3">
      <c r="A15" s="412" t="s">
        <v>489</v>
      </c>
      <c r="B15" s="413" t="s">
        <v>446</v>
      </c>
      <c r="C15" s="413" t="s">
        <v>452</v>
      </c>
      <c r="D15" s="413" t="s">
        <v>457</v>
      </c>
      <c r="E15" s="413" t="s">
        <v>458</v>
      </c>
      <c r="F15" s="416">
        <v>1</v>
      </c>
      <c r="G15" s="416">
        <v>469</v>
      </c>
      <c r="H15" s="416"/>
      <c r="I15" s="416">
        <v>469</v>
      </c>
      <c r="J15" s="416"/>
      <c r="K15" s="416"/>
      <c r="L15" s="416"/>
      <c r="M15" s="416"/>
      <c r="N15" s="416">
        <v>1</v>
      </c>
      <c r="O15" s="416">
        <v>471</v>
      </c>
      <c r="P15" s="464"/>
      <c r="Q15" s="417">
        <v>471</v>
      </c>
    </row>
    <row r="16" spans="1:17" ht="14.4" customHeight="1" x14ac:dyDescent="0.3">
      <c r="A16" s="412" t="s">
        <v>490</v>
      </c>
      <c r="B16" s="413" t="s">
        <v>446</v>
      </c>
      <c r="C16" s="413" t="s">
        <v>452</v>
      </c>
      <c r="D16" s="413" t="s">
        <v>455</v>
      </c>
      <c r="E16" s="413" t="s">
        <v>456</v>
      </c>
      <c r="F16" s="416"/>
      <c r="G16" s="416"/>
      <c r="H16" s="416"/>
      <c r="I16" s="416"/>
      <c r="J16" s="416">
        <v>2</v>
      </c>
      <c r="K16" s="416">
        <v>74</v>
      </c>
      <c r="L16" s="416">
        <v>1</v>
      </c>
      <c r="M16" s="416">
        <v>37</v>
      </c>
      <c r="N16" s="416">
        <v>1</v>
      </c>
      <c r="O16" s="416">
        <v>37</v>
      </c>
      <c r="P16" s="464">
        <v>0.5</v>
      </c>
      <c r="Q16" s="417">
        <v>37</v>
      </c>
    </row>
    <row r="17" spans="1:17" ht="14.4" customHeight="1" x14ac:dyDescent="0.3">
      <c r="A17" s="412" t="s">
        <v>490</v>
      </c>
      <c r="B17" s="413" t="s">
        <v>446</v>
      </c>
      <c r="C17" s="413" t="s">
        <v>452</v>
      </c>
      <c r="D17" s="413" t="s">
        <v>455</v>
      </c>
      <c r="E17" s="413" t="s">
        <v>487</v>
      </c>
      <c r="F17" s="416"/>
      <c r="G17" s="416"/>
      <c r="H17" s="416"/>
      <c r="I17" s="416"/>
      <c r="J17" s="416">
        <v>1</v>
      </c>
      <c r="K17" s="416">
        <v>37</v>
      </c>
      <c r="L17" s="416">
        <v>1</v>
      </c>
      <c r="M17" s="416">
        <v>37</v>
      </c>
      <c r="N17" s="416"/>
      <c r="O17" s="416"/>
      <c r="P17" s="464"/>
      <c r="Q17" s="417"/>
    </row>
    <row r="18" spans="1:17" ht="14.4" customHeight="1" x14ac:dyDescent="0.3">
      <c r="A18" s="412" t="s">
        <v>490</v>
      </c>
      <c r="B18" s="413" t="s">
        <v>446</v>
      </c>
      <c r="C18" s="413" t="s">
        <v>452</v>
      </c>
      <c r="D18" s="413" t="s">
        <v>457</v>
      </c>
      <c r="E18" s="413" t="s">
        <v>458</v>
      </c>
      <c r="F18" s="416"/>
      <c r="G18" s="416"/>
      <c r="H18" s="416"/>
      <c r="I18" s="416"/>
      <c r="J18" s="416">
        <v>1</v>
      </c>
      <c r="K18" s="416">
        <v>470</v>
      </c>
      <c r="L18" s="416">
        <v>1</v>
      </c>
      <c r="M18" s="416">
        <v>470</v>
      </c>
      <c r="N18" s="416"/>
      <c r="O18" s="416"/>
      <c r="P18" s="464"/>
      <c r="Q18" s="417"/>
    </row>
    <row r="19" spans="1:17" ht="14.4" customHeight="1" x14ac:dyDescent="0.3">
      <c r="A19" s="412" t="s">
        <v>491</v>
      </c>
      <c r="B19" s="413" t="s">
        <v>446</v>
      </c>
      <c r="C19" s="413" t="s">
        <v>452</v>
      </c>
      <c r="D19" s="413" t="s">
        <v>457</v>
      </c>
      <c r="E19" s="413" t="s">
        <v>458</v>
      </c>
      <c r="F19" s="416">
        <v>1</v>
      </c>
      <c r="G19" s="416">
        <v>469</v>
      </c>
      <c r="H19" s="416"/>
      <c r="I19" s="416">
        <v>469</v>
      </c>
      <c r="J19" s="416"/>
      <c r="K19" s="416"/>
      <c r="L19" s="416"/>
      <c r="M19" s="416"/>
      <c r="N19" s="416"/>
      <c r="O19" s="416"/>
      <c r="P19" s="464"/>
      <c r="Q19" s="417"/>
    </row>
    <row r="20" spans="1:17" ht="14.4" customHeight="1" x14ac:dyDescent="0.3">
      <c r="A20" s="412" t="s">
        <v>492</v>
      </c>
      <c r="B20" s="413" t="s">
        <v>446</v>
      </c>
      <c r="C20" s="413" t="s">
        <v>452</v>
      </c>
      <c r="D20" s="413" t="s">
        <v>455</v>
      </c>
      <c r="E20" s="413" t="s">
        <v>456</v>
      </c>
      <c r="F20" s="416">
        <v>1</v>
      </c>
      <c r="G20" s="416">
        <v>37</v>
      </c>
      <c r="H20" s="416">
        <v>0.25</v>
      </c>
      <c r="I20" s="416">
        <v>37</v>
      </c>
      <c r="J20" s="416">
        <v>4</v>
      </c>
      <c r="K20" s="416">
        <v>148</v>
      </c>
      <c r="L20" s="416">
        <v>1</v>
      </c>
      <c r="M20" s="416">
        <v>37</v>
      </c>
      <c r="N20" s="416">
        <v>1</v>
      </c>
      <c r="O20" s="416">
        <v>37</v>
      </c>
      <c r="P20" s="464">
        <v>0.25</v>
      </c>
      <c r="Q20" s="417">
        <v>37</v>
      </c>
    </row>
    <row r="21" spans="1:17" ht="14.4" customHeight="1" x14ac:dyDescent="0.3">
      <c r="A21" s="412" t="s">
        <v>492</v>
      </c>
      <c r="B21" s="413" t="s">
        <v>446</v>
      </c>
      <c r="C21" s="413" t="s">
        <v>452</v>
      </c>
      <c r="D21" s="413" t="s">
        <v>457</v>
      </c>
      <c r="E21" s="413" t="s">
        <v>458</v>
      </c>
      <c r="F21" s="416">
        <v>1</v>
      </c>
      <c r="G21" s="416">
        <v>469</v>
      </c>
      <c r="H21" s="416">
        <v>0.49893617021276598</v>
      </c>
      <c r="I21" s="416">
        <v>469</v>
      </c>
      <c r="J21" s="416">
        <v>2</v>
      </c>
      <c r="K21" s="416">
        <v>940</v>
      </c>
      <c r="L21" s="416">
        <v>1</v>
      </c>
      <c r="M21" s="416">
        <v>470</v>
      </c>
      <c r="N21" s="416">
        <v>2</v>
      </c>
      <c r="O21" s="416">
        <v>942</v>
      </c>
      <c r="P21" s="464">
        <v>1.0021276595744681</v>
      </c>
      <c r="Q21" s="417">
        <v>471</v>
      </c>
    </row>
    <row r="22" spans="1:17" ht="14.4" customHeight="1" x14ac:dyDescent="0.3">
      <c r="A22" s="412" t="s">
        <v>492</v>
      </c>
      <c r="B22" s="413" t="s">
        <v>446</v>
      </c>
      <c r="C22" s="413" t="s">
        <v>452</v>
      </c>
      <c r="D22" s="413" t="s">
        <v>463</v>
      </c>
      <c r="E22" s="413" t="s">
        <v>465</v>
      </c>
      <c r="F22" s="416"/>
      <c r="G22" s="416"/>
      <c r="H22" s="416"/>
      <c r="I22" s="416"/>
      <c r="J22" s="416"/>
      <c r="K22" s="416"/>
      <c r="L22" s="416"/>
      <c r="M22" s="416"/>
      <c r="N22" s="416">
        <v>1</v>
      </c>
      <c r="O22" s="416">
        <v>236</v>
      </c>
      <c r="P22" s="464"/>
      <c r="Q22" s="417">
        <v>236</v>
      </c>
    </row>
    <row r="23" spans="1:17" ht="14.4" customHeight="1" x14ac:dyDescent="0.3">
      <c r="A23" s="412" t="s">
        <v>493</v>
      </c>
      <c r="B23" s="413" t="s">
        <v>446</v>
      </c>
      <c r="C23" s="413" t="s">
        <v>452</v>
      </c>
      <c r="D23" s="413" t="s">
        <v>455</v>
      </c>
      <c r="E23" s="413" t="s">
        <v>456</v>
      </c>
      <c r="F23" s="416">
        <v>2</v>
      </c>
      <c r="G23" s="416">
        <v>74</v>
      </c>
      <c r="H23" s="416"/>
      <c r="I23" s="416">
        <v>37</v>
      </c>
      <c r="J23" s="416"/>
      <c r="K23" s="416"/>
      <c r="L23" s="416"/>
      <c r="M23" s="416"/>
      <c r="N23" s="416">
        <v>1</v>
      </c>
      <c r="O23" s="416">
        <v>37</v>
      </c>
      <c r="P23" s="464"/>
      <c r="Q23" s="417">
        <v>37</v>
      </c>
    </row>
    <row r="24" spans="1:17" ht="14.4" customHeight="1" x14ac:dyDescent="0.3">
      <c r="A24" s="412" t="s">
        <v>493</v>
      </c>
      <c r="B24" s="413" t="s">
        <v>446</v>
      </c>
      <c r="C24" s="413" t="s">
        <v>452</v>
      </c>
      <c r="D24" s="413" t="s">
        <v>455</v>
      </c>
      <c r="E24" s="413" t="s">
        <v>487</v>
      </c>
      <c r="F24" s="416"/>
      <c r="G24" s="416"/>
      <c r="H24" s="416"/>
      <c r="I24" s="416"/>
      <c r="J24" s="416">
        <v>1</v>
      </c>
      <c r="K24" s="416">
        <v>37</v>
      </c>
      <c r="L24" s="416">
        <v>1</v>
      </c>
      <c r="M24" s="416">
        <v>37</v>
      </c>
      <c r="N24" s="416"/>
      <c r="O24" s="416"/>
      <c r="P24" s="464"/>
      <c r="Q24" s="417"/>
    </row>
    <row r="25" spans="1:17" ht="14.4" customHeight="1" x14ac:dyDescent="0.3">
      <c r="A25" s="412" t="s">
        <v>494</v>
      </c>
      <c r="B25" s="413" t="s">
        <v>446</v>
      </c>
      <c r="C25" s="413" t="s">
        <v>452</v>
      </c>
      <c r="D25" s="413" t="s">
        <v>455</v>
      </c>
      <c r="E25" s="413" t="s">
        <v>487</v>
      </c>
      <c r="F25" s="416"/>
      <c r="G25" s="416"/>
      <c r="H25" s="416"/>
      <c r="I25" s="416"/>
      <c r="J25" s="416"/>
      <c r="K25" s="416"/>
      <c r="L25" s="416"/>
      <c r="M25" s="416"/>
      <c r="N25" s="416">
        <v>1</v>
      </c>
      <c r="O25" s="416">
        <v>37</v>
      </c>
      <c r="P25" s="464"/>
      <c r="Q25" s="417">
        <v>37</v>
      </c>
    </row>
    <row r="26" spans="1:17" ht="14.4" customHeight="1" thickBot="1" x14ac:dyDescent="0.35">
      <c r="A26" s="418" t="s">
        <v>494</v>
      </c>
      <c r="B26" s="419" t="s">
        <v>446</v>
      </c>
      <c r="C26" s="419" t="s">
        <v>452</v>
      </c>
      <c r="D26" s="419" t="s">
        <v>457</v>
      </c>
      <c r="E26" s="419" t="s">
        <v>458</v>
      </c>
      <c r="F26" s="422"/>
      <c r="G26" s="422"/>
      <c r="H26" s="422"/>
      <c r="I26" s="422"/>
      <c r="J26" s="422">
        <v>1</v>
      </c>
      <c r="K26" s="422">
        <v>470</v>
      </c>
      <c r="L26" s="422">
        <v>1</v>
      </c>
      <c r="M26" s="422">
        <v>470</v>
      </c>
      <c r="N26" s="422"/>
      <c r="O26" s="422"/>
      <c r="P26" s="465"/>
      <c r="Q26" s="42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272" t="s">
        <v>98</v>
      </c>
      <c r="B1" s="272"/>
      <c r="C1" s="273"/>
      <c r="D1" s="273"/>
      <c r="E1" s="273"/>
    </row>
    <row r="2" spans="1:5" ht="14.4" customHeight="1" thickBot="1" x14ac:dyDescent="0.35">
      <c r="A2" s="199" t="s">
        <v>202</v>
      </c>
      <c r="B2" s="124"/>
    </row>
    <row r="3" spans="1:5" ht="14.4" customHeight="1" thickBot="1" x14ac:dyDescent="0.35">
      <c r="A3" s="127"/>
      <c r="C3" s="128" t="s">
        <v>88</v>
      </c>
      <c r="D3" s="129" t="s">
        <v>54</v>
      </c>
      <c r="E3" s="130" t="s">
        <v>56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511.9591995239258</v>
      </c>
      <c r="D4" s="133">
        <f ca="1">IF(ISERROR(VLOOKUP("Náklady celkem",INDIRECT("HI!$A:$G"),5,0)),0,VLOOKUP("Náklady celkem",INDIRECT("HI!$A:$G"),5,0))</f>
        <v>526.06673999999987</v>
      </c>
      <c r="E4" s="134">
        <f ca="1">IF(C4=0,0,D4/C4)</f>
        <v>1.0275559858855798</v>
      </c>
    </row>
    <row r="5" spans="1:5" ht="14.4" customHeight="1" x14ac:dyDescent="0.3">
      <c r="A5" s="135" t="s">
        <v>112</v>
      </c>
      <c r="B5" s="136"/>
      <c r="C5" s="137"/>
      <c r="D5" s="137"/>
      <c r="E5" s="138"/>
    </row>
    <row r="6" spans="1:5" ht="14.4" customHeight="1" x14ac:dyDescent="0.3">
      <c r="A6" s="139" t="s">
        <v>117</v>
      </c>
      <c r="B6" s="140"/>
      <c r="C6" s="141"/>
      <c r="D6" s="141"/>
      <c r="E6" s="138"/>
    </row>
    <row r="7" spans="1:5" ht="14.4" customHeight="1" x14ac:dyDescent="0.3">
      <c r="A7" s="21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" customHeight="1" x14ac:dyDescent="0.3">
      <c r="A8" s="143" t="s">
        <v>113</v>
      </c>
      <c r="B8" s="140"/>
      <c r="C8" s="141"/>
      <c r="D8" s="141"/>
      <c r="E8" s="138"/>
    </row>
    <row r="9" spans="1:5" ht="14.4" customHeight="1" x14ac:dyDescent="0.3">
      <c r="A9" s="143" t="s">
        <v>114</v>
      </c>
      <c r="B9" s="140"/>
      <c r="C9" s="141"/>
      <c r="D9" s="141"/>
      <c r="E9" s="138"/>
    </row>
    <row r="10" spans="1:5" ht="14.4" customHeight="1" x14ac:dyDescent="0.3">
      <c r="A10" s="144" t="s">
        <v>118</v>
      </c>
      <c r="B10" s="140"/>
      <c r="C10" s="137"/>
      <c r="D10" s="137"/>
      <c r="E10" s="138"/>
    </row>
    <row r="11" spans="1:5" ht="14.4" customHeight="1" x14ac:dyDescent="0.3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494.16667968749999</v>
      </c>
      <c r="D11" s="141">
        <f>IF(ISERROR(HI!E6),"",HI!E6)</f>
        <v>495.85298</v>
      </c>
      <c r="E11" s="138">
        <f t="shared" si="0"/>
        <v>1.0034124120095802</v>
      </c>
    </row>
    <row r="12" spans="1:5" ht="14.4" customHeight="1" thickBot="1" x14ac:dyDescent="0.3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" customHeight="1" thickBot="1" x14ac:dyDescent="0.35">
      <c r="A13" s="150"/>
      <c r="B13" s="151"/>
      <c r="C13" s="152"/>
      <c r="D13" s="152"/>
      <c r="E13" s="153"/>
    </row>
    <row r="14" spans="1:5" ht="14.4" customHeight="1" thickBot="1" x14ac:dyDescent="0.3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1019.2463300000001</v>
      </c>
      <c r="D14" s="156">
        <f ca="1">IF(ISERROR(VLOOKUP("Výnosy celkem",INDIRECT("HI!$A:$G"),5,0)),0,VLOOKUP("Výnosy celkem",INDIRECT("HI!$A:$G"),5,0))</f>
        <v>901.82899999999995</v>
      </c>
      <c r="E14" s="157">
        <f t="shared" ref="E14:E19" ca="1" si="1">IF(C14=0,0,D14/C14)</f>
        <v>0.88479985010100537</v>
      </c>
    </row>
    <row r="15" spans="1:5" ht="14.4" customHeight="1" x14ac:dyDescent="0.3">
      <c r="A15" s="158" t="str">
        <f>HYPERLINK("#HI!A1","Ambulance (body za výkony + Kč za ZUM a ZULP)")</f>
        <v>Ambulance (body za výkony + Kč za ZUM a ZULP)</v>
      </c>
      <c r="B15" s="136"/>
      <c r="C15" s="137">
        <f ca="1">IF(ISERROR(VLOOKUP("Ambulance *",INDIRECT("HI!$A:$G"),6,0)),0,VLOOKUP("Ambulance *",INDIRECT("HI!$A:$G"),6,0))</f>
        <v>1019.2463300000001</v>
      </c>
      <c r="D15" s="137">
        <f ca="1">IF(ISERROR(VLOOKUP("Ambulance *",INDIRECT("HI!$A:$G"),5,0)),0,VLOOKUP("Ambulance *",INDIRECT("HI!$A:$G"),5,0))</f>
        <v>901.82899999999995</v>
      </c>
      <c r="E15" s="138">
        <f t="shared" ca="1" si="1"/>
        <v>0.88479985010100537</v>
      </c>
    </row>
    <row r="16" spans="1:5" ht="14.4" customHeight="1" x14ac:dyDescent="0.3">
      <c r="A16" s="220" t="str">
        <f>HYPERLINK("#'ZV Vykáz.-A'!A1","Zdravotní výkony vykázané u ambulantních pacientů (min. 100 % 2016)")</f>
        <v>Zdravotní výkony vykázané u ambulantních pacientů (min. 100 % 2016)</v>
      </c>
      <c r="B16" s="221" t="s">
        <v>100</v>
      </c>
      <c r="C16" s="142">
        <v>1</v>
      </c>
      <c r="D16" s="142">
        <f>IF(ISERROR(VLOOKUP("Celkem:",'ZV Vykáz.-A'!$A:$AB,10,0)),"",VLOOKUP("Celkem:",'ZV Vykáz.-A'!$A:$AB,10,0))</f>
        <v>0.88479985010100548</v>
      </c>
      <c r="E16" s="138">
        <f t="shared" si="1"/>
        <v>0.88479985010100548</v>
      </c>
    </row>
    <row r="17" spans="1:5" ht="14.4" customHeight="1" x14ac:dyDescent="0.3">
      <c r="A17" s="219" t="str">
        <f>HYPERLINK("#'ZV Vykáz.-A'!A1","Specializovaná ambulantní péče")</f>
        <v>Specializovaná ambulantní péče</v>
      </c>
      <c r="B17" s="221" t="s">
        <v>100</v>
      </c>
      <c r="C17" s="142">
        <v>1</v>
      </c>
      <c r="D17" s="213">
        <f>IF(ISERROR(VLOOKUP("Specializovaná ambulantní péče",'ZV Vykáz.-A'!$A:$AB,10,0)),"",VLOOKUP("Specializovaná ambulantní péče",'ZV Vykáz.-A'!$A:$AB,10,0))</f>
        <v>0.88479985010100559</v>
      </c>
      <c r="E17" s="138">
        <f t="shared" si="1"/>
        <v>0.88479985010100559</v>
      </c>
    </row>
    <row r="18" spans="1:5" ht="14.4" customHeight="1" x14ac:dyDescent="0.3">
      <c r="A18" s="219" t="str">
        <f>HYPERLINK("#'ZV Vykáz.-A'!A1","Ambulantní péče ve vyjmenovaných odbornostech (§9)")</f>
        <v>Ambulantní péče ve vyjmenovaných odbornostech (§9)</v>
      </c>
      <c r="B18" s="221" t="s">
        <v>100</v>
      </c>
      <c r="C18" s="142">
        <v>1</v>
      </c>
      <c r="D18" s="213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" customHeight="1" x14ac:dyDescent="0.3">
      <c r="A19" s="159" t="str">
        <f>HYPERLINK("#'ZV Vykáz.-H'!A1","Zdravotní výkony vykázané u hospitalizovaných pacientů (max. 85 %)")</f>
        <v>Zdravotní výkony vykázané u hospitalizovaných pacientů (max. 85 %)</v>
      </c>
      <c r="B19" s="221" t="s">
        <v>102</v>
      </c>
      <c r="C19" s="142">
        <v>0.85</v>
      </c>
      <c r="D19" s="142">
        <f>IF(ISERROR(VLOOKUP("Celkem:",'ZV Vykáz.-H'!$A:$S,7,0)),"",VLOOKUP("Celkem:",'ZV Vykáz.-H'!$A:$S,7,0))</f>
        <v>0.76249449511624534</v>
      </c>
      <c r="E19" s="138">
        <f t="shared" si="1"/>
        <v>0.8970523471955828</v>
      </c>
    </row>
    <row r="20" spans="1:5" ht="14.4" customHeight="1" x14ac:dyDescent="0.3">
      <c r="A20" s="160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" customHeight="1" thickBot="1" x14ac:dyDescent="0.35">
      <c r="A21" s="161" t="s">
        <v>115</v>
      </c>
      <c r="B21" s="147"/>
      <c r="C21" s="148"/>
      <c r="D21" s="148"/>
      <c r="E21" s="149"/>
    </row>
    <row r="22" spans="1:5" ht="14.4" customHeight="1" thickBot="1" x14ac:dyDescent="0.35">
      <c r="A22" s="162"/>
      <c r="B22" s="163"/>
      <c r="C22" s="164"/>
      <c r="D22" s="164"/>
      <c r="E22" s="165"/>
    </row>
    <row r="23" spans="1:5" ht="14.4" customHeight="1" thickBot="1" x14ac:dyDescent="0.35">
      <c r="A23" s="166" t="s">
        <v>116</v>
      </c>
      <c r="B23" s="167"/>
      <c r="C23" s="168"/>
      <c r="D23" s="168"/>
      <c r="E23" s="169"/>
    </row>
  </sheetData>
  <mergeCells count="1">
    <mergeCell ref="A1:E1"/>
  </mergeCells>
  <conditionalFormatting sqref="E5">
    <cfRule type="cellIs" dxfId="3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2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2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" customHeight="1" thickBot="1" x14ac:dyDescent="0.35">
      <c r="A2" s="199" t="s">
        <v>202</v>
      </c>
      <c r="B2" s="86"/>
      <c r="C2" s="86"/>
      <c r="D2" s="86"/>
      <c r="E2" s="86"/>
      <c r="F2" s="86"/>
    </row>
    <row r="3" spans="1:10" ht="14.4" customHeight="1" x14ac:dyDescent="0.3">
      <c r="A3" s="274"/>
      <c r="B3" s="82">
        <v>2015</v>
      </c>
      <c r="C3" s="40">
        <v>2017</v>
      </c>
      <c r="D3" s="7"/>
      <c r="E3" s="278">
        <v>2018</v>
      </c>
      <c r="F3" s="279"/>
      <c r="G3" s="279"/>
      <c r="H3" s="280"/>
      <c r="I3" s="281">
        <v>2017</v>
      </c>
      <c r="J3" s="282"/>
    </row>
    <row r="4" spans="1:10" ht="14.4" customHeight="1" thickBot="1" x14ac:dyDescent="0.3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4" t="s">
        <v>147</v>
      </c>
      <c r="J4" s="225" t="s">
        <v>148</v>
      </c>
    </row>
    <row r="5" spans="1:10" ht="14.4" customHeight="1" x14ac:dyDescent="0.3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149.91009999999994</v>
      </c>
      <c r="C6" s="31">
        <v>330.02110000000005</v>
      </c>
      <c r="D6" s="8"/>
      <c r="E6" s="93">
        <v>495.85298</v>
      </c>
      <c r="F6" s="30">
        <v>494.16667968749999</v>
      </c>
      <c r="G6" s="94">
        <f>E6-F6</f>
        <v>1.6863003125000091</v>
      </c>
      <c r="H6" s="98">
        <f>IF(F6&lt;0.00000001,"",E6/F6)</f>
        <v>1.0034124120095802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" customHeight="1" thickBot="1" x14ac:dyDescent="0.35">
      <c r="A8" s="1" t="s">
        <v>57</v>
      </c>
      <c r="B8" s="11">
        <v>16.334589999999992</v>
      </c>
      <c r="C8" s="33">
        <v>28.625339999999937</v>
      </c>
      <c r="D8" s="8"/>
      <c r="E8" s="95">
        <v>30.213759999999866</v>
      </c>
      <c r="F8" s="32">
        <v>17.792519836425811</v>
      </c>
      <c r="G8" s="96">
        <f>E8-F8</f>
        <v>12.421240163574055</v>
      </c>
      <c r="H8" s="99">
        <f>IF(F8&lt;0.00000001,"",E8/F8)</f>
        <v>1.6981158530532938</v>
      </c>
    </row>
    <row r="9" spans="1:10" ht="14.4" customHeight="1" thickBot="1" x14ac:dyDescent="0.35">
      <c r="A9" s="2" t="s">
        <v>58</v>
      </c>
      <c r="B9" s="3">
        <v>166.24468999999993</v>
      </c>
      <c r="C9" s="35">
        <v>358.64643999999998</v>
      </c>
      <c r="D9" s="8"/>
      <c r="E9" s="3">
        <v>526.06673999999987</v>
      </c>
      <c r="F9" s="34">
        <v>511.9591995239258</v>
      </c>
      <c r="G9" s="34">
        <f>E9-F9</f>
        <v>14.107540476074064</v>
      </c>
      <c r="H9" s="100">
        <f>IF(F9&lt;0.00000001,"",E9/F9)</f>
        <v>1.0275559858855798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401.41800000000001</v>
      </c>
      <c r="C11" s="29">
        <f>IF(ISERROR(VLOOKUP("Celkem:",'ZV Vykáz.-A'!A:H,5,0)),0,VLOOKUP("Celkem:",'ZV Vykáz.-A'!A:H,5,0)/1000)</f>
        <v>1019.2463300000001</v>
      </c>
      <c r="D11" s="8"/>
      <c r="E11" s="92">
        <f>IF(ISERROR(VLOOKUP("Celkem:",'ZV Vykáz.-A'!A:H,8,0)),0,VLOOKUP("Celkem:",'ZV Vykáz.-A'!A:H,8,0)/1000)</f>
        <v>901.82899999999995</v>
      </c>
      <c r="F11" s="28">
        <f>C11</f>
        <v>1019.2463300000001</v>
      </c>
      <c r="G11" s="91">
        <f>E11-F11</f>
        <v>-117.41733000000011</v>
      </c>
      <c r="H11" s="97">
        <f>IF(F11&lt;0.00000001,"",E11/F11)</f>
        <v>0.88479985010100537</v>
      </c>
      <c r="I11" s="91">
        <f>E11-B11</f>
        <v>500.41099999999994</v>
      </c>
      <c r="J11" s="97">
        <f>IF(B11&lt;0.00000001,"",E11/B11)</f>
        <v>2.2466082736698403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61</v>
      </c>
      <c r="B13" s="5">
        <f>SUM(B11:B12)</f>
        <v>401.41800000000001</v>
      </c>
      <c r="C13" s="37">
        <f>SUM(C11:C12)</f>
        <v>1019.2463300000001</v>
      </c>
      <c r="D13" s="8"/>
      <c r="E13" s="5">
        <f>SUM(E11:E12)</f>
        <v>901.82899999999995</v>
      </c>
      <c r="F13" s="36">
        <f>SUM(F11:F12)</f>
        <v>1019.2463300000001</v>
      </c>
      <c r="G13" s="36">
        <f>E13-F13</f>
        <v>-117.41733000000011</v>
      </c>
      <c r="H13" s="101">
        <f>IF(F13&lt;0.00000001,"",E13/F13)</f>
        <v>0.88479985010100537</v>
      </c>
      <c r="I13" s="36">
        <f>SUM(I11:I12)</f>
        <v>500.41099999999994</v>
      </c>
      <c r="J13" s="101">
        <f>IF(B13&lt;0.00000001,"",E13/B13)</f>
        <v>2.2466082736698403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2.41462148354934</v>
      </c>
      <c r="C15" s="39">
        <f>IF(C9=0,"",C13/C9)</f>
        <v>2.8419251282683864</v>
      </c>
      <c r="D15" s="8"/>
      <c r="E15" s="6">
        <f>IF(E9=0,"",E13/E9)</f>
        <v>1.7142862899867044</v>
      </c>
      <c r="F15" s="38">
        <f>IF(F9=0,"",F13/F9)</f>
        <v>1.9908741379152946</v>
      </c>
      <c r="G15" s="38">
        <f>IF(ISERROR(F15-E15),"",E15-F15)</f>
        <v>-0.27658784792859015</v>
      </c>
      <c r="H15" s="102">
        <f>IF(ISERROR(F15-E15),"",IF(F15&lt;0.00000001,"",E15/F15))</f>
        <v>0.86107215787221292</v>
      </c>
    </row>
    <row r="17" spans="1:8" ht="14.4" customHeight="1" x14ac:dyDescent="0.3">
      <c r="A17" s="88" t="s">
        <v>120</v>
      </c>
    </row>
    <row r="18" spans="1:8" ht="14.4" customHeight="1" x14ac:dyDescent="0.3">
      <c r="A18" s="202" t="s">
        <v>132</v>
      </c>
      <c r="B18" s="203"/>
      <c r="C18" s="203"/>
      <c r="D18" s="203"/>
      <c r="E18" s="203"/>
      <c r="F18" s="203"/>
      <c r="G18" s="203"/>
      <c r="H18" s="203"/>
    </row>
    <row r="19" spans="1:8" x14ac:dyDescent="0.3">
      <c r="A19" s="201" t="s">
        <v>131</v>
      </c>
      <c r="B19" s="203"/>
      <c r="C19" s="203"/>
      <c r="D19" s="203"/>
      <c r="E19" s="203"/>
      <c r="F19" s="203"/>
      <c r="G19" s="203"/>
      <c r="H19" s="203"/>
    </row>
    <row r="20" spans="1:8" ht="14.4" customHeight="1" x14ac:dyDescent="0.3">
      <c r="A20" s="89" t="s">
        <v>140</v>
      </c>
    </row>
    <row r="21" spans="1:8" ht="14.4" customHeight="1" x14ac:dyDescent="0.3">
      <c r="A21" s="89" t="s">
        <v>121</v>
      </c>
    </row>
    <row r="22" spans="1:8" ht="14.4" customHeight="1" x14ac:dyDescent="0.3">
      <c r="A22" s="90" t="s">
        <v>180</v>
      </c>
    </row>
    <row r="23" spans="1:8" ht="14.4" customHeight="1" x14ac:dyDescent="0.3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6" priority="8" operator="greaterThan">
      <formula>0</formula>
    </cfRule>
  </conditionalFormatting>
  <conditionalFormatting sqref="G11:G13 G15">
    <cfRule type="cellIs" dxfId="25" priority="7" operator="lessThan">
      <formula>0</formula>
    </cfRule>
  </conditionalFormatting>
  <conditionalFormatting sqref="H5:H9">
    <cfRule type="cellIs" dxfId="24" priority="6" operator="greaterThan">
      <formula>1</formula>
    </cfRule>
  </conditionalFormatting>
  <conditionalFormatting sqref="H11:H13 H15">
    <cfRule type="cellIs" dxfId="23" priority="5" operator="lessThan">
      <formula>1</formula>
    </cfRule>
  </conditionalFormatting>
  <conditionalFormatting sqref="I11:I13">
    <cfRule type="cellIs" dxfId="22" priority="4" operator="lessThan">
      <formula>0</formula>
    </cfRule>
  </conditionalFormatting>
  <conditionalFormatting sqref="J11:J13">
    <cfRule type="cellIs" dxfId="21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" customHeight="1" x14ac:dyDescent="0.3">
      <c r="A2" s="199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63</v>
      </c>
      <c r="C3" s="173" t="s">
        <v>64</v>
      </c>
      <c r="D3" s="173" t="s">
        <v>65</v>
      </c>
      <c r="E3" s="172" t="s">
        <v>66</v>
      </c>
      <c r="F3" s="173" t="s">
        <v>67</v>
      </c>
      <c r="G3" s="173" t="s">
        <v>68</v>
      </c>
      <c r="H3" s="173" t="s">
        <v>69</v>
      </c>
      <c r="I3" s="173" t="s">
        <v>70</v>
      </c>
      <c r="J3" s="173" t="s">
        <v>71</v>
      </c>
      <c r="K3" s="173" t="s">
        <v>72</v>
      </c>
      <c r="L3" s="173" t="s">
        <v>73</v>
      </c>
      <c r="M3" s="173" t="s">
        <v>74</v>
      </c>
    </row>
    <row r="4" spans="1:13" ht="14.4" customHeight="1" x14ac:dyDescent="0.3">
      <c r="A4" s="171" t="s">
        <v>62</v>
      </c>
      <c r="B4" s="174">
        <f>(B10+B8)/B6</f>
        <v>2.051536532554167</v>
      </c>
      <c r="C4" s="174">
        <f t="shared" ref="C4:M4" si="0">(C10+C8)/C6</f>
        <v>1.9648435429060536</v>
      </c>
      <c r="D4" s="174">
        <f t="shared" si="0"/>
        <v>2.1107547380973881</v>
      </c>
      <c r="E4" s="174">
        <f t="shared" si="0"/>
        <v>2.3627482162040487</v>
      </c>
      <c r="F4" s="174">
        <f t="shared" si="0"/>
        <v>1.7142862519687141</v>
      </c>
      <c r="G4" s="174">
        <f t="shared" si="0"/>
        <v>1.7142862519687141</v>
      </c>
      <c r="H4" s="174">
        <f t="shared" si="0"/>
        <v>1.7142862519687141</v>
      </c>
      <c r="I4" s="174">
        <f t="shared" si="0"/>
        <v>1.7142862519687141</v>
      </c>
      <c r="J4" s="174">
        <f t="shared" si="0"/>
        <v>1.7142862519687141</v>
      </c>
      <c r="K4" s="174">
        <f t="shared" si="0"/>
        <v>1.7142862519687141</v>
      </c>
      <c r="L4" s="174">
        <f t="shared" si="0"/>
        <v>1.7142862519687141</v>
      </c>
      <c r="M4" s="174">
        <f t="shared" si="0"/>
        <v>1.7142862519687141</v>
      </c>
    </row>
    <row r="5" spans="1:13" ht="14.4" customHeight="1" x14ac:dyDescent="0.3">
      <c r="A5" s="175" t="s">
        <v>35</v>
      </c>
      <c r="B5" s="174">
        <f>IF(ISERROR(VLOOKUP($A5,'Man Tab'!$A:$Q,COLUMN()+2,0)),0,VLOOKUP($A5,'Man Tab'!$A:$Q,COLUMN()+2,0))</f>
        <v>117.69844999999999</v>
      </c>
      <c r="C5" s="174">
        <f>IF(ISERROR(VLOOKUP($A5,'Man Tab'!$A:$Q,COLUMN()+2,0)),0,VLOOKUP($A5,'Man Tab'!$A:$Q,COLUMN()+2,0))</f>
        <v>114.11814</v>
      </c>
      <c r="D5" s="174">
        <f>IF(ISERROR(VLOOKUP($A5,'Man Tab'!$A:$Q,COLUMN()+2,0)),0,VLOOKUP($A5,'Man Tab'!$A:$Q,COLUMN()+2,0))</f>
        <v>84.580979999999997</v>
      </c>
      <c r="E5" s="174">
        <f>IF(ISERROR(VLOOKUP($A5,'Man Tab'!$A:$Q,COLUMN()+2,0)),0,VLOOKUP($A5,'Man Tab'!$A:$Q,COLUMN()+2,0))</f>
        <v>62.093029999999999</v>
      </c>
      <c r="F5" s="174">
        <f>IF(ISERROR(VLOOKUP($A5,'Man Tab'!$A:$Q,COLUMN()+2,0)),0,VLOOKUP($A5,'Man Tab'!$A:$Q,COLUMN()+2,0))</f>
        <v>147.57614000000001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58</v>
      </c>
      <c r="B6" s="176">
        <f>B5</f>
        <v>117.69844999999999</v>
      </c>
      <c r="C6" s="176">
        <f t="shared" ref="C6:M6" si="1">C5+B6</f>
        <v>231.81658999999999</v>
      </c>
      <c r="D6" s="176">
        <f t="shared" si="1"/>
        <v>316.39756999999997</v>
      </c>
      <c r="E6" s="176">
        <f t="shared" si="1"/>
        <v>378.49059999999997</v>
      </c>
      <c r="F6" s="176">
        <f t="shared" si="1"/>
        <v>526.06673999999998</v>
      </c>
      <c r="G6" s="176">
        <f t="shared" si="1"/>
        <v>526.06673999999998</v>
      </c>
      <c r="H6" s="176">
        <f t="shared" si="1"/>
        <v>526.06673999999998</v>
      </c>
      <c r="I6" s="176">
        <f t="shared" si="1"/>
        <v>526.06673999999998</v>
      </c>
      <c r="J6" s="176">
        <f t="shared" si="1"/>
        <v>526.06673999999998</v>
      </c>
      <c r="K6" s="176">
        <f t="shared" si="1"/>
        <v>526.06673999999998</v>
      </c>
      <c r="L6" s="176">
        <f t="shared" si="1"/>
        <v>526.06673999999998</v>
      </c>
      <c r="M6" s="176">
        <f t="shared" si="1"/>
        <v>526.06673999999998</v>
      </c>
    </row>
    <row r="7" spans="1:13" ht="14.4" customHeight="1" x14ac:dyDescent="0.3">
      <c r="A7" s="175" t="s">
        <v>83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59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84</v>
      </c>
      <c r="B9" s="175">
        <v>241462.67</v>
      </c>
      <c r="C9" s="175">
        <v>214020.66</v>
      </c>
      <c r="D9" s="175">
        <v>212354.34</v>
      </c>
      <c r="E9" s="175">
        <v>226440.32000000001</v>
      </c>
      <c r="F9" s="175">
        <v>7550.99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60</v>
      </c>
      <c r="B10" s="176">
        <f>B9/1000</f>
        <v>241.46267</v>
      </c>
      <c r="C10" s="176">
        <f t="shared" ref="C10:M10" si="3">C9/1000+B10</f>
        <v>455.48333000000002</v>
      </c>
      <c r="D10" s="176">
        <f t="shared" si="3"/>
        <v>667.83767</v>
      </c>
      <c r="E10" s="176">
        <f t="shared" si="3"/>
        <v>894.27799000000005</v>
      </c>
      <c r="F10" s="176">
        <f t="shared" si="3"/>
        <v>901.82898</v>
      </c>
      <c r="G10" s="176">
        <f t="shared" si="3"/>
        <v>901.82898</v>
      </c>
      <c r="H10" s="176">
        <f t="shared" si="3"/>
        <v>901.82898</v>
      </c>
      <c r="I10" s="176">
        <f t="shared" si="3"/>
        <v>901.82898</v>
      </c>
      <c r="J10" s="176">
        <f t="shared" si="3"/>
        <v>901.82898</v>
      </c>
      <c r="K10" s="176">
        <f t="shared" si="3"/>
        <v>901.82898</v>
      </c>
      <c r="L10" s="176">
        <f t="shared" si="3"/>
        <v>901.82898</v>
      </c>
      <c r="M10" s="176">
        <f t="shared" si="3"/>
        <v>901.82898</v>
      </c>
    </row>
    <row r="11" spans="1:13" ht="14.4" customHeight="1" x14ac:dyDescent="0.3">
      <c r="A11" s="171"/>
      <c r="B11" s="171" t="s">
        <v>75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1.9908741379152946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1.9908741379152946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7" customFormat="1" ht="14.4" customHeight="1" thickBot="1" x14ac:dyDescent="0.3">
      <c r="A2" s="199" t="s">
        <v>202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" customHeight="1" x14ac:dyDescent="0.3">
      <c r="A4" s="61"/>
      <c r="B4" s="20">
        <v>2018</v>
      </c>
      <c r="C4" s="113" t="s">
        <v>12</v>
      </c>
      <c r="D4" s="218" t="s">
        <v>181</v>
      </c>
      <c r="E4" s="218" t="s">
        <v>182</v>
      </c>
      <c r="F4" s="218" t="s">
        <v>183</v>
      </c>
      <c r="G4" s="218" t="s">
        <v>184</v>
      </c>
      <c r="H4" s="218" t="s">
        <v>185</v>
      </c>
      <c r="I4" s="218" t="s">
        <v>186</v>
      </c>
      <c r="J4" s="218" t="s">
        <v>187</v>
      </c>
      <c r="K4" s="218" t="s">
        <v>188</v>
      </c>
      <c r="L4" s="218" t="s">
        <v>189</v>
      </c>
      <c r="M4" s="218" t="s">
        <v>190</v>
      </c>
      <c r="N4" s="218" t="s">
        <v>191</v>
      </c>
      <c r="O4" s="218" t="s">
        <v>192</v>
      </c>
      <c r="P4" s="287" t="s">
        <v>3</v>
      </c>
      <c r="Q4" s="288"/>
    </row>
    <row r="5" spans="1:17" ht="14.4" customHeight="1" thickBot="1" x14ac:dyDescent="0.3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" customHeight="1" x14ac:dyDescent="0.3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" customHeight="1" x14ac:dyDescent="0.3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" customHeight="1" x14ac:dyDescent="0.3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" customHeight="1" x14ac:dyDescent="0.3">
      <c r="A9" s="15" t="s">
        <v>19</v>
      </c>
      <c r="B9" s="46">
        <v>1186</v>
      </c>
      <c r="C9" s="47">
        <v>98.833333333333002</v>
      </c>
      <c r="D9" s="47">
        <v>112.17116</v>
      </c>
      <c r="E9" s="47">
        <v>109.52366000000001</v>
      </c>
      <c r="F9" s="47">
        <v>79.536869999999993</v>
      </c>
      <c r="G9" s="47">
        <v>53.676740000000002</v>
      </c>
      <c r="H9" s="47">
        <v>140.94454999999999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495.85298</v>
      </c>
      <c r="Q9" s="71">
        <v>1.0034124384480001</v>
      </c>
    </row>
    <row r="10" spans="1:17" ht="14.4" customHeight="1" x14ac:dyDescent="0.3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" customHeight="1" x14ac:dyDescent="0.3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" customHeight="1" x14ac:dyDescent="0.3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" customHeight="1" x14ac:dyDescent="0.3">
      <c r="A13" s="15" t="s">
        <v>23</v>
      </c>
      <c r="B13" s="46">
        <v>5</v>
      </c>
      <c r="C13" s="47">
        <v>0.416666666666</v>
      </c>
      <c r="D13" s="47">
        <v>1.3460399999999999</v>
      </c>
      <c r="E13" s="47">
        <v>0.44147999999999998</v>
      </c>
      <c r="F13" s="47">
        <v>1.00671</v>
      </c>
      <c r="G13" s="47">
        <v>1.3917600000000001</v>
      </c>
      <c r="H13" s="47">
        <v>1.16554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5.3515300000000003</v>
      </c>
      <c r="Q13" s="71">
        <v>2.5687343999999999</v>
      </c>
    </row>
    <row r="14" spans="1:17" ht="14.4" customHeight="1" x14ac:dyDescent="0.3">
      <c r="A14" s="15" t="s">
        <v>24</v>
      </c>
      <c r="B14" s="46">
        <v>28.685551537776998</v>
      </c>
      <c r="C14" s="47">
        <v>2.3904626281480001</v>
      </c>
      <c r="D14" s="47">
        <v>3.32</v>
      </c>
      <c r="E14" s="47">
        <v>3.2919999999999998</v>
      </c>
      <c r="F14" s="47">
        <v>3.1760000000000002</v>
      </c>
      <c r="G14" s="47">
        <v>1.87</v>
      </c>
      <c r="H14" s="47">
        <v>1.581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13.239000000000001</v>
      </c>
      <c r="Q14" s="71">
        <v>1.1076517025699999</v>
      </c>
    </row>
    <row r="15" spans="1:17" ht="14.4" customHeight="1" x14ac:dyDescent="0.3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" customHeight="1" x14ac:dyDescent="0.3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" customHeight="1" x14ac:dyDescent="0.3">
      <c r="A17" s="15" t="s">
        <v>27</v>
      </c>
      <c r="B17" s="46">
        <v>2.1743096319649999</v>
      </c>
      <c r="C17" s="47">
        <v>0.18119246932999999</v>
      </c>
      <c r="D17" s="47">
        <v>0</v>
      </c>
      <c r="E17" s="47">
        <v>0</v>
      </c>
      <c r="F17" s="47">
        <v>0</v>
      </c>
      <c r="G17" s="47">
        <v>4.2935299999999996</v>
      </c>
      <c r="H17" s="47">
        <v>3.0238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7.3173300000000001</v>
      </c>
      <c r="Q17" s="71">
        <v>8.0768588529530003</v>
      </c>
    </row>
    <row r="18" spans="1:17" ht="14.4" customHeight="1" x14ac:dyDescent="0.3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" customHeight="1" x14ac:dyDescent="0.3">
      <c r="A19" s="15" t="s">
        <v>29</v>
      </c>
      <c r="B19" s="46">
        <v>6.8421853758960003</v>
      </c>
      <c r="C19" s="47">
        <v>0.57018211465799995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1">
        <v>0</v>
      </c>
    </row>
    <row r="20" spans="1:17" ht="14.4" customHeight="1" x14ac:dyDescent="0.3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" customHeight="1" x14ac:dyDescent="0.3">
      <c r="A21" s="16" t="s">
        <v>31</v>
      </c>
      <c r="B21" s="46">
        <v>0</v>
      </c>
      <c r="C21" s="47">
        <v>0</v>
      </c>
      <c r="D21" s="47">
        <v>0.86099999999999999</v>
      </c>
      <c r="E21" s="47">
        <v>0.86099999999999999</v>
      </c>
      <c r="F21" s="47">
        <v>0.86099999999999999</v>
      </c>
      <c r="G21" s="47">
        <v>0.86099999999999999</v>
      </c>
      <c r="H21" s="47">
        <v>0.86099999999999999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4.3049999999999997</v>
      </c>
      <c r="Q21" s="71" t="s">
        <v>203</v>
      </c>
    </row>
    <row r="22" spans="1:17" ht="14.4" customHeight="1" x14ac:dyDescent="0.3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" customHeight="1" x14ac:dyDescent="0.3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" customHeight="1" x14ac:dyDescent="0.3">
      <c r="A24" s="16" t="s">
        <v>34</v>
      </c>
      <c r="B24" s="46">
        <v>0</v>
      </c>
      <c r="C24" s="47">
        <v>1.4210854715202001E-14</v>
      </c>
      <c r="D24" s="47">
        <v>2.5000000000000001E-4</v>
      </c>
      <c r="E24" s="47">
        <v>-1.4210854715202001E-14</v>
      </c>
      <c r="F24" s="47">
        <v>4.0000000000000002E-4</v>
      </c>
      <c r="G24" s="47">
        <v>0</v>
      </c>
      <c r="H24" s="47">
        <v>2.4999999900000001E-4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8.9999999999999998E-4</v>
      </c>
      <c r="Q24" s="71" t="s">
        <v>203</v>
      </c>
    </row>
    <row r="25" spans="1:17" ht="14.4" customHeight="1" x14ac:dyDescent="0.3">
      <c r="A25" s="17" t="s">
        <v>35</v>
      </c>
      <c r="B25" s="49">
        <v>1228.7020465456401</v>
      </c>
      <c r="C25" s="50">
        <v>102.39183721213701</v>
      </c>
      <c r="D25" s="50">
        <v>117.69844999999999</v>
      </c>
      <c r="E25" s="50">
        <v>114.11814</v>
      </c>
      <c r="F25" s="50">
        <v>84.580979999999997</v>
      </c>
      <c r="G25" s="50">
        <v>62.093029999999999</v>
      </c>
      <c r="H25" s="50">
        <v>147.57614000000001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526.06673999999998</v>
      </c>
      <c r="Q25" s="72">
        <v>1.027556012907</v>
      </c>
    </row>
    <row r="26" spans="1:17" ht="14.4" customHeight="1" x14ac:dyDescent="0.3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</v>
      </c>
      <c r="Q26" s="71" t="s">
        <v>203</v>
      </c>
    </row>
    <row r="27" spans="1:17" ht="14.4" customHeight="1" x14ac:dyDescent="0.3">
      <c r="A27" s="18" t="s">
        <v>37</v>
      </c>
      <c r="B27" s="49">
        <v>1228.7020465456401</v>
      </c>
      <c r="C27" s="50">
        <v>102.39183721213701</v>
      </c>
      <c r="D27" s="50">
        <v>117.69844999999999</v>
      </c>
      <c r="E27" s="50">
        <v>114.11814</v>
      </c>
      <c r="F27" s="50">
        <v>84.580979999999997</v>
      </c>
      <c r="G27" s="50">
        <v>62.093029999999999</v>
      </c>
      <c r="H27" s="50">
        <v>147.57614000000001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526.06673999999998</v>
      </c>
      <c r="Q27" s="72">
        <v>1.027556012907</v>
      </c>
    </row>
    <row r="28" spans="1:17" ht="14.4" customHeight="1" x14ac:dyDescent="0.3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>
        <v>12.5</v>
      </c>
    </row>
    <row r="29" spans="1:17" ht="14.4" customHeight="1" x14ac:dyDescent="0.3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" customHeight="1" x14ac:dyDescent="0.3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10</v>
      </c>
    </row>
    <row r="31" spans="1:17" ht="14.4" customHeight="1" thickBot="1" x14ac:dyDescent="0.3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1" s="55" customFormat="1" ht="14.4" customHeight="1" thickBot="1" x14ac:dyDescent="0.35">
      <c r="A2" s="199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1" ht="14.4" customHeight="1" x14ac:dyDescent="0.3">
      <c r="A4" s="61"/>
      <c r="B4" s="290"/>
      <c r="C4" s="291"/>
      <c r="D4" s="291"/>
      <c r="E4" s="291"/>
      <c r="F4" s="294" t="s">
        <v>197</v>
      </c>
      <c r="G4" s="296" t="s">
        <v>46</v>
      </c>
      <c r="H4" s="115" t="s">
        <v>110</v>
      </c>
      <c r="I4" s="294" t="s">
        <v>47</v>
      </c>
      <c r="J4" s="296" t="s">
        <v>199</v>
      </c>
      <c r="K4" s="297" t="s">
        <v>200</v>
      </c>
    </row>
    <row r="5" spans="1:11" ht="42" thickBot="1" x14ac:dyDescent="0.35">
      <c r="A5" s="62"/>
      <c r="B5" s="24" t="s">
        <v>193</v>
      </c>
      <c r="C5" s="25" t="s">
        <v>194</v>
      </c>
      <c r="D5" s="26" t="s">
        <v>195</v>
      </c>
      <c r="E5" s="26" t="s">
        <v>196</v>
      </c>
      <c r="F5" s="295"/>
      <c r="G5" s="295"/>
      <c r="H5" s="25" t="s">
        <v>198</v>
      </c>
      <c r="I5" s="295"/>
      <c r="J5" s="295"/>
      <c r="K5" s="298"/>
    </row>
    <row r="6" spans="1:11" ht="14.4" customHeight="1" thickBot="1" x14ac:dyDescent="0.35">
      <c r="A6" s="386" t="s">
        <v>205</v>
      </c>
      <c r="B6" s="368">
        <v>1239.8028019884</v>
      </c>
      <c r="C6" s="368">
        <v>1178.9443900000001</v>
      </c>
      <c r="D6" s="369">
        <v>-60.858411988398998</v>
      </c>
      <c r="E6" s="370">
        <v>0.95091282912800001</v>
      </c>
      <c r="F6" s="368">
        <v>1228.7020465456401</v>
      </c>
      <c r="G6" s="369">
        <v>511.95918606068301</v>
      </c>
      <c r="H6" s="371">
        <v>147.57614000000001</v>
      </c>
      <c r="I6" s="368">
        <v>526.06673999999998</v>
      </c>
      <c r="J6" s="369">
        <v>14.107553939317</v>
      </c>
      <c r="K6" s="372">
        <v>0.428148338711</v>
      </c>
    </row>
    <row r="7" spans="1:11" ht="14.4" customHeight="1" thickBot="1" x14ac:dyDescent="0.35">
      <c r="A7" s="387" t="s">
        <v>206</v>
      </c>
      <c r="B7" s="368">
        <v>1220.06768470611</v>
      </c>
      <c r="C7" s="368">
        <v>1160.7717600000001</v>
      </c>
      <c r="D7" s="369">
        <v>-59.29592470611</v>
      </c>
      <c r="E7" s="370">
        <v>0.95139947934900004</v>
      </c>
      <c r="F7" s="368">
        <v>1219.6855515377799</v>
      </c>
      <c r="G7" s="369">
        <v>508.20231314074101</v>
      </c>
      <c r="H7" s="371">
        <v>143.69134</v>
      </c>
      <c r="I7" s="368">
        <v>514.44441000000097</v>
      </c>
      <c r="J7" s="369">
        <v>6.242096859259</v>
      </c>
      <c r="K7" s="372">
        <v>0.42178445858500002</v>
      </c>
    </row>
    <row r="8" spans="1:11" ht="14.4" customHeight="1" thickBot="1" x14ac:dyDescent="0.35">
      <c r="A8" s="388" t="s">
        <v>207</v>
      </c>
      <c r="B8" s="368">
        <v>1191.06768470611</v>
      </c>
      <c r="C8" s="368">
        <v>1131.6367600000001</v>
      </c>
      <c r="D8" s="369">
        <v>-59.430924706109998</v>
      </c>
      <c r="E8" s="370">
        <v>0.95010281492000004</v>
      </c>
      <c r="F8" s="368">
        <v>1191</v>
      </c>
      <c r="G8" s="369">
        <v>496.25</v>
      </c>
      <c r="H8" s="371">
        <v>142.11034000000001</v>
      </c>
      <c r="I8" s="368">
        <v>501.20540999999997</v>
      </c>
      <c r="J8" s="369">
        <v>4.9554099999999996</v>
      </c>
      <c r="K8" s="372">
        <v>0.42082738035200001</v>
      </c>
    </row>
    <row r="9" spans="1:11" ht="14.4" customHeight="1" thickBot="1" x14ac:dyDescent="0.35">
      <c r="A9" s="389" t="s">
        <v>208</v>
      </c>
      <c r="B9" s="373">
        <v>0</v>
      </c>
      <c r="C9" s="373">
        <v>6.9999999999999999E-4</v>
      </c>
      <c r="D9" s="374">
        <v>6.9999999999999999E-4</v>
      </c>
      <c r="E9" s="375" t="s">
        <v>203</v>
      </c>
      <c r="F9" s="373">
        <v>0</v>
      </c>
      <c r="G9" s="374">
        <v>0</v>
      </c>
      <c r="H9" s="376">
        <v>2.5000000000000001E-4</v>
      </c>
      <c r="I9" s="373">
        <v>8.9999999999999998E-4</v>
      </c>
      <c r="J9" s="374">
        <v>8.9999999999999998E-4</v>
      </c>
      <c r="K9" s="377" t="s">
        <v>203</v>
      </c>
    </row>
    <row r="10" spans="1:11" ht="14.4" customHeight="1" thickBot="1" x14ac:dyDescent="0.35">
      <c r="A10" s="390" t="s">
        <v>209</v>
      </c>
      <c r="B10" s="368">
        <v>0</v>
      </c>
      <c r="C10" s="368">
        <v>6.9999999999999999E-4</v>
      </c>
      <c r="D10" s="369">
        <v>6.9999999999999999E-4</v>
      </c>
      <c r="E10" s="378" t="s">
        <v>203</v>
      </c>
      <c r="F10" s="368">
        <v>0</v>
      </c>
      <c r="G10" s="369">
        <v>0</v>
      </c>
      <c r="H10" s="371">
        <v>2.5000000000000001E-4</v>
      </c>
      <c r="I10" s="368">
        <v>8.9999999999999998E-4</v>
      </c>
      <c r="J10" s="369">
        <v>8.9999999999999998E-4</v>
      </c>
      <c r="K10" s="379" t="s">
        <v>203</v>
      </c>
    </row>
    <row r="11" spans="1:11" ht="14.4" customHeight="1" thickBot="1" x14ac:dyDescent="0.35">
      <c r="A11" s="389" t="s">
        <v>210</v>
      </c>
      <c r="B11" s="373">
        <v>1186.20491285866</v>
      </c>
      <c r="C11" s="373">
        <v>1112.2032999999999</v>
      </c>
      <c r="D11" s="374">
        <v>-74.001612858658007</v>
      </c>
      <c r="E11" s="380">
        <v>0.937614815065</v>
      </c>
      <c r="F11" s="373">
        <v>1186</v>
      </c>
      <c r="G11" s="374">
        <v>494.16666666666703</v>
      </c>
      <c r="H11" s="376">
        <v>140.94454999999999</v>
      </c>
      <c r="I11" s="373">
        <v>495.85298</v>
      </c>
      <c r="J11" s="374">
        <v>1.686313333333</v>
      </c>
      <c r="K11" s="381">
        <v>0.41808851602000002</v>
      </c>
    </row>
    <row r="12" spans="1:11" ht="14.4" customHeight="1" thickBot="1" x14ac:dyDescent="0.35">
      <c r="A12" s="390" t="s">
        <v>211</v>
      </c>
      <c r="B12" s="368">
        <v>117.70841314159</v>
      </c>
      <c r="C12" s="368">
        <v>119.78986</v>
      </c>
      <c r="D12" s="369">
        <v>2.081446858409</v>
      </c>
      <c r="E12" s="370">
        <v>1.017683076365</v>
      </c>
      <c r="F12" s="368">
        <v>130</v>
      </c>
      <c r="G12" s="369">
        <v>54.166666666666003</v>
      </c>
      <c r="H12" s="371">
        <v>18.743539999999999</v>
      </c>
      <c r="I12" s="368">
        <v>65.695049999999995</v>
      </c>
      <c r="J12" s="369">
        <v>11.528383333333</v>
      </c>
      <c r="K12" s="372">
        <v>0.50534653846099997</v>
      </c>
    </row>
    <row r="13" spans="1:11" ht="14.4" customHeight="1" thickBot="1" x14ac:dyDescent="0.35">
      <c r="A13" s="390" t="s">
        <v>212</v>
      </c>
      <c r="B13" s="368">
        <v>449.89742712201399</v>
      </c>
      <c r="C13" s="368">
        <v>519.92335000000003</v>
      </c>
      <c r="D13" s="369">
        <v>70.025922877984996</v>
      </c>
      <c r="E13" s="370">
        <v>1.1556486404590001</v>
      </c>
      <c r="F13" s="368">
        <v>530</v>
      </c>
      <c r="G13" s="369">
        <v>220.833333333333</v>
      </c>
      <c r="H13" s="371">
        <v>38.15081</v>
      </c>
      <c r="I13" s="368">
        <v>178.46358000000001</v>
      </c>
      <c r="J13" s="369">
        <v>-42.369753333333001</v>
      </c>
      <c r="K13" s="372">
        <v>0.33672373584900001</v>
      </c>
    </row>
    <row r="14" spans="1:11" ht="14.4" customHeight="1" thickBot="1" x14ac:dyDescent="0.35">
      <c r="A14" s="390" t="s">
        <v>213</v>
      </c>
      <c r="B14" s="368">
        <v>348.27670943943099</v>
      </c>
      <c r="C14" s="368">
        <v>277.08366999999998</v>
      </c>
      <c r="D14" s="369">
        <v>-71.193039439429995</v>
      </c>
      <c r="E14" s="370">
        <v>0.79558483955399995</v>
      </c>
      <c r="F14" s="368">
        <v>280</v>
      </c>
      <c r="G14" s="369">
        <v>116.666666666667</v>
      </c>
      <c r="H14" s="371">
        <v>75.347949999999997</v>
      </c>
      <c r="I14" s="368">
        <v>152.22980000000001</v>
      </c>
      <c r="J14" s="369">
        <v>35.563133333332999</v>
      </c>
      <c r="K14" s="372">
        <v>0.54367785714200001</v>
      </c>
    </row>
    <row r="15" spans="1:11" ht="14.4" customHeight="1" thickBot="1" x14ac:dyDescent="0.35">
      <c r="A15" s="390" t="s">
        <v>214</v>
      </c>
      <c r="B15" s="368">
        <v>20</v>
      </c>
      <c r="C15" s="368">
        <v>25.311399999999999</v>
      </c>
      <c r="D15" s="369">
        <v>5.3113999999999999</v>
      </c>
      <c r="E15" s="370">
        <v>1.2655700000000001</v>
      </c>
      <c r="F15" s="368">
        <v>25</v>
      </c>
      <c r="G15" s="369">
        <v>10.416666666666</v>
      </c>
      <c r="H15" s="371">
        <v>0.57299999999999995</v>
      </c>
      <c r="I15" s="368">
        <v>11.713789999999999</v>
      </c>
      <c r="J15" s="369">
        <v>1.2971233333329999</v>
      </c>
      <c r="K15" s="372">
        <v>0.46855160000000001</v>
      </c>
    </row>
    <row r="16" spans="1:11" ht="14.4" customHeight="1" thickBot="1" x14ac:dyDescent="0.35">
      <c r="A16" s="390" t="s">
        <v>215</v>
      </c>
      <c r="B16" s="368">
        <v>35.322363155623002</v>
      </c>
      <c r="C16" s="368">
        <v>41.647799999999997</v>
      </c>
      <c r="D16" s="369">
        <v>6.3254368443760001</v>
      </c>
      <c r="E16" s="370">
        <v>1.179077396846</v>
      </c>
      <c r="F16" s="368">
        <v>40</v>
      </c>
      <c r="G16" s="369">
        <v>16.666666666666</v>
      </c>
      <c r="H16" s="371">
        <v>2.0745</v>
      </c>
      <c r="I16" s="368">
        <v>18.146989999999999</v>
      </c>
      <c r="J16" s="369">
        <v>1.4803233333329999</v>
      </c>
      <c r="K16" s="372">
        <v>0.45367475000000002</v>
      </c>
    </row>
    <row r="17" spans="1:11" ht="14.4" customHeight="1" thickBot="1" x14ac:dyDescent="0.35">
      <c r="A17" s="390" t="s">
        <v>216</v>
      </c>
      <c r="B17" s="368">
        <v>215</v>
      </c>
      <c r="C17" s="368">
        <v>128.44721999999999</v>
      </c>
      <c r="D17" s="369">
        <v>-86.552779999999998</v>
      </c>
      <c r="E17" s="370">
        <v>0.59742893023200005</v>
      </c>
      <c r="F17" s="368">
        <v>67</v>
      </c>
      <c r="G17" s="369">
        <v>27.916666666666</v>
      </c>
      <c r="H17" s="371">
        <v>0</v>
      </c>
      <c r="I17" s="368">
        <v>13.88777</v>
      </c>
      <c r="J17" s="369">
        <v>-14.028896666666</v>
      </c>
      <c r="K17" s="372">
        <v>0.20728014925300001</v>
      </c>
    </row>
    <row r="18" spans="1:11" ht="14.4" customHeight="1" thickBot="1" x14ac:dyDescent="0.35">
      <c r="A18" s="390" t="s">
        <v>217</v>
      </c>
      <c r="B18" s="368">
        <v>0</v>
      </c>
      <c r="C18" s="368">
        <v>0</v>
      </c>
      <c r="D18" s="369">
        <v>0</v>
      </c>
      <c r="E18" s="370">
        <v>1</v>
      </c>
      <c r="F18" s="368">
        <v>114</v>
      </c>
      <c r="G18" s="369">
        <v>47.5</v>
      </c>
      <c r="H18" s="371">
        <v>6.0547500000000003</v>
      </c>
      <c r="I18" s="368">
        <v>55.716000000000001</v>
      </c>
      <c r="J18" s="369">
        <v>8.2159999999999993</v>
      </c>
      <c r="K18" s="372">
        <v>0.48873684210500001</v>
      </c>
    </row>
    <row r="19" spans="1:11" ht="14.4" customHeight="1" thickBot="1" x14ac:dyDescent="0.35">
      <c r="A19" s="389" t="s">
        <v>218</v>
      </c>
      <c r="B19" s="373">
        <v>0</v>
      </c>
      <c r="C19" s="373">
        <v>12.44364</v>
      </c>
      <c r="D19" s="374">
        <v>12.44364</v>
      </c>
      <c r="E19" s="375" t="s">
        <v>203</v>
      </c>
      <c r="F19" s="373">
        <v>0</v>
      </c>
      <c r="G19" s="374">
        <v>0</v>
      </c>
      <c r="H19" s="376">
        <v>0</v>
      </c>
      <c r="I19" s="373">
        <v>0</v>
      </c>
      <c r="J19" s="374">
        <v>0</v>
      </c>
      <c r="K19" s="377" t="s">
        <v>203</v>
      </c>
    </row>
    <row r="20" spans="1:11" ht="14.4" customHeight="1" thickBot="1" x14ac:dyDescent="0.35">
      <c r="A20" s="390" t="s">
        <v>219</v>
      </c>
      <c r="B20" s="368">
        <v>0</v>
      </c>
      <c r="C20" s="368">
        <v>12.44364</v>
      </c>
      <c r="D20" s="369">
        <v>12.44364</v>
      </c>
      <c r="E20" s="378" t="s">
        <v>203</v>
      </c>
      <c r="F20" s="368">
        <v>0</v>
      </c>
      <c r="G20" s="369">
        <v>0</v>
      </c>
      <c r="H20" s="371">
        <v>0</v>
      </c>
      <c r="I20" s="368">
        <v>0</v>
      </c>
      <c r="J20" s="369">
        <v>0</v>
      </c>
      <c r="K20" s="379" t="s">
        <v>203</v>
      </c>
    </row>
    <row r="21" spans="1:11" ht="14.4" customHeight="1" thickBot="1" x14ac:dyDescent="0.35">
      <c r="A21" s="389" t="s">
        <v>220</v>
      </c>
      <c r="B21" s="373">
        <v>4.8627718474510004</v>
      </c>
      <c r="C21" s="373">
        <v>6.9891199999999998</v>
      </c>
      <c r="D21" s="374">
        <v>2.1263481525480001</v>
      </c>
      <c r="E21" s="380">
        <v>1.4372708034120001</v>
      </c>
      <c r="F21" s="373">
        <v>5</v>
      </c>
      <c r="G21" s="374">
        <v>2.083333333333</v>
      </c>
      <c r="H21" s="376">
        <v>1.16554</v>
      </c>
      <c r="I21" s="373">
        <v>5.3515300000000003</v>
      </c>
      <c r="J21" s="374">
        <v>3.2681966666659998</v>
      </c>
      <c r="K21" s="381">
        <v>1.070306</v>
      </c>
    </row>
    <row r="22" spans="1:11" ht="14.4" customHeight="1" thickBot="1" x14ac:dyDescent="0.35">
      <c r="A22" s="390" t="s">
        <v>221</v>
      </c>
      <c r="B22" s="368">
        <v>0.25260600713100001</v>
      </c>
      <c r="C22" s="368">
        <v>0.60848000000000002</v>
      </c>
      <c r="D22" s="369">
        <v>0.35587399286799998</v>
      </c>
      <c r="E22" s="370">
        <v>2.4088104907329999</v>
      </c>
      <c r="F22" s="368">
        <v>0</v>
      </c>
      <c r="G22" s="369">
        <v>0</v>
      </c>
      <c r="H22" s="371">
        <v>0.22175</v>
      </c>
      <c r="I22" s="368">
        <v>0.77614000000000005</v>
      </c>
      <c r="J22" s="369">
        <v>0.77614000000000005</v>
      </c>
      <c r="K22" s="379" t="s">
        <v>203</v>
      </c>
    </row>
    <row r="23" spans="1:11" ht="14.4" customHeight="1" thickBot="1" x14ac:dyDescent="0.35">
      <c r="A23" s="390" t="s">
        <v>222</v>
      </c>
      <c r="B23" s="368">
        <v>4.6101658403199997</v>
      </c>
      <c r="C23" s="368">
        <v>6.3806399999999996</v>
      </c>
      <c r="D23" s="369">
        <v>1.7704741596789999</v>
      </c>
      <c r="E23" s="370">
        <v>1.384036978495</v>
      </c>
      <c r="F23" s="368">
        <v>5</v>
      </c>
      <c r="G23" s="369">
        <v>2.083333333333</v>
      </c>
      <c r="H23" s="371">
        <v>0.94379000000000002</v>
      </c>
      <c r="I23" s="368">
        <v>4.5753899999999996</v>
      </c>
      <c r="J23" s="369">
        <v>2.492056666666</v>
      </c>
      <c r="K23" s="372">
        <v>0.91507799999999995</v>
      </c>
    </row>
    <row r="24" spans="1:11" ht="14.4" customHeight="1" thickBot="1" x14ac:dyDescent="0.35">
      <c r="A24" s="388" t="s">
        <v>24</v>
      </c>
      <c r="B24" s="368">
        <v>28.999999999999002</v>
      </c>
      <c r="C24" s="368">
        <v>29.135000000000002</v>
      </c>
      <c r="D24" s="369">
        <v>0.13500000000000001</v>
      </c>
      <c r="E24" s="370">
        <v>1.004655172413</v>
      </c>
      <c r="F24" s="368">
        <v>28.685551537776998</v>
      </c>
      <c r="G24" s="369">
        <v>11.952313140739999</v>
      </c>
      <c r="H24" s="371">
        <v>1.581</v>
      </c>
      <c r="I24" s="368">
        <v>13.239000000000001</v>
      </c>
      <c r="J24" s="369">
        <v>1.2866868592589999</v>
      </c>
      <c r="K24" s="372">
        <v>0.46152154273700002</v>
      </c>
    </row>
    <row r="25" spans="1:11" ht="14.4" customHeight="1" thickBot="1" x14ac:dyDescent="0.35">
      <c r="A25" s="389" t="s">
        <v>223</v>
      </c>
      <c r="B25" s="373">
        <v>28.999999999999002</v>
      </c>
      <c r="C25" s="373">
        <v>29.135000000000002</v>
      </c>
      <c r="D25" s="374">
        <v>0.13500000000000001</v>
      </c>
      <c r="E25" s="380">
        <v>1.004655172413</v>
      </c>
      <c r="F25" s="373">
        <v>28.685551537776998</v>
      </c>
      <c r="G25" s="374">
        <v>11.952313140739999</v>
      </c>
      <c r="H25" s="376">
        <v>1.581</v>
      </c>
      <c r="I25" s="373">
        <v>13.239000000000001</v>
      </c>
      <c r="J25" s="374">
        <v>1.2866868592589999</v>
      </c>
      <c r="K25" s="381">
        <v>0.46152154273700002</v>
      </c>
    </row>
    <row r="26" spans="1:11" ht="14.4" customHeight="1" thickBot="1" x14ac:dyDescent="0.35">
      <c r="A26" s="390" t="s">
        <v>224</v>
      </c>
      <c r="B26" s="368">
        <v>9.9999999999989999</v>
      </c>
      <c r="C26" s="368">
        <v>10.675000000000001</v>
      </c>
      <c r="D26" s="369">
        <v>0.67500000000000004</v>
      </c>
      <c r="E26" s="370">
        <v>1.0674999999999999</v>
      </c>
      <c r="F26" s="368">
        <v>10.553278101941</v>
      </c>
      <c r="G26" s="369">
        <v>4.3971992091420002</v>
      </c>
      <c r="H26" s="371">
        <v>0.91</v>
      </c>
      <c r="I26" s="368">
        <v>4.327</v>
      </c>
      <c r="J26" s="369">
        <v>-7.0199209141999994E-2</v>
      </c>
      <c r="K26" s="372">
        <v>0.41001478007100001</v>
      </c>
    </row>
    <row r="27" spans="1:11" ht="14.4" customHeight="1" thickBot="1" x14ac:dyDescent="0.35">
      <c r="A27" s="390" t="s">
        <v>225</v>
      </c>
      <c r="B27" s="368">
        <v>18.999999999999002</v>
      </c>
      <c r="C27" s="368">
        <v>18.46</v>
      </c>
      <c r="D27" s="369">
        <v>-0.53999999999899995</v>
      </c>
      <c r="E27" s="370">
        <v>0.97157894736799999</v>
      </c>
      <c r="F27" s="368">
        <v>18.132273435836002</v>
      </c>
      <c r="G27" s="369">
        <v>7.555113931598</v>
      </c>
      <c r="H27" s="371">
        <v>0.67100000000000004</v>
      </c>
      <c r="I27" s="368">
        <v>8.9120000000000008</v>
      </c>
      <c r="J27" s="369">
        <v>1.356886068401</v>
      </c>
      <c r="K27" s="372">
        <v>0.49149931648299999</v>
      </c>
    </row>
    <row r="28" spans="1:11" ht="14.4" customHeight="1" thickBot="1" x14ac:dyDescent="0.35">
      <c r="A28" s="391" t="s">
        <v>226</v>
      </c>
      <c r="B28" s="373">
        <v>6.7351172822879999</v>
      </c>
      <c r="C28" s="373">
        <v>18.172630000000002</v>
      </c>
      <c r="D28" s="374">
        <v>11.437512717711</v>
      </c>
      <c r="E28" s="380">
        <v>2.6981905790690002</v>
      </c>
      <c r="F28" s="373">
        <v>9.0164950078609998</v>
      </c>
      <c r="G28" s="374">
        <v>3.7568729199419999</v>
      </c>
      <c r="H28" s="376">
        <v>3.0238</v>
      </c>
      <c r="I28" s="373">
        <v>7.3173300000000001</v>
      </c>
      <c r="J28" s="374">
        <v>3.5604570800570001</v>
      </c>
      <c r="K28" s="381">
        <v>0.81154927647800001</v>
      </c>
    </row>
    <row r="29" spans="1:11" ht="14.4" customHeight="1" thickBot="1" x14ac:dyDescent="0.35">
      <c r="A29" s="388" t="s">
        <v>27</v>
      </c>
      <c r="B29" s="368">
        <v>0</v>
      </c>
      <c r="C29" s="368">
        <v>2.4721299999999999</v>
      </c>
      <c r="D29" s="369">
        <v>2.4721299999999999</v>
      </c>
      <c r="E29" s="378" t="s">
        <v>227</v>
      </c>
      <c r="F29" s="368">
        <v>2.1743096319649999</v>
      </c>
      <c r="G29" s="369">
        <v>0.90596234665200004</v>
      </c>
      <c r="H29" s="371">
        <v>3.0238</v>
      </c>
      <c r="I29" s="368">
        <v>7.3173300000000001</v>
      </c>
      <c r="J29" s="369">
        <v>6.4113676533469999</v>
      </c>
      <c r="K29" s="372">
        <v>3.3653578553969998</v>
      </c>
    </row>
    <row r="30" spans="1:11" ht="14.4" customHeight="1" thickBot="1" x14ac:dyDescent="0.35">
      <c r="A30" s="392" t="s">
        <v>228</v>
      </c>
      <c r="B30" s="368">
        <v>0</v>
      </c>
      <c r="C30" s="368">
        <v>2.4721299999999999</v>
      </c>
      <c r="D30" s="369">
        <v>2.4721299999999999</v>
      </c>
      <c r="E30" s="378" t="s">
        <v>227</v>
      </c>
      <c r="F30" s="368">
        <v>2.1743096319649999</v>
      </c>
      <c r="G30" s="369">
        <v>0.90596234665200004</v>
      </c>
      <c r="H30" s="371">
        <v>3.0238</v>
      </c>
      <c r="I30" s="368">
        <v>7.3173300000000001</v>
      </c>
      <c r="J30" s="369">
        <v>6.4113676533469999</v>
      </c>
      <c r="K30" s="372">
        <v>3.3653578553969998</v>
      </c>
    </row>
    <row r="31" spans="1:11" ht="14.4" customHeight="1" thickBot="1" x14ac:dyDescent="0.35">
      <c r="A31" s="390" t="s">
        <v>229</v>
      </c>
      <c r="B31" s="368">
        <v>0</v>
      </c>
      <c r="C31" s="368">
        <v>2.3353000000000002</v>
      </c>
      <c r="D31" s="369">
        <v>2.3353000000000002</v>
      </c>
      <c r="E31" s="378" t="s">
        <v>227</v>
      </c>
      <c r="F31" s="368">
        <v>2.1743096319649999</v>
      </c>
      <c r="G31" s="369">
        <v>0.90596234665200004</v>
      </c>
      <c r="H31" s="371">
        <v>3.0238</v>
      </c>
      <c r="I31" s="368">
        <v>7.3173300000000001</v>
      </c>
      <c r="J31" s="369">
        <v>6.4113676533469999</v>
      </c>
      <c r="K31" s="372">
        <v>3.3653578553969998</v>
      </c>
    </row>
    <row r="32" spans="1:11" ht="14.4" customHeight="1" thickBot="1" x14ac:dyDescent="0.35">
      <c r="A32" s="390" t="s">
        <v>230</v>
      </c>
      <c r="B32" s="368">
        <v>0</v>
      </c>
      <c r="C32" s="368">
        <v>0.13683000000000001</v>
      </c>
      <c r="D32" s="369">
        <v>0.13683000000000001</v>
      </c>
      <c r="E32" s="378" t="s">
        <v>227</v>
      </c>
      <c r="F32" s="368">
        <v>0</v>
      </c>
      <c r="G32" s="369">
        <v>0</v>
      </c>
      <c r="H32" s="371">
        <v>0</v>
      </c>
      <c r="I32" s="368">
        <v>0</v>
      </c>
      <c r="J32" s="369">
        <v>0</v>
      </c>
      <c r="K32" s="372">
        <v>5</v>
      </c>
    </row>
    <row r="33" spans="1:11" ht="14.4" customHeight="1" thickBot="1" x14ac:dyDescent="0.35">
      <c r="A33" s="388" t="s">
        <v>29</v>
      </c>
      <c r="B33" s="368">
        <v>6.7351172822879999</v>
      </c>
      <c r="C33" s="368">
        <v>15.7005</v>
      </c>
      <c r="D33" s="369">
        <v>8.9653827177109999</v>
      </c>
      <c r="E33" s="370">
        <v>2.3311398067679998</v>
      </c>
      <c r="F33" s="368">
        <v>6.8421853758960003</v>
      </c>
      <c r="G33" s="369">
        <v>2.8509105732900002</v>
      </c>
      <c r="H33" s="371">
        <v>0</v>
      </c>
      <c r="I33" s="368">
        <v>0</v>
      </c>
      <c r="J33" s="369">
        <v>-2.8509105732900002</v>
      </c>
      <c r="K33" s="372">
        <v>0</v>
      </c>
    </row>
    <row r="34" spans="1:11" ht="14.4" customHeight="1" thickBot="1" x14ac:dyDescent="0.35">
      <c r="A34" s="389" t="s">
        <v>231</v>
      </c>
      <c r="B34" s="373">
        <v>6.7351172822879999</v>
      </c>
      <c r="C34" s="373">
        <v>15.7005</v>
      </c>
      <c r="D34" s="374">
        <v>8.9653827177109999</v>
      </c>
      <c r="E34" s="380">
        <v>2.3311398067679998</v>
      </c>
      <c r="F34" s="373">
        <v>6.8421853758960003</v>
      </c>
      <c r="G34" s="374">
        <v>2.8509105732900002</v>
      </c>
      <c r="H34" s="376">
        <v>0</v>
      </c>
      <c r="I34" s="373">
        <v>0</v>
      </c>
      <c r="J34" s="374">
        <v>-2.8509105732900002</v>
      </c>
      <c r="K34" s="381">
        <v>0</v>
      </c>
    </row>
    <row r="35" spans="1:11" ht="14.4" customHeight="1" thickBot="1" x14ac:dyDescent="0.35">
      <c r="A35" s="390" t="s">
        <v>232</v>
      </c>
      <c r="B35" s="368">
        <v>6.7351172822879999</v>
      </c>
      <c r="C35" s="368">
        <v>15.7005</v>
      </c>
      <c r="D35" s="369">
        <v>8.9653827177109999</v>
      </c>
      <c r="E35" s="370">
        <v>2.3311398067679998</v>
      </c>
      <c r="F35" s="368">
        <v>6.8421853758960003</v>
      </c>
      <c r="G35" s="369">
        <v>2.8509105732900002</v>
      </c>
      <c r="H35" s="371">
        <v>0</v>
      </c>
      <c r="I35" s="368">
        <v>0</v>
      </c>
      <c r="J35" s="369">
        <v>-2.8509105732900002</v>
      </c>
      <c r="K35" s="372">
        <v>0</v>
      </c>
    </row>
    <row r="36" spans="1:11" ht="14.4" customHeight="1" thickBot="1" x14ac:dyDescent="0.35">
      <c r="A36" s="387" t="s">
        <v>233</v>
      </c>
      <c r="B36" s="368">
        <v>13</v>
      </c>
      <c r="C36" s="368">
        <v>0</v>
      </c>
      <c r="D36" s="369">
        <v>-13</v>
      </c>
      <c r="E36" s="370">
        <v>0</v>
      </c>
      <c r="F36" s="368">
        <v>0</v>
      </c>
      <c r="G36" s="369">
        <v>0</v>
      </c>
      <c r="H36" s="371">
        <v>0.86099999999999999</v>
      </c>
      <c r="I36" s="368">
        <v>4.3049999999999997</v>
      </c>
      <c r="J36" s="369">
        <v>4.3049999999999997</v>
      </c>
      <c r="K36" s="379" t="s">
        <v>227</v>
      </c>
    </row>
    <row r="37" spans="1:11" ht="14.4" customHeight="1" thickBot="1" x14ac:dyDescent="0.35">
      <c r="A37" s="388" t="s">
        <v>234</v>
      </c>
      <c r="B37" s="368">
        <v>0</v>
      </c>
      <c r="C37" s="368">
        <v>0</v>
      </c>
      <c r="D37" s="369">
        <v>0</v>
      </c>
      <c r="E37" s="370">
        <v>1</v>
      </c>
      <c r="F37" s="368">
        <v>0</v>
      </c>
      <c r="G37" s="369">
        <v>0</v>
      </c>
      <c r="H37" s="371">
        <v>0.86099999999999999</v>
      </c>
      <c r="I37" s="368">
        <v>4.3049999999999997</v>
      </c>
      <c r="J37" s="369">
        <v>4.3049999999999997</v>
      </c>
      <c r="K37" s="379" t="s">
        <v>227</v>
      </c>
    </row>
    <row r="38" spans="1:11" ht="14.4" customHeight="1" thickBot="1" x14ac:dyDescent="0.35">
      <c r="A38" s="389" t="s">
        <v>235</v>
      </c>
      <c r="B38" s="373">
        <v>0</v>
      </c>
      <c r="C38" s="373">
        <v>0</v>
      </c>
      <c r="D38" s="374">
        <v>0</v>
      </c>
      <c r="E38" s="380">
        <v>1</v>
      </c>
      <c r="F38" s="373">
        <v>0</v>
      </c>
      <c r="G38" s="374">
        <v>0</v>
      </c>
      <c r="H38" s="376">
        <v>0.86099999999999999</v>
      </c>
      <c r="I38" s="373">
        <v>4.3049999999999997</v>
      </c>
      <c r="J38" s="374">
        <v>4.3049999999999997</v>
      </c>
      <c r="K38" s="377" t="s">
        <v>227</v>
      </c>
    </row>
    <row r="39" spans="1:11" ht="14.4" customHeight="1" thickBot="1" x14ac:dyDescent="0.35">
      <c r="A39" s="390" t="s">
        <v>236</v>
      </c>
      <c r="B39" s="368">
        <v>0</v>
      </c>
      <c r="C39" s="368">
        <v>0</v>
      </c>
      <c r="D39" s="369">
        <v>0</v>
      </c>
      <c r="E39" s="370">
        <v>1</v>
      </c>
      <c r="F39" s="368">
        <v>0</v>
      </c>
      <c r="G39" s="369">
        <v>0</v>
      </c>
      <c r="H39" s="371">
        <v>0.86099999999999999</v>
      </c>
      <c r="I39" s="368">
        <v>4.3049999999999997</v>
      </c>
      <c r="J39" s="369">
        <v>4.3049999999999997</v>
      </c>
      <c r="K39" s="379" t="s">
        <v>227</v>
      </c>
    </row>
    <row r="40" spans="1:11" ht="14.4" customHeight="1" thickBot="1" x14ac:dyDescent="0.35">
      <c r="A40" s="388" t="s">
        <v>237</v>
      </c>
      <c r="B40" s="368">
        <v>13</v>
      </c>
      <c r="C40" s="368">
        <v>0</v>
      </c>
      <c r="D40" s="369">
        <v>-13</v>
      </c>
      <c r="E40" s="370">
        <v>0</v>
      </c>
      <c r="F40" s="368">
        <v>0</v>
      </c>
      <c r="G40" s="369">
        <v>0</v>
      </c>
      <c r="H40" s="371">
        <v>0</v>
      </c>
      <c r="I40" s="368">
        <v>0</v>
      </c>
      <c r="J40" s="369">
        <v>0</v>
      </c>
      <c r="K40" s="372">
        <v>5</v>
      </c>
    </row>
    <row r="41" spans="1:11" ht="14.4" customHeight="1" thickBot="1" x14ac:dyDescent="0.35">
      <c r="A41" s="389" t="s">
        <v>238</v>
      </c>
      <c r="B41" s="373">
        <v>13</v>
      </c>
      <c r="C41" s="373">
        <v>0</v>
      </c>
      <c r="D41" s="374">
        <v>-13</v>
      </c>
      <c r="E41" s="380">
        <v>0</v>
      </c>
      <c r="F41" s="373">
        <v>0</v>
      </c>
      <c r="G41" s="374">
        <v>0</v>
      </c>
      <c r="H41" s="376">
        <v>0</v>
      </c>
      <c r="I41" s="373">
        <v>0</v>
      </c>
      <c r="J41" s="374">
        <v>0</v>
      </c>
      <c r="K41" s="381">
        <v>5</v>
      </c>
    </row>
    <row r="42" spans="1:11" ht="14.4" customHeight="1" thickBot="1" x14ac:dyDescent="0.35">
      <c r="A42" s="390" t="s">
        <v>239</v>
      </c>
      <c r="B42" s="368">
        <v>13</v>
      </c>
      <c r="C42" s="368">
        <v>0</v>
      </c>
      <c r="D42" s="369">
        <v>-13</v>
      </c>
      <c r="E42" s="370">
        <v>0</v>
      </c>
      <c r="F42" s="368">
        <v>0</v>
      </c>
      <c r="G42" s="369">
        <v>0</v>
      </c>
      <c r="H42" s="371">
        <v>0</v>
      </c>
      <c r="I42" s="368">
        <v>0</v>
      </c>
      <c r="J42" s="369">
        <v>0</v>
      </c>
      <c r="K42" s="372">
        <v>5</v>
      </c>
    </row>
    <row r="43" spans="1:11" ht="14.4" customHeight="1" thickBot="1" x14ac:dyDescent="0.35">
      <c r="A43" s="386" t="s">
        <v>240</v>
      </c>
      <c r="B43" s="368">
        <v>1425.41570264905</v>
      </c>
      <c r="C43" s="368">
        <v>2920.5113099999999</v>
      </c>
      <c r="D43" s="369">
        <v>1495.0956073509501</v>
      </c>
      <c r="E43" s="370">
        <v>2.048883918264</v>
      </c>
      <c r="F43" s="368">
        <v>3545.7018054293799</v>
      </c>
      <c r="G43" s="369">
        <v>1477.37575226224</v>
      </c>
      <c r="H43" s="371">
        <v>460.30446000000001</v>
      </c>
      <c r="I43" s="368">
        <v>1028.8530000000001</v>
      </c>
      <c r="J43" s="369">
        <v>-448.522752262241</v>
      </c>
      <c r="K43" s="372">
        <v>0.29016907130300001</v>
      </c>
    </row>
    <row r="44" spans="1:11" ht="14.4" customHeight="1" thickBot="1" x14ac:dyDescent="0.35">
      <c r="A44" s="387" t="s">
        <v>241</v>
      </c>
      <c r="B44" s="368">
        <v>1425.41570264905</v>
      </c>
      <c r="C44" s="368">
        <v>2920.5113099999999</v>
      </c>
      <c r="D44" s="369">
        <v>1495.0956073509501</v>
      </c>
      <c r="E44" s="370">
        <v>2.048883918264</v>
      </c>
      <c r="F44" s="368">
        <v>3545.7018054293799</v>
      </c>
      <c r="G44" s="369">
        <v>1477.37575226224</v>
      </c>
      <c r="H44" s="371">
        <v>460.30446000000001</v>
      </c>
      <c r="I44" s="368">
        <v>1028.8530000000001</v>
      </c>
      <c r="J44" s="369">
        <v>-448.522752262241</v>
      </c>
      <c r="K44" s="372">
        <v>0.29016907130300001</v>
      </c>
    </row>
    <row r="45" spans="1:11" ht="14.4" customHeight="1" thickBot="1" x14ac:dyDescent="0.35">
      <c r="A45" s="388" t="s">
        <v>242</v>
      </c>
      <c r="B45" s="368">
        <v>1425.41570264905</v>
      </c>
      <c r="C45" s="368">
        <v>2920.5113099999999</v>
      </c>
      <c r="D45" s="369">
        <v>1495.0956073509501</v>
      </c>
      <c r="E45" s="370">
        <v>2.048883918264</v>
      </c>
      <c r="F45" s="368">
        <v>3545.7018054293799</v>
      </c>
      <c r="G45" s="369">
        <v>1477.37575226224</v>
      </c>
      <c r="H45" s="371">
        <v>460.30446000000001</v>
      </c>
      <c r="I45" s="368">
        <v>1028.8530000000001</v>
      </c>
      <c r="J45" s="369">
        <v>-448.522752262241</v>
      </c>
      <c r="K45" s="372">
        <v>0.29016907130300001</v>
      </c>
    </row>
    <row r="46" spans="1:11" ht="14.4" customHeight="1" thickBot="1" x14ac:dyDescent="0.35">
      <c r="A46" s="389" t="s">
        <v>243</v>
      </c>
      <c r="B46" s="373">
        <v>2.4157026490460001</v>
      </c>
      <c r="C46" s="373">
        <v>157.62824000000001</v>
      </c>
      <c r="D46" s="374">
        <v>155.21253735095399</v>
      </c>
      <c r="E46" s="380">
        <v>65.251507697869997</v>
      </c>
      <c r="F46" s="373">
        <v>353.55330439387399</v>
      </c>
      <c r="G46" s="374">
        <v>147.313876830781</v>
      </c>
      <c r="H46" s="376">
        <v>12.72908</v>
      </c>
      <c r="I46" s="373">
        <v>65.270669999999996</v>
      </c>
      <c r="J46" s="374">
        <v>-82.043206830781003</v>
      </c>
      <c r="K46" s="381">
        <v>0.184613378488</v>
      </c>
    </row>
    <row r="47" spans="1:11" ht="14.4" customHeight="1" thickBot="1" x14ac:dyDescent="0.35">
      <c r="A47" s="390" t="s">
        <v>244</v>
      </c>
      <c r="B47" s="368">
        <v>2.4157026490460001</v>
      </c>
      <c r="C47" s="368">
        <v>157.62824000000001</v>
      </c>
      <c r="D47" s="369">
        <v>155.21253735095399</v>
      </c>
      <c r="E47" s="370">
        <v>65.251507697869997</v>
      </c>
      <c r="F47" s="368">
        <v>353.55330439387399</v>
      </c>
      <c r="G47" s="369">
        <v>147.313876830781</v>
      </c>
      <c r="H47" s="371">
        <v>12.72908</v>
      </c>
      <c r="I47" s="368">
        <v>65.229969999999994</v>
      </c>
      <c r="J47" s="369">
        <v>-82.083906830781004</v>
      </c>
      <c r="K47" s="372">
        <v>0.18449826147599999</v>
      </c>
    </row>
    <row r="48" spans="1:11" ht="14.4" customHeight="1" thickBot="1" x14ac:dyDescent="0.35">
      <c r="A48" s="390" t="s">
        <v>245</v>
      </c>
      <c r="B48" s="368">
        <v>0</v>
      </c>
      <c r="C48" s="368">
        <v>0</v>
      </c>
      <c r="D48" s="369">
        <v>0</v>
      </c>
      <c r="E48" s="370">
        <v>1</v>
      </c>
      <c r="F48" s="368">
        <v>0</v>
      </c>
      <c r="G48" s="369">
        <v>0</v>
      </c>
      <c r="H48" s="371">
        <v>0</v>
      </c>
      <c r="I48" s="368">
        <v>4.07E-2</v>
      </c>
      <c r="J48" s="369">
        <v>4.07E-2</v>
      </c>
      <c r="K48" s="379" t="s">
        <v>227</v>
      </c>
    </row>
    <row r="49" spans="1:11" ht="14.4" customHeight="1" thickBot="1" x14ac:dyDescent="0.35">
      <c r="A49" s="389" t="s">
        <v>246</v>
      </c>
      <c r="B49" s="373">
        <v>0</v>
      </c>
      <c r="C49" s="373">
        <v>7.9439999999999997E-2</v>
      </c>
      <c r="D49" s="374">
        <v>7.9439999999999997E-2</v>
      </c>
      <c r="E49" s="375" t="s">
        <v>227</v>
      </c>
      <c r="F49" s="373">
        <v>7.9451440637999998E-2</v>
      </c>
      <c r="G49" s="374">
        <v>3.3104766931999999E-2</v>
      </c>
      <c r="H49" s="376">
        <v>0</v>
      </c>
      <c r="I49" s="373">
        <v>0</v>
      </c>
      <c r="J49" s="374">
        <v>-3.3104766931999999E-2</v>
      </c>
      <c r="K49" s="381">
        <v>0</v>
      </c>
    </row>
    <row r="50" spans="1:11" ht="14.4" customHeight="1" thickBot="1" x14ac:dyDescent="0.35">
      <c r="A50" s="390" t="s">
        <v>247</v>
      </c>
      <c r="B50" s="368">
        <v>0</v>
      </c>
      <c r="C50" s="368">
        <v>7.9439999999999997E-2</v>
      </c>
      <c r="D50" s="369">
        <v>7.9439999999999997E-2</v>
      </c>
      <c r="E50" s="378" t="s">
        <v>227</v>
      </c>
      <c r="F50" s="368">
        <v>7.9451440637999998E-2</v>
      </c>
      <c r="G50" s="369">
        <v>3.3104766931999999E-2</v>
      </c>
      <c r="H50" s="371">
        <v>0</v>
      </c>
      <c r="I50" s="368">
        <v>0</v>
      </c>
      <c r="J50" s="369">
        <v>-3.3104766931999999E-2</v>
      </c>
      <c r="K50" s="372">
        <v>0</v>
      </c>
    </row>
    <row r="51" spans="1:11" ht="14.4" customHeight="1" thickBot="1" x14ac:dyDescent="0.35">
      <c r="A51" s="389" t="s">
        <v>248</v>
      </c>
      <c r="B51" s="373">
        <v>1423</v>
      </c>
      <c r="C51" s="373">
        <v>2730.22975</v>
      </c>
      <c r="D51" s="374">
        <v>1307.22975</v>
      </c>
      <c r="E51" s="380">
        <v>1.9186435347849999</v>
      </c>
      <c r="F51" s="373">
        <v>3192.0690495948602</v>
      </c>
      <c r="G51" s="374">
        <v>1330.0287706645299</v>
      </c>
      <c r="H51" s="376">
        <v>447.57538</v>
      </c>
      <c r="I51" s="373">
        <v>948.01337999999998</v>
      </c>
      <c r="J51" s="374">
        <v>-382.01539066452699</v>
      </c>
      <c r="K51" s="381">
        <v>0.29699024841499999</v>
      </c>
    </row>
    <row r="52" spans="1:11" ht="14.4" customHeight="1" thickBot="1" x14ac:dyDescent="0.35">
      <c r="A52" s="390" t="s">
        <v>249</v>
      </c>
      <c r="B52" s="368">
        <v>554</v>
      </c>
      <c r="C52" s="368">
        <v>1435.5184200000001</v>
      </c>
      <c r="D52" s="369">
        <v>881.51842000000102</v>
      </c>
      <c r="E52" s="370">
        <v>2.5911884837539998</v>
      </c>
      <c r="F52" s="368">
        <v>1876.53588074668</v>
      </c>
      <c r="G52" s="369">
        <v>781.88995031111699</v>
      </c>
      <c r="H52" s="371">
        <v>311.91698000000002</v>
      </c>
      <c r="I52" s="368">
        <v>655.11766</v>
      </c>
      <c r="J52" s="369">
        <v>-126.772290311118</v>
      </c>
      <c r="K52" s="372">
        <v>0.34911011652899998</v>
      </c>
    </row>
    <row r="53" spans="1:11" ht="14.4" customHeight="1" thickBot="1" x14ac:dyDescent="0.35">
      <c r="A53" s="390" t="s">
        <v>250</v>
      </c>
      <c r="B53" s="368">
        <v>869</v>
      </c>
      <c r="C53" s="368">
        <v>1294.7113300000001</v>
      </c>
      <c r="D53" s="369">
        <v>425.71132999999998</v>
      </c>
      <c r="E53" s="370">
        <v>1.4898864556960001</v>
      </c>
      <c r="F53" s="368">
        <v>1315.5331688481799</v>
      </c>
      <c r="G53" s="369">
        <v>548.13882035340998</v>
      </c>
      <c r="H53" s="371">
        <v>135.6584</v>
      </c>
      <c r="I53" s="368">
        <v>292.89571999999998</v>
      </c>
      <c r="J53" s="369">
        <v>-255.24310035341</v>
      </c>
      <c r="K53" s="372">
        <v>0.22264411642000001</v>
      </c>
    </row>
    <row r="54" spans="1:11" ht="14.4" customHeight="1" thickBot="1" x14ac:dyDescent="0.35">
      <c r="A54" s="389" t="s">
        <v>251</v>
      </c>
      <c r="B54" s="373">
        <v>0</v>
      </c>
      <c r="C54" s="373">
        <v>32.573880000000003</v>
      </c>
      <c r="D54" s="374">
        <v>32.573880000000003</v>
      </c>
      <c r="E54" s="375" t="s">
        <v>203</v>
      </c>
      <c r="F54" s="373">
        <v>0</v>
      </c>
      <c r="G54" s="374">
        <v>0</v>
      </c>
      <c r="H54" s="376">
        <v>0</v>
      </c>
      <c r="I54" s="373">
        <v>15.568949999999999</v>
      </c>
      <c r="J54" s="374">
        <v>15.568949999999999</v>
      </c>
      <c r="K54" s="377" t="s">
        <v>203</v>
      </c>
    </row>
    <row r="55" spans="1:11" ht="14.4" customHeight="1" thickBot="1" x14ac:dyDescent="0.35">
      <c r="A55" s="390" t="s">
        <v>252</v>
      </c>
      <c r="B55" s="368">
        <v>0</v>
      </c>
      <c r="C55" s="368">
        <v>28.51042</v>
      </c>
      <c r="D55" s="369">
        <v>28.51042</v>
      </c>
      <c r="E55" s="378" t="s">
        <v>203</v>
      </c>
      <c r="F55" s="368">
        <v>0</v>
      </c>
      <c r="G55" s="369">
        <v>0</v>
      </c>
      <c r="H55" s="371">
        <v>0</v>
      </c>
      <c r="I55" s="368">
        <v>0</v>
      </c>
      <c r="J55" s="369">
        <v>0</v>
      </c>
      <c r="K55" s="379" t="s">
        <v>203</v>
      </c>
    </row>
    <row r="56" spans="1:11" ht="14.4" customHeight="1" thickBot="1" x14ac:dyDescent="0.35">
      <c r="A56" s="390" t="s">
        <v>253</v>
      </c>
      <c r="B56" s="368">
        <v>0</v>
      </c>
      <c r="C56" s="368">
        <v>4.0634600000000001</v>
      </c>
      <c r="D56" s="369">
        <v>4.0634600000000001</v>
      </c>
      <c r="E56" s="378" t="s">
        <v>203</v>
      </c>
      <c r="F56" s="368">
        <v>0</v>
      </c>
      <c r="G56" s="369">
        <v>0</v>
      </c>
      <c r="H56" s="371">
        <v>0</v>
      </c>
      <c r="I56" s="368">
        <v>15.568949999999999</v>
      </c>
      <c r="J56" s="369">
        <v>15.568949999999999</v>
      </c>
      <c r="K56" s="379" t="s">
        <v>203</v>
      </c>
    </row>
    <row r="57" spans="1:11" ht="14.4" customHeight="1" thickBot="1" x14ac:dyDescent="0.35">
      <c r="A57" s="386" t="s">
        <v>254</v>
      </c>
      <c r="B57" s="368">
        <v>1.586127332987</v>
      </c>
      <c r="C57" s="368">
        <v>0</v>
      </c>
      <c r="D57" s="369">
        <v>-1.586127332987</v>
      </c>
      <c r="E57" s="370">
        <v>0</v>
      </c>
      <c r="F57" s="368">
        <v>0</v>
      </c>
      <c r="G57" s="369">
        <v>0</v>
      </c>
      <c r="H57" s="371">
        <v>0</v>
      </c>
      <c r="I57" s="368">
        <v>0</v>
      </c>
      <c r="J57" s="369">
        <v>0</v>
      </c>
      <c r="K57" s="372">
        <v>5</v>
      </c>
    </row>
    <row r="58" spans="1:11" ht="14.4" customHeight="1" thickBot="1" x14ac:dyDescent="0.35">
      <c r="A58" s="391" t="s">
        <v>255</v>
      </c>
      <c r="B58" s="373">
        <v>1.586127332987</v>
      </c>
      <c r="C58" s="373">
        <v>0</v>
      </c>
      <c r="D58" s="374">
        <v>-1.586127332987</v>
      </c>
      <c r="E58" s="380">
        <v>0</v>
      </c>
      <c r="F58" s="373">
        <v>0</v>
      </c>
      <c r="G58" s="374">
        <v>0</v>
      </c>
      <c r="H58" s="376">
        <v>0</v>
      </c>
      <c r="I58" s="373">
        <v>0</v>
      </c>
      <c r="J58" s="374">
        <v>0</v>
      </c>
      <c r="K58" s="381">
        <v>5</v>
      </c>
    </row>
    <row r="59" spans="1:11" ht="14.4" customHeight="1" thickBot="1" x14ac:dyDescent="0.35">
      <c r="A59" s="393" t="s">
        <v>36</v>
      </c>
      <c r="B59" s="373">
        <v>1.586127332987</v>
      </c>
      <c r="C59" s="373">
        <v>0</v>
      </c>
      <c r="D59" s="374">
        <v>-1.586127332987</v>
      </c>
      <c r="E59" s="380">
        <v>0</v>
      </c>
      <c r="F59" s="373">
        <v>0</v>
      </c>
      <c r="G59" s="374">
        <v>0</v>
      </c>
      <c r="H59" s="376">
        <v>0</v>
      </c>
      <c r="I59" s="373">
        <v>0</v>
      </c>
      <c r="J59" s="374">
        <v>0</v>
      </c>
      <c r="K59" s="381">
        <v>5</v>
      </c>
    </row>
    <row r="60" spans="1:11" ht="14.4" customHeight="1" thickBot="1" x14ac:dyDescent="0.35">
      <c r="A60" s="389" t="s">
        <v>256</v>
      </c>
      <c r="B60" s="373">
        <v>1.586127332987</v>
      </c>
      <c r="C60" s="373">
        <v>0</v>
      </c>
      <c r="D60" s="374">
        <v>-1.586127332987</v>
      </c>
      <c r="E60" s="380">
        <v>0</v>
      </c>
      <c r="F60" s="373">
        <v>0</v>
      </c>
      <c r="G60" s="374">
        <v>0</v>
      </c>
      <c r="H60" s="376">
        <v>0</v>
      </c>
      <c r="I60" s="373">
        <v>0</v>
      </c>
      <c r="J60" s="374">
        <v>0</v>
      </c>
      <c r="K60" s="381">
        <v>5</v>
      </c>
    </row>
    <row r="61" spans="1:11" ht="14.4" customHeight="1" thickBot="1" x14ac:dyDescent="0.35">
      <c r="A61" s="390" t="s">
        <v>257</v>
      </c>
      <c r="B61" s="368">
        <v>1.586127332987</v>
      </c>
      <c r="C61" s="368">
        <v>0</v>
      </c>
      <c r="D61" s="369">
        <v>-1.586127332987</v>
      </c>
      <c r="E61" s="370">
        <v>0</v>
      </c>
      <c r="F61" s="368">
        <v>0</v>
      </c>
      <c r="G61" s="369">
        <v>0</v>
      </c>
      <c r="H61" s="371">
        <v>0</v>
      </c>
      <c r="I61" s="368">
        <v>0</v>
      </c>
      <c r="J61" s="369">
        <v>0</v>
      </c>
      <c r="K61" s="372">
        <v>5</v>
      </c>
    </row>
    <row r="62" spans="1:11" ht="14.4" customHeight="1" thickBot="1" x14ac:dyDescent="0.35">
      <c r="A62" s="386" t="s">
        <v>258</v>
      </c>
      <c r="B62" s="368">
        <v>0</v>
      </c>
      <c r="C62" s="368">
        <v>4.5987499999999999</v>
      </c>
      <c r="D62" s="369">
        <v>4.5987499999999999</v>
      </c>
      <c r="E62" s="378" t="s">
        <v>227</v>
      </c>
      <c r="F62" s="368">
        <v>0</v>
      </c>
      <c r="G62" s="369">
        <v>0</v>
      </c>
      <c r="H62" s="371">
        <v>0</v>
      </c>
      <c r="I62" s="368">
        <v>0.11092</v>
      </c>
      <c r="J62" s="369">
        <v>0.11092</v>
      </c>
      <c r="K62" s="379" t="s">
        <v>203</v>
      </c>
    </row>
    <row r="63" spans="1:11" ht="14.4" customHeight="1" thickBot="1" x14ac:dyDescent="0.35">
      <c r="A63" s="391" t="s">
        <v>259</v>
      </c>
      <c r="B63" s="373">
        <v>0</v>
      </c>
      <c r="C63" s="373">
        <v>4.5987499999999999</v>
      </c>
      <c r="D63" s="374">
        <v>4.5987499999999999</v>
      </c>
      <c r="E63" s="375" t="s">
        <v>227</v>
      </c>
      <c r="F63" s="373">
        <v>0</v>
      </c>
      <c r="G63" s="374">
        <v>0</v>
      </c>
      <c r="H63" s="376">
        <v>0</v>
      </c>
      <c r="I63" s="373">
        <v>0.11092</v>
      </c>
      <c r="J63" s="374">
        <v>0.11092</v>
      </c>
      <c r="K63" s="377" t="s">
        <v>203</v>
      </c>
    </row>
    <row r="64" spans="1:11" ht="14.4" customHeight="1" thickBot="1" x14ac:dyDescent="0.35">
      <c r="A64" s="393" t="s">
        <v>260</v>
      </c>
      <c r="B64" s="373">
        <v>0</v>
      </c>
      <c r="C64" s="373">
        <v>4.5987499999999999</v>
      </c>
      <c r="D64" s="374">
        <v>4.5987499999999999</v>
      </c>
      <c r="E64" s="375" t="s">
        <v>227</v>
      </c>
      <c r="F64" s="373">
        <v>0</v>
      </c>
      <c r="G64" s="374">
        <v>0</v>
      </c>
      <c r="H64" s="376">
        <v>0</v>
      </c>
      <c r="I64" s="373">
        <v>0.11092</v>
      </c>
      <c r="J64" s="374">
        <v>0.11092</v>
      </c>
      <c r="K64" s="377" t="s">
        <v>203</v>
      </c>
    </row>
    <row r="65" spans="1:11" ht="14.4" customHeight="1" thickBot="1" x14ac:dyDescent="0.35">
      <c r="A65" s="389" t="s">
        <v>261</v>
      </c>
      <c r="B65" s="373">
        <v>0</v>
      </c>
      <c r="C65" s="373">
        <v>4.5987499999999999</v>
      </c>
      <c r="D65" s="374">
        <v>4.5987499999999999</v>
      </c>
      <c r="E65" s="375" t="s">
        <v>227</v>
      </c>
      <c r="F65" s="373">
        <v>0</v>
      </c>
      <c r="G65" s="374">
        <v>0</v>
      </c>
      <c r="H65" s="376">
        <v>0</v>
      </c>
      <c r="I65" s="373">
        <v>0.11092</v>
      </c>
      <c r="J65" s="374">
        <v>0.11092</v>
      </c>
      <c r="K65" s="377" t="s">
        <v>227</v>
      </c>
    </row>
    <row r="66" spans="1:11" ht="14.4" customHeight="1" thickBot="1" x14ac:dyDescent="0.35">
      <c r="A66" s="390" t="s">
        <v>262</v>
      </c>
      <c r="B66" s="368">
        <v>0</v>
      </c>
      <c r="C66" s="368">
        <v>4.5987499999999999</v>
      </c>
      <c r="D66" s="369">
        <v>4.5987499999999999</v>
      </c>
      <c r="E66" s="378" t="s">
        <v>227</v>
      </c>
      <c r="F66" s="368">
        <v>0</v>
      </c>
      <c r="G66" s="369">
        <v>0</v>
      </c>
      <c r="H66" s="371">
        <v>0</v>
      </c>
      <c r="I66" s="368">
        <v>0.11092</v>
      </c>
      <c r="J66" s="369">
        <v>0.11092</v>
      </c>
      <c r="K66" s="379" t="s">
        <v>227</v>
      </c>
    </row>
    <row r="67" spans="1:11" ht="14.4" customHeight="1" thickBot="1" x14ac:dyDescent="0.35">
      <c r="A67" s="394"/>
      <c r="B67" s="368">
        <v>184.02677332765899</v>
      </c>
      <c r="C67" s="368">
        <v>1746.1656700000001</v>
      </c>
      <c r="D67" s="369">
        <v>1562.13889667234</v>
      </c>
      <c r="E67" s="370">
        <v>9.4886501481549992</v>
      </c>
      <c r="F67" s="368">
        <v>2316.99975888374</v>
      </c>
      <c r="G67" s="369">
        <v>965.416566201558</v>
      </c>
      <c r="H67" s="371">
        <v>312.72832</v>
      </c>
      <c r="I67" s="368">
        <v>502.89717999999903</v>
      </c>
      <c r="J67" s="369">
        <v>-462.51938620155801</v>
      </c>
      <c r="K67" s="372">
        <v>0.217046712271</v>
      </c>
    </row>
    <row r="68" spans="1:11" ht="14.4" customHeight="1" thickBot="1" x14ac:dyDescent="0.35">
      <c r="A68" s="395" t="s">
        <v>48</v>
      </c>
      <c r="B68" s="382">
        <v>184.02677332765899</v>
      </c>
      <c r="C68" s="382">
        <v>1746.1656700000001</v>
      </c>
      <c r="D68" s="383">
        <v>1562.13889667234</v>
      </c>
      <c r="E68" s="384" t="s">
        <v>227</v>
      </c>
      <c r="F68" s="382">
        <v>2316.99975888374</v>
      </c>
      <c r="G68" s="383">
        <v>965.416566201558</v>
      </c>
      <c r="H68" s="382">
        <v>312.72832</v>
      </c>
      <c r="I68" s="382">
        <v>502.89717999999903</v>
      </c>
      <c r="J68" s="383">
        <v>-462.51938620155801</v>
      </c>
      <c r="K68" s="385">
        <v>0.217046712271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" customHeight="1" thickBot="1" x14ac:dyDescent="0.35">
      <c r="A2" s="199" t="s">
        <v>202</v>
      </c>
      <c r="B2" s="179"/>
      <c r="C2" s="179"/>
      <c r="D2" s="179"/>
      <c r="E2" s="179"/>
      <c r="F2" s="179"/>
    </row>
    <row r="3" spans="1:10" ht="14.4" customHeight="1" thickBot="1" x14ac:dyDescent="0.35">
      <c r="A3" s="199"/>
      <c r="B3" s="226"/>
      <c r="C3" s="205">
        <v>2015</v>
      </c>
      <c r="D3" s="206">
        <v>2017</v>
      </c>
      <c r="E3" s="7"/>
      <c r="F3" s="281">
        <v>2018</v>
      </c>
      <c r="G3" s="299"/>
      <c r="H3" s="299"/>
      <c r="I3" s="282"/>
    </row>
    <row r="4" spans="1:10" ht="14.4" customHeight="1" thickBot="1" x14ac:dyDescent="0.35">
      <c r="A4" s="210" t="s">
        <v>0</v>
      </c>
      <c r="B4" s="211" t="s">
        <v>139</v>
      </c>
      <c r="C4" s="300" t="s">
        <v>54</v>
      </c>
      <c r="D4" s="301"/>
      <c r="E4" s="212"/>
      <c r="F4" s="207" t="s">
        <v>54</v>
      </c>
      <c r="G4" s="208" t="s">
        <v>55</v>
      </c>
      <c r="H4" s="208" t="s">
        <v>49</v>
      </c>
      <c r="I4" s="209" t="s">
        <v>56</v>
      </c>
    </row>
    <row r="5" spans="1:10" ht="14.4" customHeight="1" x14ac:dyDescent="0.3">
      <c r="A5" s="396" t="s">
        <v>263</v>
      </c>
      <c r="B5" s="397" t="s">
        <v>264</v>
      </c>
      <c r="C5" s="398" t="s">
        <v>265</v>
      </c>
      <c r="D5" s="398" t="s">
        <v>265</v>
      </c>
      <c r="E5" s="398"/>
      <c r="F5" s="398" t="s">
        <v>265</v>
      </c>
      <c r="G5" s="398" t="s">
        <v>265</v>
      </c>
      <c r="H5" s="398" t="s">
        <v>265</v>
      </c>
      <c r="I5" s="399" t="s">
        <v>265</v>
      </c>
      <c r="J5" s="400" t="s">
        <v>50</v>
      </c>
    </row>
    <row r="6" spans="1:10" ht="14.4" customHeight="1" x14ac:dyDescent="0.3">
      <c r="A6" s="396" t="s">
        <v>263</v>
      </c>
      <c r="B6" s="397" t="s">
        <v>266</v>
      </c>
      <c r="C6" s="398">
        <v>12.781249999999998</v>
      </c>
      <c r="D6" s="398">
        <v>38.86824</v>
      </c>
      <c r="E6" s="398"/>
      <c r="F6" s="398">
        <v>65.695050000000009</v>
      </c>
      <c r="G6" s="398">
        <v>54.166664062499997</v>
      </c>
      <c r="H6" s="398">
        <v>11.528385937500012</v>
      </c>
      <c r="I6" s="399">
        <v>1.2128317506169113</v>
      </c>
      <c r="J6" s="400" t="s">
        <v>1</v>
      </c>
    </row>
    <row r="7" spans="1:10" ht="14.4" customHeight="1" x14ac:dyDescent="0.3">
      <c r="A7" s="396" t="s">
        <v>263</v>
      </c>
      <c r="B7" s="397" t="s">
        <v>267</v>
      </c>
      <c r="C7" s="398">
        <v>110.13326999999995</v>
      </c>
      <c r="D7" s="398">
        <v>185.11860000000004</v>
      </c>
      <c r="E7" s="398"/>
      <c r="F7" s="398">
        <v>178.46358000000004</v>
      </c>
      <c r="G7" s="398">
        <v>220.83334375000001</v>
      </c>
      <c r="H7" s="398">
        <v>-42.369763749999976</v>
      </c>
      <c r="I7" s="399">
        <v>0.80813692791806957</v>
      </c>
      <c r="J7" s="400" t="s">
        <v>1</v>
      </c>
    </row>
    <row r="8" spans="1:10" ht="14.4" customHeight="1" x14ac:dyDescent="0.3">
      <c r="A8" s="396" t="s">
        <v>263</v>
      </c>
      <c r="B8" s="397" t="s">
        <v>268</v>
      </c>
      <c r="C8" s="398">
        <v>14.250500000000002</v>
      </c>
      <c r="D8" s="398">
        <v>74.789869999999993</v>
      </c>
      <c r="E8" s="398"/>
      <c r="F8" s="398">
        <v>152.22980000000001</v>
      </c>
      <c r="G8" s="398">
        <v>116.66667187500001</v>
      </c>
      <c r="H8" s="398">
        <v>35.563128125000006</v>
      </c>
      <c r="I8" s="399">
        <v>1.3048267988916609</v>
      </c>
      <c r="J8" s="400" t="s">
        <v>1</v>
      </c>
    </row>
    <row r="9" spans="1:10" ht="14.4" customHeight="1" x14ac:dyDescent="0.3">
      <c r="A9" s="396" t="s">
        <v>263</v>
      </c>
      <c r="B9" s="397" t="s">
        <v>269</v>
      </c>
      <c r="C9" s="398">
        <v>5.3401399999999999</v>
      </c>
      <c r="D9" s="398">
        <v>9.4587700000000012</v>
      </c>
      <c r="E9" s="398"/>
      <c r="F9" s="398">
        <v>11.713789999999999</v>
      </c>
      <c r="G9" s="398">
        <v>10.416666015624999</v>
      </c>
      <c r="H9" s="398">
        <v>1.2971239843750002</v>
      </c>
      <c r="I9" s="399">
        <v>1.1245239102827445</v>
      </c>
      <c r="J9" s="400" t="s">
        <v>1</v>
      </c>
    </row>
    <row r="10" spans="1:10" ht="14.4" customHeight="1" x14ac:dyDescent="0.3">
      <c r="A10" s="396" t="s">
        <v>263</v>
      </c>
      <c r="B10" s="397" t="s">
        <v>270</v>
      </c>
      <c r="C10" s="398">
        <v>7.4049399999999999</v>
      </c>
      <c r="D10" s="398">
        <v>12.527099999999999</v>
      </c>
      <c r="E10" s="398"/>
      <c r="F10" s="398">
        <v>18.146989999999999</v>
      </c>
      <c r="G10" s="398">
        <v>16.666666015625001</v>
      </c>
      <c r="H10" s="398">
        <v>1.4803239843749978</v>
      </c>
      <c r="I10" s="399">
        <v>1.0888194425320092</v>
      </c>
      <c r="J10" s="400" t="s">
        <v>1</v>
      </c>
    </row>
    <row r="11" spans="1:10" ht="14.4" customHeight="1" x14ac:dyDescent="0.3">
      <c r="A11" s="396" t="s">
        <v>263</v>
      </c>
      <c r="B11" s="397" t="s">
        <v>271</v>
      </c>
      <c r="C11" s="398">
        <v>0</v>
      </c>
      <c r="D11" s="398">
        <v>9.2585200000000007</v>
      </c>
      <c r="E11" s="398"/>
      <c r="F11" s="398">
        <v>13.88777</v>
      </c>
      <c r="G11" s="398">
        <v>27.916667968750001</v>
      </c>
      <c r="H11" s="398">
        <v>-14.028897968750002</v>
      </c>
      <c r="I11" s="399">
        <v>0.4974723350059545</v>
      </c>
      <c r="J11" s="400" t="s">
        <v>1</v>
      </c>
    </row>
    <row r="12" spans="1:10" ht="14.4" customHeight="1" x14ac:dyDescent="0.3">
      <c r="A12" s="396" t="s">
        <v>263</v>
      </c>
      <c r="B12" s="397" t="s">
        <v>272</v>
      </c>
      <c r="C12" s="398">
        <v>0</v>
      </c>
      <c r="D12" s="398">
        <v>0</v>
      </c>
      <c r="E12" s="398"/>
      <c r="F12" s="398">
        <v>55.716000000000001</v>
      </c>
      <c r="G12" s="398">
        <v>47.5</v>
      </c>
      <c r="H12" s="398">
        <v>8.2160000000000011</v>
      </c>
      <c r="I12" s="399">
        <v>1.1729684210526317</v>
      </c>
      <c r="J12" s="400" t="s">
        <v>1</v>
      </c>
    </row>
    <row r="13" spans="1:10" ht="14.4" customHeight="1" x14ac:dyDescent="0.3">
      <c r="A13" s="396" t="s">
        <v>263</v>
      </c>
      <c r="B13" s="397" t="s">
        <v>273</v>
      </c>
      <c r="C13" s="398">
        <v>149.91009999999997</v>
      </c>
      <c r="D13" s="398">
        <v>330.02110000000005</v>
      </c>
      <c r="E13" s="398"/>
      <c r="F13" s="398">
        <v>495.85298000000012</v>
      </c>
      <c r="G13" s="398">
        <v>494.16667968750011</v>
      </c>
      <c r="H13" s="398">
        <v>1.6863003125000091</v>
      </c>
      <c r="I13" s="399">
        <v>1.0034124120095802</v>
      </c>
      <c r="J13" s="400" t="s">
        <v>274</v>
      </c>
    </row>
    <row r="15" spans="1:10" ht="14.4" customHeight="1" x14ac:dyDescent="0.3">
      <c r="A15" s="396" t="s">
        <v>263</v>
      </c>
      <c r="B15" s="397" t="s">
        <v>264</v>
      </c>
      <c r="C15" s="398" t="s">
        <v>265</v>
      </c>
      <c r="D15" s="398" t="s">
        <v>265</v>
      </c>
      <c r="E15" s="398"/>
      <c r="F15" s="398" t="s">
        <v>265</v>
      </c>
      <c r="G15" s="398" t="s">
        <v>265</v>
      </c>
      <c r="H15" s="398" t="s">
        <v>265</v>
      </c>
      <c r="I15" s="399" t="s">
        <v>265</v>
      </c>
      <c r="J15" s="400" t="s">
        <v>50</v>
      </c>
    </row>
    <row r="16" spans="1:10" ht="14.4" customHeight="1" x14ac:dyDescent="0.3">
      <c r="A16" s="396" t="s">
        <v>275</v>
      </c>
      <c r="B16" s="397" t="s">
        <v>276</v>
      </c>
      <c r="C16" s="398" t="s">
        <v>265</v>
      </c>
      <c r="D16" s="398" t="s">
        <v>265</v>
      </c>
      <c r="E16" s="398"/>
      <c r="F16" s="398" t="s">
        <v>265</v>
      </c>
      <c r="G16" s="398" t="s">
        <v>265</v>
      </c>
      <c r="H16" s="398" t="s">
        <v>265</v>
      </c>
      <c r="I16" s="399" t="s">
        <v>265</v>
      </c>
      <c r="J16" s="400" t="s">
        <v>0</v>
      </c>
    </row>
    <row r="17" spans="1:10" ht="14.4" customHeight="1" x14ac:dyDescent="0.3">
      <c r="A17" s="396" t="s">
        <v>275</v>
      </c>
      <c r="B17" s="397" t="s">
        <v>266</v>
      </c>
      <c r="C17" s="398">
        <v>12.781249999999998</v>
      </c>
      <c r="D17" s="398">
        <v>38.86824</v>
      </c>
      <c r="E17" s="398"/>
      <c r="F17" s="398">
        <v>65.695050000000009</v>
      </c>
      <c r="G17" s="398">
        <v>54</v>
      </c>
      <c r="H17" s="398">
        <v>11.695050000000009</v>
      </c>
      <c r="I17" s="399">
        <v>1.2165750000000002</v>
      </c>
      <c r="J17" s="400" t="s">
        <v>1</v>
      </c>
    </row>
    <row r="18" spans="1:10" ht="14.4" customHeight="1" x14ac:dyDescent="0.3">
      <c r="A18" s="396" t="s">
        <v>275</v>
      </c>
      <c r="B18" s="397" t="s">
        <v>267</v>
      </c>
      <c r="C18" s="398">
        <v>110.13326999999995</v>
      </c>
      <c r="D18" s="398">
        <v>185.11860000000004</v>
      </c>
      <c r="E18" s="398"/>
      <c r="F18" s="398">
        <v>178.46358000000004</v>
      </c>
      <c r="G18" s="398">
        <v>221</v>
      </c>
      <c r="H18" s="398">
        <v>-42.536419999999964</v>
      </c>
      <c r="I18" s="399">
        <v>0.80752751131221734</v>
      </c>
      <c r="J18" s="400" t="s">
        <v>1</v>
      </c>
    </row>
    <row r="19" spans="1:10" ht="14.4" customHeight="1" x14ac:dyDescent="0.3">
      <c r="A19" s="396" t="s">
        <v>275</v>
      </c>
      <c r="B19" s="397" t="s">
        <v>268</v>
      </c>
      <c r="C19" s="398">
        <v>14.250500000000002</v>
      </c>
      <c r="D19" s="398">
        <v>74.789869999999993</v>
      </c>
      <c r="E19" s="398"/>
      <c r="F19" s="398">
        <v>152.22980000000001</v>
      </c>
      <c r="G19" s="398">
        <v>117</v>
      </c>
      <c r="H19" s="398">
        <v>35.229800000000012</v>
      </c>
      <c r="I19" s="399">
        <v>1.3011094017094018</v>
      </c>
      <c r="J19" s="400" t="s">
        <v>1</v>
      </c>
    </row>
    <row r="20" spans="1:10" ht="14.4" customHeight="1" x14ac:dyDescent="0.3">
      <c r="A20" s="396" t="s">
        <v>275</v>
      </c>
      <c r="B20" s="397" t="s">
        <v>269</v>
      </c>
      <c r="C20" s="398">
        <v>5.3401399999999999</v>
      </c>
      <c r="D20" s="398">
        <v>9.4587700000000012</v>
      </c>
      <c r="E20" s="398"/>
      <c r="F20" s="398">
        <v>11.713789999999999</v>
      </c>
      <c r="G20" s="398">
        <v>10</v>
      </c>
      <c r="H20" s="398">
        <v>1.7137899999999995</v>
      </c>
      <c r="I20" s="399">
        <v>1.1713789999999999</v>
      </c>
      <c r="J20" s="400" t="s">
        <v>1</v>
      </c>
    </row>
    <row r="21" spans="1:10" ht="14.4" customHeight="1" x14ac:dyDescent="0.3">
      <c r="A21" s="396" t="s">
        <v>275</v>
      </c>
      <c r="B21" s="397" t="s">
        <v>270</v>
      </c>
      <c r="C21" s="398">
        <v>7.4049399999999999</v>
      </c>
      <c r="D21" s="398">
        <v>12.527099999999999</v>
      </c>
      <c r="E21" s="398"/>
      <c r="F21" s="398">
        <v>18.146989999999999</v>
      </c>
      <c r="G21" s="398">
        <v>17</v>
      </c>
      <c r="H21" s="398">
        <v>1.1469899999999988</v>
      </c>
      <c r="I21" s="399">
        <v>1.0674699999999999</v>
      </c>
      <c r="J21" s="400" t="s">
        <v>1</v>
      </c>
    </row>
    <row r="22" spans="1:10" ht="14.4" customHeight="1" x14ac:dyDescent="0.3">
      <c r="A22" s="396" t="s">
        <v>275</v>
      </c>
      <c r="B22" s="397" t="s">
        <v>271</v>
      </c>
      <c r="C22" s="398">
        <v>0</v>
      </c>
      <c r="D22" s="398">
        <v>9.2585200000000007</v>
      </c>
      <c r="E22" s="398"/>
      <c r="F22" s="398">
        <v>13.88777</v>
      </c>
      <c r="G22" s="398">
        <v>28</v>
      </c>
      <c r="H22" s="398">
        <v>-14.11223</v>
      </c>
      <c r="I22" s="399">
        <v>0.4959917857142857</v>
      </c>
      <c r="J22" s="400" t="s">
        <v>1</v>
      </c>
    </row>
    <row r="23" spans="1:10" ht="14.4" customHeight="1" x14ac:dyDescent="0.3">
      <c r="A23" s="396" t="s">
        <v>275</v>
      </c>
      <c r="B23" s="397" t="s">
        <v>272</v>
      </c>
      <c r="C23" s="398">
        <v>0</v>
      </c>
      <c r="D23" s="398">
        <v>0</v>
      </c>
      <c r="E23" s="398"/>
      <c r="F23" s="398">
        <v>55.716000000000001</v>
      </c>
      <c r="G23" s="398">
        <v>48</v>
      </c>
      <c r="H23" s="398">
        <v>7.7160000000000011</v>
      </c>
      <c r="I23" s="399">
        <v>1.1607499999999999</v>
      </c>
      <c r="J23" s="400" t="s">
        <v>1</v>
      </c>
    </row>
    <row r="24" spans="1:10" ht="14.4" customHeight="1" x14ac:dyDescent="0.3">
      <c r="A24" s="396" t="s">
        <v>275</v>
      </c>
      <c r="B24" s="397" t="s">
        <v>277</v>
      </c>
      <c r="C24" s="398">
        <v>149.91009999999997</v>
      </c>
      <c r="D24" s="398">
        <v>330.02110000000005</v>
      </c>
      <c r="E24" s="398"/>
      <c r="F24" s="398">
        <v>495.85298000000012</v>
      </c>
      <c r="G24" s="398">
        <v>494</v>
      </c>
      <c r="H24" s="398">
        <v>1.852980000000116</v>
      </c>
      <c r="I24" s="399">
        <v>1.0037509716599193</v>
      </c>
      <c r="J24" s="400" t="s">
        <v>278</v>
      </c>
    </row>
    <row r="25" spans="1:10" ht="14.4" customHeight="1" x14ac:dyDescent="0.3">
      <c r="A25" s="396" t="s">
        <v>265</v>
      </c>
      <c r="B25" s="397" t="s">
        <v>265</v>
      </c>
      <c r="C25" s="398" t="s">
        <v>265</v>
      </c>
      <c r="D25" s="398" t="s">
        <v>265</v>
      </c>
      <c r="E25" s="398"/>
      <c r="F25" s="398" t="s">
        <v>265</v>
      </c>
      <c r="G25" s="398" t="s">
        <v>265</v>
      </c>
      <c r="H25" s="398" t="s">
        <v>265</v>
      </c>
      <c r="I25" s="399" t="s">
        <v>265</v>
      </c>
      <c r="J25" s="400" t="s">
        <v>279</v>
      </c>
    </row>
    <row r="26" spans="1:10" ht="14.4" customHeight="1" x14ac:dyDescent="0.3">
      <c r="A26" s="396" t="s">
        <v>263</v>
      </c>
      <c r="B26" s="397" t="s">
        <v>273</v>
      </c>
      <c r="C26" s="398">
        <v>149.91009999999997</v>
      </c>
      <c r="D26" s="398">
        <v>330.02110000000005</v>
      </c>
      <c r="E26" s="398"/>
      <c r="F26" s="398">
        <v>495.85298000000012</v>
      </c>
      <c r="G26" s="398">
        <v>494</v>
      </c>
      <c r="H26" s="398">
        <v>1.852980000000116</v>
      </c>
      <c r="I26" s="399">
        <v>1.0037509716599193</v>
      </c>
      <c r="J26" s="400" t="s">
        <v>274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07" t="s">
        <v>419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" customHeight="1" thickBot="1" x14ac:dyDescent="0.35">
      <c r="A2" s="199" t="s">
        <v>202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15.298438313824812</v>
      </c>
      <c r="J3" s="74">
        <f>SUBTOTAL(9,J5:J1048576)</f>
        <v>32412</v>
      </c>
      <c r="K3" s="75">
        <f>SUBTOTAL(9,K5:K1048576)</f>
        <v>495852.98262768984</v>
      </c>
    </row>
    <row r="4" spans="1:11" s="181" customFormat="1" ht="14.4" customHeight="1" thickBot="1" x14ac:dyDescent="0.35">
      <c r="A4" s="401" t="s">
        <v>4</v>
      </c>
      <c r="B4" s="402" t="s">
        <v>5</v>
      </c>
      <c r="C4" s="402" t="s">
        <v>0</v>
      </c>
      <c r="D4" s="402" t="s">
        <v>6</v>
      </c>
      <c r="E4" s="402" t="s">
        <v>7</v>
      </c>
      <c r="F4" s="402" t="s">
        <v>1</v>
      </c>
      <c r="G4" s="402" t="s">
        <v>52</v>
      </c>
      <c r="H4" s="403" t="s">
        <v>8</v>
      </c>
      <c r="I4" s="404" t="s">
        <v>111</v>
      </c>
      <c r="J4" s="404" t="s">
        <v>9</v>
      </c>
      <c r="K4" s="405" t="s">
        <v>119</v>
      </c>
    </row>
    <row r="5" spans="1:11" ht="14.4" customHeight="1" x14ac:dyDescent="0.3">
      <c r="A5" s="406" t="s">
        <v>263</v>
      </c>
      <c r="B5" s="407" t="s">
        <v>264</v>
      </c>
      <c r="C5" s="408" t="s">
        <v>275</v>
      </c>
      <c r="D5" s="409" t="s">
        <v>276</v>
      </c>
      <c r="E5" s="408" t="s">
        <v>280</v>
      </c>
      <c r="F5" s="409" t="s">
        <v>281</v>
      </c>
      <c r="G5" s="408" t="s">
        <v>282</v>
      </c>
      <c r="H5" s="408" t="s">
        <v>283</v>
      </c>
      <c r="I5" s="410">
        <v>93.150001525878906</v>
      </c>
      <c r="J5" s="410">
        <v>140</v>
      </c>
      <c r="K5" s="411">
        <v>13041</v>
      </c>
    </row>
    <row r="6" spans="1:11" ht="14.4" customHeight="1" x14ac:dyDescent="0.3">
      <c r="A6" s="412" t="s">
        <v>263</v>
      </c>
      <c r="B6" s="413" t="s">
        <v>264</v>
      </c>
      <c r="C6" s="414" t="s">
        <v>275</v>
      </c>
      <c r="D6" s="415" t="s">
        <v>276</v>
      </c>
      <c r="E6" s="414" t="s">
        <v>280</v>
      </c>
      <c r="F6" s="415" t="s">
        <v>281</v>
      </c>
      <c r="G6" s="414" t="s">
        <v>284</v>
      </c>
      <c r="H6" s="414" t="s">
        <v>285</v>
      </c>
      <c r="I6" s="416">
        <v>0.41999998688697815</v>
      </c>
      <c r="J6" s="416">
        <v>3000</v>
      </c>
      <c r="K6" s="417">
        <v>1259.25</v>
      </c>
    </row>
    <row r="7" spans="1:11" ht="14.4" customHeight="1" x14ac:dyDescent="0.3">
      <c r="A7" s="412" t="s">
        <v>263</v>
      </c>
      <c r="B7" s="413" t="s">
        <v>264</v>
      </c>
      <c r="C7" s="414" t="s">
        <v>275</v>
      </c>
      <c r="D7" s="415" t="s">
        <v>276</v>
      </c>
      <c r="E7" s="414" t="s">
        <v>280</v>
      </c>
      <c r="F7" s="415" t="s">
        <v>281</v>
      </c>
      <c r="G7" s="414" t="s">
        <v>286</v>
      </c>
      <c r="H7" s="414" t="s">
        <v>287</v>
      </c>
      <c r="I7" s="416">
        <v>0.5899999737739563</v>
      </c>
      <c r="J7" s="416">
        <v>600</v>
      </c>
      <c r="K7" s="417">
        <v>354</v>
      </c>
    </row>
    <row r="8" spans="1:11" ht="14.4" customHeight="1" x14ac:dyDescent="0.3">
      <c r="A8" s="412" t="s">
        <v>263</v>
      </c>
      <c r="B8" s="413" t="s">
        <v>264</v>
      </c>
      <c r="C8" s="414" t="s">
        <v>275</v>
      </c>
      <c r="D8" s="415" t="s">
        <v>276</v>
      </c>
      <c r="E8" s="414" t="s">
        <v>280</v>
      </c>
      <c r="F8" s="415" t="s">
        <v>281</v>
      </c>
      <c r="G8" s="414" t="s">
        <v>286</v>
      </c>
      <c r="H8" s="414" t="s">
        <v>288</v>
      </c>
      <c r="I8" s="416">
        <v>0.57999998331069946</v>
      </c>
      <c r="J8" s="416">
        <v>600</v>
      </c>
      <c r="K8" s="417">
        <v>348</v>
      </c>
    </row>
    <row r="9" spans="1:11" ht="14.4" customHeight="1" x14ac:dyDescent="0.3">
      <c r="A9" s="412" t="s">
        <v>263</v>
      </c>
      <c r="B9" s="413" t="s">
        <v>264</v>
      </c>
      <c r="C9" s="414" t="s">
        <v>275</v>
      </c>
      <c r="D9" s="415" t="s">
        <v>276</v>
      </c>
      <c r="E9" s="414" t="s">
        <v>280</v>
      </c>
      <c r="F9" s="415" t="s">
        <v>281</v>
      </c>
      <c r="G9" s="414" t="s">
        <v>289</v>
      </c>
      <c r="H9" s="414" t="s">
        <v>290</v>
      </c>
      <c r="I9" s="416">
        <v>0.87999999523162842</v>
      </c>
      <c r="J9" s="416">
        <v>400</v>
      </c>
      <c r="K9" s="417">
        <v>352</v>
      </c>
    </row>
    <row r="10" spans="1:11" ht="14.4" customHeight="1" x14ac:dyDescent="0.3">
      <c r="A10" s="412" t="s">
        <v>263</v>
      </c>
      <c r="B10" s="413" t="s">
        <v>264</v>
      </c>
      <c r="C10" s="414" t="s">
        <v>275</v>
      </c>
      <c r="D10" s="415" t="s">
        <v>276</v>
      </c>
      <c r="E10" s="414" t="s">
        <v>280</v>
      </c>
      <c r="F10" s="415" t="s">
        <v>281</v>
      </c>
      <c r="G10" s="414" t="s">
        <v>291</v>
      </c>
      <c r="H10" s="414" t="s">
        <v>292</v>
      </c>
      <c r="I10" s="416">
        <v>0.47499999403953552</v>
      </c>
      <c r="J10" s="416">
        <v>1600</v>
      </c>
      <c r="K10" s="417">
        <v>760</v>
      </c>
    </row>
    <row r="11" spans="1:11" ht="14.4" customHeight="1" x14ac:dyDescent="0.3">
      <c r="A11" s="412" t="s">
        <v>263</v>
      </c>
      <c r="B11" s="413" t="s">
        <v>264</v>
      </c>
      <c r="C11" s="414" t="s">
        <v>275</v>
      </c>
      <c r="D11" s="415" t="s">
        <v>276</v>
      </c>
      <c r="E11" s="414" t="s">
        <v>280</v>
      </c>
      <c r="F11" s="415" t="s">
        <v>281</v>
      </c>
      <c r="G11" s="414" t="s">
        <v>293</v>
      </c>
      <c r="H11" s="414" t="s">
        <v>294</v>
      </c>
      <c r="I11" s="416">
        <v>1.1699999570846558</v>
      </c>
      <c r="J11" s="416">
        <v>200</v>
      </c>
      <c r="K11" s="417">
        <v>234</v>
      </c>
    </row>
    <row r="12" spans="1:11" ht="14.4" customHeight="1" x14ac:dyDescent="0.3">
      <c r="A12" s="412" t="s">
        <v>263</v>
      </c>
      <c r="B12" s="413" t="s">
        <v>264</v>
      </c>
      <c r="C12" s="414" t="s">
        <v>275</v>
      </c>
      <c r="D12" s="415" t="s">
        <v>276</v>
      </c>
      <c r="E12" s="414" t="s">
        <v>280</v>
      </c>
      <c r="F12" s="415" t="s">
        <v>281</v>
      </c>
      <c r="G12" s="414" t="s">
        <v>295</v>
      </c>
      <c r="H12" s="414" t="s">
        <v>296</v>
      </c>
      <c r="I12" s="416">
        <v>2.8450000286102295</v>
      </c>
      <c r="J12" s="416">
        <v>140</v>
      </c>
      <c r="K12" s="417">
        <v>398.01998901367188</v>
      </c>
    </row>
    <row r="13" spans="1:11" ht="14.4" customHeight="1" x14ac:dyDescent="0.3">
      <c r="A13" s="412" t="s">
        <v>263</v>
      </c>
      <c r="B13" s="413" t="s">
        <v>264</v>
      </c>
      <c r="C13" s="414" t="s">
        <v>275</v>
      </c>
      <c r="D13" s="415" t="s">
        <v>276</v>
      </c>
      <c r="E13" s="414" t="s">
        <v>280</v>
      </c>
      <c r="F13" s="415" t="s">
        <v>281</v>
      </c>
      <c r="G13" s="414" t="s">
        <v>297</v>
      </c>
      <c r="H13" s="414" t="s">
        <v>298</v>
      </c>
      <c r="I13" s="416">
        <v>36.330001831054688</v>
      </c>
      <c r="J13" s="416">
        <v>75</v>
      </c>
      <c r="K13" s="417">
        <v>2724.840087890625</v>
      </c>
    </row>
    <row r="14" spans="1:11" ht="14.4" customHeight="1" x14ac:dyDescent="0.3">
      <c r="A14" s="412" t="s">
        <v>263</v>
      </c>
      <c r="B14" s="413" t="s">
        <v>264</v>
      </c>
      <c r="C14" s="414" t="s">
        <v>275</v>
      </c>
      <c r="D14" s="415" t="s">
        <v>276</v>
      </c>
      <c r="E14" s="414" t="s">
        <v>280</v>
      </c>
      <c r="F14" s="415" t="s">
        <v>281</v>
      </c>
      <c r="G14" s="414" t="s">
        <v>299</v>
      </c>
      <c r="H14" s="414" t="s">
        <v>300</v>
      </c>
      <c r="I14" s="416">
        <v>14.800000190734863</v>
      </c>
      <c r="J14" s="416">
        <v>100</v>
      </c>
      <c r="K14" s="417">
        <v>1480.030029296875</v>
      </c>
    </row>
    <row r="15" spans="1:11" ht="14.4" customHeight="1" x14ac:dyDescent="0.3">
      <c r="A15" s="412" t="s">
        <v>263</v>
      </c>
      <c r="B15" s="413" t="s">
        <v>264</v>
      </c>
      <c r="C15" s="414" t="s">
        <v>275</v>
      </c>
      <c r="D15" s="415" t="s">
        <v>276</v>
      </c>
      <c r="E15" s="414" t="s">
        <v>280</v>
      </c>
      <c r="F15" s="415" t="s">
        <v>281</v>
      </c>
      <c r="G15" s="414" t="s">
        <v>301</v>
      </c>
      <c r="H15" s="414" t="s">
        <v>302</v>
      </c>
      <c r="I15" s="416">
        <v>215.3800048828125</v>
      </c>
      <c r="J15" s="416">
        <v>100</v>
      </c>
      <c r="K15" s="417">
        <v>21537.8798828125</v>
      </c>
    </row>
    <row r="16" spans="1:11" ht="14.4" customHeight="1" x14ac:dyDescent="0.3">
      <c r="A16" s="412" t="s">
        <v>263</v>
      </c>
      <c r="B16" s="413" t="s">
        <v>264</v>
      </c>
      <c r="C16" s="414" t="s">
        <v>275</v>
      </c>
      <c r="D16" s="415" t="s">
        <v>276</v>
      </c>
      <c r="E16" s="414" t="s">
        <v>280</v>
      </c>
      <c r="F16" s="415" t="s">
        <v>281</v>
      </c>
      <c r="G16" s="414" t="s">
        <v>303</v>
      </c>
      <c r="H16" s="414" t="s">
        <v>304</v>
      </c>
      <c r="I16" s="416">
        <v>227.3699951171875</v>
      </c>
      <c r="J16" s="416">
        <v>125</v>
      </c>
      <c r="K16" s="417">
        <v>28421.2900390625</v>
      </c>
    </row>
    <row r="17" spans="1:11" ht="14.4" customHeight="1" x14ac:dyDescent="0.3">
      <c r="A17" s="412" t="s">
        <v>263</v>
      </c>
      <c r="B17" s="413" t="s">
        <v>264</v>
      </c>
      <c r="C17" s="414" t="s">
        <v>275</v>
      </c>
      <c r="D17" s="415" t="s">
        <v>276</v>
      </c>
      <c r="E17" s="414" t="s">
        <v>280</v>
      </c>
      <c r="F17" s="415" t="s">
        <v>281</v>
      </c>
      <c r="G17" s="414" t="s">
        <v>305</v>
      </c>
      <c r="H17" s="414" t="s">
        <v>306</v>
      </c>
      <c r="I17" s="416">
        <v>1.5149999856948853</v>
      </c>
      <c r="J17" s="416">
        <v>350</v>
      </c>
      <c r="K17" s="417">
        <v>530.5</v>
      </c>
    </row>
    <row r="18" spans="1:11" ht="14.4" customHeight="1" x14ac:dyDescent="0.3">
      <c r="A18" s="412" t="s">
        <v>263</v>
      </c>
      <c r="B18" s="413" t="s">
        <v>264</v>
      </c>
      <c r="C18" s="414" t="s">
        <v>275</v>
      </c>
      <c r="D18" s="415" t="s">
        <v>276</v>
      </c>
      <c r="E18" s="414" t="s">
        <v>280</v>
      </c>
      <c r="F18" s="415" t="s">
        <v>281</v>
      </c>
      <c r="G18" s="414" t="s">
        <v>307</v>
      </c>
      <c r="H18" s="414" t="s">
        <v>308</v>
      </c>
      <c r="I18" s="416">
        <v>2.0649999380111694</v>
      </c>
      <c r="J18" s="416">
        <v>30</v>
      </c>
      <c r="K18" s="417">
        <v>61.94999885559082</v>
      </c>
    </row>
    <row r="19" spans="1:11" ht="14.4" customHeight="1" x14ac:dyDescent="0.3">
      <c r="A19" s="412" t="s">
        <v>263</v>
      </c>
      <c r="B19" s="413" t="s">
        <v>264</v>
      </c>
      <c r="C19" s="414" t="s">
        <v>275</v>
      </c>
      <c r="D19" s="415" t="s">
        <v>276</v>
      </c>
      <c r="E19" s="414" t="s">
        <v>280</v>
      </c>
      <c r="F19" s="415" t="s">
        <v>281</v>
      </c>
      <c r="G19" s="414" t="s">
        <v>309</v>
      </c>
      <c r="H19" s="414" t="s">
        <v>310</v>
      </c>
      <c r="I19" s="416">
        <v>7.0628570147923062</v>
      </c>
      <c r="J19" s="416">
        <v>12</v>
      </c>
      <c r="K19" s="417">
        <v>85.059998512268066</v>
      </c>
    </row>
    <row r="20" spans="1:11" ht="14.4" customHeight="1" x14ac:dyDescent="0.3">
      <c r="A20" s="412" t="s">
        <v>263</v>
      </c>
      <c r="B20" s="413" t="s">
        <v>264</v>
      </c>
      <c r="C20" s="414" t="s">
        <v>275</v>
      </c>
      <c r="D20" s="415" t="s">
        <v>276</v>
      </c>
      <c r="E20" s="414" t="s">
        <v>280</v>
      </c>
      <c r="F20" s="415" t="s">
        <v>281</v>
      </c>
      <c r="G20" s="414" t="s">
        <v>311</v>
      </c>
      <c r="H20" s="414" t="s">
        <v>312</v>
      </c>
      <c r="I20" s="416">
        <v>42.437999725341797</v>
      </c>
      <c r="J20" s="416">
        <v>26</v>
      </c>
      <c r="K20" s="417">
        <v>1103.3300018310547</v>
      </c>
    </row>
    <row r="21" spans="1:11" ht="14.4" customHeight="1" x14ac:dyDescent="0.3">
      <c r="A21" s="412" t="s">
        <v>263</v>
      </c>
      <c r="B21" s="413" t="s">
        <v>264</v>
      </c>
      <c r="C21" s="414" t="s">
        <v>275</v>
      </c>
      <c r="D21" s="415" t="s">
        <v>276</v>
      </c>
      <c r="E21" s="414" t="s">
        <v>280</v>
      </c>
      <c r="F21" s="415" t="s">
        <v>281</v>
      </c>
      <c r="G21" s="414" t="s">
        <v>313</v>
      </c>
      <c r="H21" s="414" t="s">
        <v>314</v>
      </c>
      <c r="I21" s="416">
        <v>72.220001220703125</v>
      </c>
      <c r="J21" s="416">
        <v>9</v>
      </c>
      <c r="K21" s="417">
        <v>649.98001098632813</v>
      </c>
    </row>
    <row r="22" spans="1:11" ht="14.4" customHeight="1" x14ac:dyDescent="0.3">
      <c r="A22" s="412" t="s">
        <v>263</v>
      </c>
      <c r="B22" s="413" t="s">
        <v>264</v>
      </c>
      <c r="C22" s="414" t="s">
        <v>275</v>
      </c>
      <c r="D22" s="415" t="s">
        <v>276</v>
      </c>
      <c r="E22" s="414" t="s">
        <v>280</v>
      </c>
      <c r="F22" s="415" t="s">
        <v>281</v>
      </c>
      <c r="G22" s="414" t="s">
        <v>315</v>
      </c>
      <c r="H22" s="414" t="s">
        <v>316</v>
      </c>
      <c r="I22" s="416">
        <v>34.189998626708984</v>
      </c>
      <c r="J22" s="416">
        <v>100</v>
      </c>
      <c r="K22" s="417">
        <v>3419.219970703125</v>
      </c>
    </row>
    <row r="23" spans="1:11" ht="14.4" customHeight="1" x14ac:dyDescent="0.3">
      <c r="A23" s="412" t="s">
        <v>263</v>
      </c>
      <c r="B23" s="413" t="s">
        <v>264</v>
      </c>
      <c r="C23" s="414" t="s">
        <v>275</v>
      </c>
      <c r="D23" s="415" t="s">
        <v>276</v>
      </c>
      <c r="E23" s="414" t="s">
        <v>280</v>
      </c>
      <c r="F23" s="415" t="s">
        <v>281</v>
      </c>
      <c r="G23" s="414" t="s">
        <v>317</v>
      </c>
      <c r="H23" s="414" t="s">
        <v>318</v>
      </c>
      <c r="I23" s="416">
        <v>0.66521741255469946</v>
      </c>
      <c r="J23" s="416">
        <v>2970</v>
      </c>
      <c r="K23" s="417">
        <v>1975.7000007629395</v>
      </c>
    </row>
    <row r="24" spans="1:11" ht="14.4" customHeight="1" x14ac:dyDescent="0.3">
      <c r="A24" s="412" t="s">
        <v>263</v>
      </c>
      <c r="B24" s="413" t="s">
        <v>264</v>
      </c>
      <c r="C24" s="414" t="s">
        <v>275</v>
      </c>
      <c r="D24" s="415" t="s">
        <v>276</v>
      </c>
      <c r="E24" s="414" t="s">
        <v>319</v>
      </c>
      <c r="F24" s="415" t="s">
        <v>320</v>
      </c>
      <c r="G24" s="414" t="s">
        <v>321</v>
      </c>
      <c r="H24" s="414" t="s">
        <v>322</v>
      </c>
      <c r="I24" s="416">
        <v>12.340000152587891</v>
      </c>
      <c r="J24" s="416">
        <v>40</v>
      </c>
      <c r="K24" s="417">
        <v>493.70001220703125</v>
      </c>
    </row>
    <row r="25" spans="1:11" ht="14.4" customHeight="1" x14ac:dyDescent="0.3">
      <c r="A25" s="412" t="s">
        <v>263</v>
      </c>
      <c r="B25" s="413" t="s">
        <v>264</v>
      </c>
      <c r="C25" s="414" t="s">
        <v>275</v>
      </c>
      <c r="D25" s="415" t="s">
        <v>276</v>
      </c>
      <c r="E25" s="414" t="s">
        <v>319</v>
      </c>
      <c r="F25" s="415" t="s">
        <v>320</v>
      </c>
      <c r="G25" s="414" t="s">
        <v>323</v>
      </c>
      <c r="H25" s="414" t="s">
        <v>324</v>
      </c>
      <c r="I25" s="416">
        <v>11.144999980926514</v>
      </c>
      <c r="J25" s="416">
        <v>100</v>
      </c>
      <c r="K25" s="417">
        <v>1114.5</v>
      </c>
    </row>
    <row r="26" spans="1:11" ht="14.4" customHeight="1" x14ac:dyDescent="0.3">
      <c r="A26" s="412" t="s">
        <v>263</v>
      </c>
      <c r="B26" s="413" t="s">
        <v>264</v>
      </c>
      <c r="C26" s="414" t="s">
        <v>275</v>
      </c>
      <c r="D26" s="415" t="s">
        <v>276</v>
      </c>
      <c r="E26" s="414" t="s">
        <v>319</v>
      </c>
      <c r="F26" s="415" t="s">
        <v>320</v>
      </c>
      <c r="G26" s="414" t="s">
        <v>325</v>
      </c>
      <c r="H26" s="414" t="s">
        <v>326</v>
      </c>
      <c r="I26" s="416">
        <v>99.239997863769531</v>
      </c>
      <c r="J26" s="416">
        <v>50</v>
      </c>
      <c r="K26" s="417">
        <v>4962.2099609375</v>
      </c>
    </row>
    <row r="27" spans="1:11" ht="14.4" customHeight="1" x14ac:dyDescent="0.3">
      <c r="A27" s="412" t="s">
        <v>263</v>
      </c>
      <c r="B27" s="413" t="s">
        <v>264</v>
      </c>
      <c r="C27" s="414" t="s">
        <v>275</v>
      </c>
      <c r="D27" s="415" t="s">
        <v>276</v>
      </c>
      <c r="E27" s="414" t="s">
        <v>319</v>
      </c>
      <c r="F27" s="415" t="s">
        <v>320</v>
      </c>
      <c r="G27" s="414" t="s">
        <v>327</v>
      </c>
      <c r="H27" s="414" t="s">
        <v>328</v>
      </c>
      <c r="I27" s="416">
        <v>6.1514815401147915</v>
      </c>
      <c r="J27" s="416">
        <v>1050</v>
      </c>
      <c r="K27" s="417">
        <v>6459.2999877929688</v>
      </c>
    </row>
    <row r="28" spans="1:11" ht="14.4" customHeight="1" x14ac:dyDescent="0.3">
      <c r="A28" s="412" t="s">
        <v>263</v>
      </c>
      <c r="B28" s="413" t="s">
        <v>264</v>
      </c>
      <c r="C28" s="414" t="s">
        <v>275</v>
      </c>
      <c r="D28" s="415" t="s">
        <v>276</v>
      </c>
      <c r="E28" s="414" t="s">
        <v>319</v>
      </c>
      <c r="F28" s="415" t="s">
        <v>320</v>
      </c>
      <c r="G28" s="414" t="s">
        <v>329</v>
      </c>
      <c r="H28" s="414" t="s">
        <v>330</v>
      </c>
      <c r="I28" s="416">
        <v>6.1533333460489912</v>
      </c>
      <c r="J28" s="416">
        <v>130</v>
      </c>
      <c r="K28" s="417">
        <v>800.10000610351563</v>
      </c>
    </row>
    <row r="29" spans="1:11" ht="14.4" customHeight="1" x14ac:dyDescent="0.3">
      <c r="A29" s="412" t="s">
        <v>263</v>
      </c>
      <c r="B29" s="413" t="s">
        <v>264</v>
      </c>
      <c r="C29" s="414" t="s">
        <v>275</v>
      </c>
      <c r="D29" s="415" t="s">
        <v>276</v>
      </c>
      <c r="E29" s="414" t="s">
        <v>319</v>
      </c>
      <c r="F29" s="415" t="s">
        <v>320</v>
      </c>
      <c r="G29" s="414" t="s">
        <v>331</v>
      </c>
      <c r="H29" s="414" t="s">
        <v>332</v>
      </c>
      <c r="I29" s="416">
        <v>3.4580000400543214</v>
      </c>
      <c r="J29" s="416">
        <v>210</v>
      </c>
      <c r="K29" s="417">
        <v>726.29999542236328</v>
      </c>
    </row>
    <row r="30" spans="1:11" ht="14.4" customHeight="1" x14ac:dyDescent="0.3">
      <c r="A30" s="412" t="s">
        <v>263</v>
      </c>
      <c r="B30" s="413" t="s">
        <v>264</v>
      </c>
      <c r="C30" s="414" t="s">
        <v>275</v>
      </c>
      <c r="D30" s="415" t="s">
        <v>276</v>
      </c>
      <c r="E30" s="414" t="s">
        <v>319</v>
      </c>
      <c r="F30" s="415" t="s">
        <v>320</v>
      </c>
      <c r="G30" s="414" t="s">
        <v>333</v>
      </c>
      <c r="H30" s="414" t="s">
        <v>334</v>
      </c>
      <c r="I30" s="416">
        <v>5.4455554750230579</v>
      </c>
      <c r="J30" s="416">
        <v>340</v>
      </c>
      <c r="K30" s="417">
        <v>1851.8000030517578</v>
      </c>
    </row>
    <row r="31" spans="1:11" ht="14.4" customHeight="1" x14ac:dyDescent="0.3">
      <c r="A31" s="412" t="s">
        <v>263</v>
      </c>
      <c r="B31" s="413" t="s">
        <v>264</v>
      </c>
      <c r="C31" s="414" t="s">
        <v>275</v>
      </c>
      <c r="D31" s="415" t="s">
        <v>276</v>
      </c>
      <c r="E31" s="414" t="s">
        <v>319</v>
      </c>
      <c r="F31" s="415" t="s">
        <v>320</v>
      </c>
      <c r="G31" s="414" t="s">
        <v>335</v>
      </c>
      <c r="H31" s="414" t="s">
        <v>336</v>
      </c>
      <c r="I31" s="416">
        <v>3.380000114440918</v>
      </c>
      <c r="J31" s="416">
        <v>5</v>
      </c>
      <c r="K31" s="417">
        <v>16.899999618530273</v>
      </c>
    </row>
    <row r="32" spans="1:11" ht="14.4" customHeight="1" x14ac:dyDescent="0.3">
      <c r="A32" s="412" t="s">
        <v>263</v>
      </c>
      <c r="B32" s="413" t="s">
        <v>264</v>
      </c>
      <c r="C32" s="414" t="s">
        <v>275</v>
      </c>
      <c r="D32" s="415" t="s">
        <v>276</v>
      </c>
      <c r="E32" s="414" t="s">
        <v>319</v>
      </c>
      <c r="F32" s="415" t="s">
        <v>320</v>
      </c>
      <c r="G32" s="414" t="s">
        <v>337</v>
      </c>
      <c r="H32" s="414" t="s">
        <v>338</v>
      </c>
      <c r="I32" s="416">
        <v>37.75</v>
      </c>
      <c r="J32" s="416">
        <v>40</v>
      </c>
      <c r="K32" s="417">
        <v>1510.0999755859375</v>
      </c>
    </row>
    <row r="33" spans="1:11" ht="14.4" customHeight="1" x14ac:dyDescent="0.3">
      <c r="A33" s="412" t="s">
        <v>263</v>
      </c>
      <c r="B33" s="413" t="s">
        <v>264</v>
      </c>
      <c r="C33" s="414" t="s">
        <v>275</v>
      </c>
      <c r="D33" s="415" t="s">
        <v>276</v>
      </c>
      <c r="E33" s="414" t="s">
        <v>319</v>
      </c>
      <c r="F33" s="415" t="s">
        <v>320</v>
      </c>
      <c r="G33" s="414" t="s">
        <v>339</v>
      </c>
      <c r="H33" s="414" t="s">
        <v>340</v>
      </c>
      <c r="I33" s="416">
        <v>4.0294738819724634</v>
      </c>
      <c r="J33" s="416">
        <v>770</v>
      </c>
      <c r="K33" s="417">
        <v>3102.6000137329102</v>
      </c>
    </row>
    <row r="34" spans="1:11" ht="14.4" customHeight="1" x14ac:dyDescent="0.3">
      <c r="A34" s="412" t="s">
        <v>263</v>
      </c>
      <c r="B34" s="413" t="s">
        <v>264</v>
      </c>
      <c r="C34" s="414" t="s">
        <v>275</v>
      </c>
      <c r="D34" s="415" t="s">
        <v>276</v>
      </c>
      <c r="E34" s="414" t="s">
        <v>319</v>
      </c>
      <c r="F34" s="415" t="s">
        <v>320</v>
      </c>
      <c r="G34" s="414" t="s">
        <v>341</v>
      </c>
      <c r="H34" s="414" t="s">
        <v>342</v>
      </c>
      <c r="I34" s="416">
        <v>18.149999618530273</v>
      </c>
      <c r="J34" s="416">
        <v>50</v>
      </c>
      <c r="K34" s="417">
        <v>907.5</v>
      </c>
    </row>
    <row r="35" spans="1:11" ht="14.4" customHeight="1" x14ac:dyDescent="0.3">
      <c r="A35" s="412" t="s">
        <v>263</v>
      </c>
      <c r="B35" s="413" t="s">
        <v>264</v>
      </c>
      <c r="C35" s="414" t="s">
        <v>275</v>
      </c>
      <c r="D35" s="415" t="s">
        <v>276</v>
      </c>
      <c r="E35" s="414" t="s">
        <v>319</v>
      </c>
      <c r="F35" s="415" t="s">
        <v>320</v>
      </c>
      <c r="G35" s="414" t="s">
        <v>343</v>
      </c>
      <c r="H35" s="414" t="s">
        <v>344</v>
      </c>
      <c r="I35" s="416">
        <v>9.5076470936045929</v>
      </c>
      <c r="J35" s="416">
        <v>1035</v>
      </c>
      <c r="K35" s="417">
        <v>9845.1000671386719</v>
      </c>
    </row>
    <row r="36" spans="1:11" ht="14.4" customHeight="1" x14ac:dyDescent="0.3">
      <c r="A36" s="412" t="s">
        <v>263</v>
      </c>
      <c r="B36" s="413" t="s">
        <v>264</v>
      </c>
      <c r="C36" s="414" t="s">
        <v>275</v>
      </c>
      <c r="D36" s="415" t="s">
        <v>276</v>
      </c>
      <c r="E36" s="414" t="s">
        <v>319</v>
      </c>
      <c r="F36" s="415" t="s">
        <v>320</v>
      </c>
      <c r="G36" s="414" t="s">
        <v>345</v>
      </c>
      <c r="H36" s="414" t="s">
        <v>346</v>
      </c>
      <c r="I36" s="416">
        <v>10.077499866485596</v>
      </c>
      <c r="J36" s="416">
        <v>120</v>
      </c>
      <c r="K36" s="417">
        <v>1209.2999877929688</v>
      </c>
    </row>
    <row r="37" spans="1:11" ht="14.4" customHeight="1" x14ac:dyDescent="0.3">
      <c r="A37" s="412" t="s">
        <v>263</v>
      </c>
      <c r="B37" s="413" t="s">
        <v>264</v>
      </c>
      <c r="C37" s="414" t="s">
        <v>275</v>
      </c>
      <c r="D37" s="415" t="s">
        <v>276</v>
      </c>
      <c r="E37" s="414" t="s">
        <v>319</v>
      </c>
      <c r="F37" s="415" t="s">
        <v>320</v>
      </c>
      <c r="G37" s="414" t="s">
        <v>347</v>
      </c>
      <c r="H37" s="414" t="s">
        <v>348</v>
      </c>
      <c r="I37" s="416">
        <v>10.073999786376953</v>
      </c>
      <c r="J37" s="416">
        <v>330</v>
      </c>
      <c r="K37" s="417">
        <v>3324.6400146484375</v>
      </c>
    </row>
    <row r="38" spans="1:11" ht="14.4" customHeight="1" x14ac:dyDescent="0.3">
      <c r="A38" s="412" t="s">
        <v>263</v>
      </c>
      <c r="B38" s="413" t="s">
        <v>264</v>
      </c>
      <c r="C38" s="414" t="s">
        <v>275</v>
      </c>
      <c r="D38" s="415" t="s">
        <v>276</v>
      </c>
      <c r="E38" s="414" t="s">
        <v>319</v>
      </c>
      <c r="F38" s="415" t="s">
        <v>320</v>
      </c>
      <c r="G38" s="414" t="s">
        <v>349</v>
      </c>
      <c r="H38" s="414" t="s">
        <v>350</v>
      </c>
      <c r="I38" s="416">
        <v>10.078571319580078</v>
      </c>
      <c r="J38" s="416">
        <v>210</v>
      </c>
      <c r="K38" s="417">
        <v>2115.7900390625</v>
      </c>
    </row>
    <row r="39" spans="1:11" ht="14.4" customHeight="1" x14ac:dyDescent="0.3">
      <c r="A39" s="412" t="s">
        <v>263</v>
      </c>
      <c r="B39" s="413" t="s">
        <v>264</v>
      </c>
      <c r="C39" s="414" t="s">
        <v>275</v>
      </c>
      <c r="D39" s="415" t="s">
        <v>276</v>
      </c>
      <c r="E39" s="414" t="s">
        <v>319</v>
      </c>
      <c r="F39" s="415" t="s">
        <v>320</v>
      </c>
      <c r="G39" s="414" t="s">
        <v>351</v>
      </c>
      <c r="H39" s="414" t="s">
        <v>352</v>
      </c>
      <c r="I39" s="416">
        <v>3.1500000953674316</v>
      </c>
      <c r="J39" s="416">
        <v>30</v>
      </c>
      <c r="K39" s="417">
        <v>94.5</v>
      </c>
    </row>
    <row r="40" spans="1:11" ht="14.4" customHeight="1" x14ac:dyDescent="0.3">
      <c r="A40" s="412" t="s">
        <v>263</v>
      </c>
      <c r="B40" s="413" t="s">
        <v>264</v>
      </c>
      <c r="C40" s="414" t="s">
        <v>275</v>
      </c>
      <c r="D40" s="415" t="s">
        <v>276</v>
      </c>
      <c r="E40" s="414" t="s">
        <v>319</v>
      </c>
      <c r="F40" s="415" t="s">
        <v>320</v>
      </c>
      <c r="G40" s="414" t="s">
        <v>353</v>
      </c>
      <c r="H40" s="414" t="s">
        <v>354</v>
      </c>
      <c r="I40" s="416">
        <v>11.736551416331324</v>
      </c>
      <c r="J40" s="416">
        <v>51</v>
      </c>
      <c r="K40" s="417">
        <v>598.61000061035156</v>
      </c>
    </row>
    <row r="41" spans="1:11" ht="14.4" customHeight="1" x14ac:dyDescent="0.3">
      <c r="A41" s="412" t="s">
        <v>263</v>
      </c>
      <c r="B41" s="413" t="s">
        <v>264</v>
      </c>
      <c r="C41" s="414" t="s">
        <v>275</v>
      </c>
      <c r="D41" s="415" t="s">
        <v>276</v>
      </c>
      <c r="E41" s="414" t="s">
        <v>319</v>
      </c>
      <c r="F41" s="415" t="s">
        <v>320</v>
      </c>
      <c r="G41" s="414" t="s">
        <v>355</v>
      </c>
      <c r="H41" s="414" t="s">
        <v>356</v>
      </c>
      <c r="I41" s="416">
        <v>58.080001831054688</v>
      </c>
      <c r="J41" s="416">
        <v>210</v>
      </c>
      <c r="K41" s="417">
        <v>12196.800048828125</v>
      </c>
    </row>
    <row r="42" spans="1:11" ht="14.4" customHeight="1" x14ac:dyDescent="0.3">
      <c r="A42" s="412" t="s">
        <v>263</v>
      </c>
      <c r="B42" s="413" t="s">
        <v>264</v>
      </c>
      <c r="C42" s="414" t="s">
        <v>275</v>
      </c>
      <c r="D42" s="415" t="s">
        <v>276</v>
      </c>
      <c r="E42" s="414" t="s">
        <v>319</v>
      </c>
      <c r="F42" s="415" t="s">
        <v>320</v>
      </c>
      <c r="G42" s="414" t="s">
        <v>357</v>
      </c>
      <c r="H42" s="414" t="s">
        <v>358</v>
      </c>
      <c r="I42" s="416">
        <v>217.43857247488839</v>
      </c>
      <c r="J42" s="416">
        <v>480</v>
      </c>
      <c r="K42" s="417">
        <v>104370.6025390625</v>
      </c>
    </row>
    <row r="43" spans="1:11" ht="14.4" customHeight="1" x14ac:dyDescent="0.3">
      <c r="A43" s="412" t="s">
        <v>263</v>
      </c>
      <c r="B43" s="413" t="s">
        <v>264</v>
      </c>
      <c r="C43" s="414" t="s">
        <v>275</v>
      </c>
      <c r="D43" s="415" t="s">
        <v>276</v>
      </c>
      <c r="E43" s="414" t="s">
        <v>319</v>
      </c>
      <c r="F43" s="415" t="s">
        <v>320</v>
      </c>
      <c r="G43" s="414" t="s">
        <v>359</v>
      </c>
      <c r="H43" s="414" t="s">
        <v>360</v>
      </c>
      <c r="I43" s="416">
        <v>217.43499755859375</v>
      </c>
      <c r="J43" s="416">
        <v>64</v>
      </c>
      <c r="K43" s="417">
        <v>13915.8701171875</v>
      </c>
    </row>
    <row r="44" spans="1:11" ht="14.4" customHeight="1" x14ac:dyDescent="0.3">
      <c r="A44" s="412" t="s">
        <v>263</v>
      </c>
      <c r="B44" s="413" t="s">
        <v>264</v>
      </c>
      <c r="C44" s="414" t="s">
        <v>275</v>
      </c>
      <c r="D44" s="415" t="s">
        <v>276</v>
      </c>
      <c r="E44" s="414" t="s">
        <v>319</v>
      </c>
      <c r="F44" s="415" t="s">
        <v>320</v>
      </c>
      <c r="G44" s="414" t="s">
        <v>361</v>
      </c>
      <c r="H44" s="414" t="s">
        <v>362</v>
      </c>
      <c r="I44" s="416">
        <v>1.0888889233271282</v>
      </c>
      <c r="J44" s="416">
        <v>3850</v>
      </c>
      <c r="K44" s="417">
        <v>4192.5</v>
      </c>
    </row>
    <row r="45" spans="1:11" ht="14.4" customHeight="1" x14ac:dyDescent="0.3">
      <c r="A45" s="412" t="s">
        <v>263</v>
      </c>
      <c r="B45" s="413" t="s">
        <v>264</v>
      </c>
      <c r="C45" s="414" t="s">
        <v>275</v>
      </c>
      <c r="D45" s="415" t="s">
        <v>276</v>
      </c>
      <c r="E45" s="414" t="s">
        <v>319</v>
      </c>
      <c r="F45" s="415" t="s">
        <v>320</v>
      </c>
      <c r="G45" s="414" t="s">
        <v>363</v>
      </c>
      <c r="H45" s="414" t="s">
        <v>364</v>
      </c>
      <c r="I45" s="416">
        <v>1.67249995470047</v>
      </c>
      <c r="J45" s="416">
        <v>1149</v>
      </c>
      <c r="K45" s="417">
        <v>1921.760009765625</v>
      </c>
    </row>
    <row r="46" spans="1:11" ht="14.4" customHeight="1" x14ac:dyDescent="0.3">
      <c r="A46" s="412" t="s">
        <v>263</v>
      </c>
      <c r="B46" s="413" t="s">
        <v>264</v>
      </c>
      <c r="C46" s="414" t="s">
        <v>275</v>
      </c>
      <c r="D46" s="415" t="s">
        <v>276</v>
      </c>
      <c r="E46" s="414" t="s">
        <v>319</v>
      </c>
      <c r="F46" s="415" t="s">
        <v>320</v>
      </c>
      <c r="G46" s="414" t="s">
        <v>365</v>
      </c>
      <c r="H46" s="414" t="s">
        <v>366</v>
      </c>
      <c r="I46" s="416">
        <v>0.67000001668930054</v>
      </c>
      <c r="J46" s="416">
        <v>300</v>
      </c>
      <c r="K46" s="417">
        <v>201</v>
      </c>
    </row>
    <row r="47" spans="1:11" ht="14.4" customHeight="1" x14ac:dyDescent="0.3">
      <c r="A47" s="412" t="s">
        <v>263</v>
      </c>
      <c r="B47" s="413" t="s">
        <v>264</v>
      </c>
      <c r="C47" s="414" t="s">
        <v>275</v>
      </c>
      <c r="D47" s="415" t="s">
        <v>276</v>
      </c>
      <c r="E47" s="414" t="s">
        <v>319</v>
      </c>
      <c r="F47" s="415" t="s">
        <v>320</v>
      </c>
      <c r="G47" s="414" t="s">
        <v>367</v>
      </c>
      <c r="H47" s="414" t="s">
        <v>368</v>
      </c>
      <c r="I47" s="416">
        <v>1.5019999980926513</v>
      </c>
      <c r="J47" s="416">
        <v>150</v>
      </c>
      <c r="K47" s="417">
        <v>225.29999923706055</v>
      </c>
    </row>
    <row r="48" spans="1:11" ht="14.4" customHeight="1" x14ac:dyDescent="0.3">
      <c r="A48" s="412" t="s">
        <v>263</v>
      </c>
      <c r="B48" s="413" t="s">
        <v>264</v>
      </c>
      <c r="C48" s="414" t="s">
        <v>275</v>
      </c>
      <c r="D48" s="415" t="s">
        <v>276</v>
      </c>
      <c r="E48" s="414" t="s">
        <v>319</v>
      </c>
      <c r="F48" s="415" t="s">
        <v>320</v>
      </c>
      <c r="G48" s="414" t="s">
        <v>369</v>
      </c>
      <c r="H48" s="414" t="s">
        <v>370</v>
      </c>
      <c r="I48" s="416">
        <v>5.2100000381469727</v>
      </c>
      <c r="J48" s="416">
        <v>270</v>
      </c>
      <c r="K48" s="417">
        <v>1406.6999816894531</v>
      </c>
    </row>
    <row r="49" spans="1:11" ht="14.4" customHeight="1" x14ac:dyDescent="0.3">
      <c r="A49" s="412" t="s">
        <v>263</v>
      </c>
      <c r="B49" s="413" t="s">
        <v>264</v>
      </c>
      <c r="C49" s="414" t="s">
        <v>275</v>
      </c>
      <c r="D49" s="415" t="s">
        <v>276</v>
      </c>
      <c r="E49" s="414" t="s">
        <v>319</v>
      </c>
      <c r="F49" s="415" t="s">
        <v>320</v>
      </c>
      <c r="G49" s="414" t="s">
        <v>371</v>
      </c>
      <c r="H49" s="414" t="s">
        <v>372</v>
      </c>
      <c r="I49" s="416">
        <v>17.059999465942383</v>
      </c>
      <c r="J49" s="416">
        <v>50</v>
      </c>
      <c r="K49" s="417">
        <v>853.0999755859375</v>
      </c>
    </row>
    <row r="50" spans="1:11" ht="14.4" customHeight="1" x14ac:dyDescent="0.3">
      <c r="A50" s="412" t="s">
        <v>263</v>
      </c>
      <c r="B50" s="413" t="s">
        <v>264</v>
      </c>
      <c r="C50" s="414" t="s">
        <v>275</v>
      </c>
      <c r="D50" s="415" t="s">
        <v>276</v>
      </c>
      <c r="E50" s="414" t="s">
        <v>319</v>
      </c>
      <c r="F50" s="415" t="s">
        <v>320</v>
      </c>
      <c r="G50" s="414" t="s">
        <v>373</v>
      </c>
      <c r="H50" s="414" t="s">
        <v>374</v>
      </c>
      <c r="I50" s="416">
        <v>0.4699999988079071</v>
      </c>
      <c r="J50" s="416">
        <v>100</v>
      </c>
      <c r="K50" s="417">
        <v>47</v>
      </c>
    </row>
    <row r="51" spans="1:11" ht="14.4" customHeight="1" x14ac:dyDescent="0.3">
      <c r="A51" s="412" t="s">
        <v>263</v>
      </c>
      <c r="B51" s="413" t="s">
        <v>264</v>
      </c>
      <c r="C51" s="414" t="s">
        <v>275</v>
      </c>
      <c r="D51" s="415" t="s">
        <v>276</v>
      </c>
      <c r="E51" s="414" t="s">
        <v>375</v>
      </c>
      <c r="F51" s="415" t="s">
        <v>376</v>
      </c>
      <c r="G51" s="414" t="s">
        <v>377</v>
      </c>
      <c r="H51" s="414" t="s">
        <v>378</v>
      </c>
      <c r="I51" s="416">
        <v>396.57832336425781</v>
      </c>
      <c r="J51" s="416">
        <v>320</v>
      </c>
      <c r="K51" s="417">
        <v>126904.7998046875</v>
      </c>
    </row>
    <row r="52" spans="1:11" ht="14.4" customHeight="1" x14ac:dyDescent="0.3">
      <c r="A52" s="412" t="s">
        <v>263</v>
      </c>
      <c r="B52" s="413" t="s">
        <v>264</v>
      </c>
      <c r="C52" s="414" t="s">
        <v>275</v>
      </c>
      <c r="D52" s="415" t="s">
        <v>276</v>
      </c>
      <c r="E52" s="414" t="s">
        <v>375</v>
      </c>
      <c r="F52" s="415" t="s">
        <v>376</v>
      </c>
      <c r="G52" s="414" t="s">
        <v>379</v>
      </c>
      <c r="H52" s="414" t="s">
        <v>380</v>
      </c>
      <c r="I52" s="416">
        <v>10.181428523290725</v>
      </c>
      <c r="J52" s="416">
        <v>2010</v>
      </c>
      <c r="K52" s="417">
        <v>20445.999824523926</v>
      </c>
    </row>
    <row r="53" spans="1:11" ht="14.4" customHeight="1" x14ac:dyDescent="0.3">
      <c r="A53" s="412" t="s">
        <v>263</v>
      </c>
      <c r="B53" s="413" t="s">
        <v>264</v>
      </c>
      <c r="C53" s="414" t="s">
        <v>275</v>
      </c>
      <c r="D53" s="415" t="s">
        <v>276</v>
      </c>
      <c r="E53" s="414" t="s">
        <v>375</v>
      </c>
      <c r="F53" s="415" t="s">
        <v>376</v>
      </c>
      <c r="G53" s="414" t="s">
        <v>381</v>
      </c>
      <c r="H53" s="414" t="s">
        <v>382</v>
      </c>
      <c r="I53" s="416">
        <v>162.6300048828125</v>
      </c>
      <c r="J53" s="416">
        <v>30</v>
      </c>
      <c r="K53" s="417">
        <v>4879</v>
      </c>
    </row>
    <row r="54" spans="1:11" ht="14.4" customHeight="1" x14ac:dyDescent="0.3">
      <c r="A54" s="412" t="s">
        <v>263</v>
      </c>
      <c r="B54" s="413" t="s">
        <v>264</v>
      </c>
      <c r="C54" s="414" t="s">
        <v>275</v>
      </c>
      <c r="D54" s="415" t="s">
        <v>276</v>
      </c>
      <c r="E54" s="414" t="s">
        <v>383</v>
      </c>
      <c r="F54" s="415" t="s">
        <v>384</v>
      </c>
      <c r="G54" s="414" t="s">
        <v>385</v>
      </c>
      <c r="H54" s="414" t="s">
        <v>386</v>
      </c>
      <c r="I54" s="416">
        <v>132.67999267578125</v>
      </c>
      <c r="J54" s="416">
        <v>50</v>
      </c>
      <c r="K54" s="417">
        <v>6633.81982421875</v>
      </c>
    </row>
    <row r="55" spans="1:11" ht="14.4" customHeight="1" x14ac:dyDescent="0.3">
      <c r="A55" s="412" t="s">
        <v>263</v>
      </c>
      <c r="B55" s="413" t="s">
        <v>264</v>
      </c>
      <c r="C55" s="414" t="s">
        <v>275</v>
      </c>
      <c r="D55" s="415" t="s">
        <v>276</v>
      </c>
      <c r="E55" s="414" t="s">
        <v>383</v>
      </c>
      <c r="F55" s="415" t="s">
        <v>384</v>
      </c>
      <c r="G55" s="414" t="s">
        <v>387</v>
      </c>
      <c r="H55" s="414" t="s">
        <v>388</v>
      </c>
      <c r="I55" s="416">
        <v>125.48000335693359</v>
      </c>
      <c r="J55" s="416">
        <v>24</v>
      </c>
      <c r="K55" s="417">
        <v>3011.419921875</v>
      </c>
    </row>
    <row r="56" spans="1:11" ht="14.4" customHeight="1" x14ac:dyDescent="0.3">
      <c r="A56" s="412" t="s">
        <v>263</v>
      </c>
      <c r="B56" s="413" t="s">
        <v>264</v>
      </c>
      <c r="C56" s="414" t="s">
        <v>275</v>
      </c>
      <c r="D56" s="415" t="s">
        <v>276</v>
      </c>
      <c r="E56" s="414" t="s">
        <v>383</v>
      </c>
      <c r="F56" s="415" t="s">
        <v>384</v>
      </c>
      <c r="G56" s="414" t="s">
        <v>389</v>
      </c>
      <c r="H56" s="414" t="s">
        <v>390</v>
      </c>
      <c r="I56" s="416">
        <v>0.31000000238418579</v>
      </c>
      <c r="J56" s="416">
        <v>100</v>
      </c>
      <c r="K56" s="417">
        <v>31</v>
      </c>
    </row>
    <row r="57" spans="1:11" ht="14.4" customHeight="1" x14ac:dyDescent="0.3">
      <c r="A57" s="412" t="s">
        <v>263</v>
      </c>
      <c r="B57" s="413" t="s">
        <v>264</v>
      </c>
      <c r="C57" s="414" t="s">
        <v>275</v>
      </c>
      <c r="D57" s="415" t="s">
        <v>276</v>
      </c>
      <c r="E57" s="414" t="s">
        <v>383</v>
      </c>
      <c r="F57" s="415" t="s">
        <v>384</v>
      </c>
      <c r="G57" s="414" t="s">
        <v>391</v>
      </c>
      <c r="H57" s="414" t="s">
        <v>392</v>
      </c>
      <c r="I57" s="416">
        <v>0.54382354722303505</v>
      </c>
      <c r="J57" s="416">
        <v>3751</v>
      </c>
      <c r="K57" s="417">
        <v>2037.5500000119209</v>
      </c>
    </row>
    <row r="58" spans="1:11" ht="14.4" customHeight="1" x14ac:dyDescent="0.3">
      <c r="A58" s="412" t="s">
        <v>263</v>
      </c>
      <c r="B58" s="413" t="s">
        <v>264</v>
      </c>
      <c r="C58" s="414" t="s">
        <v>275</v>
      </c>
      <c r="D58" s="415" t="s">
        <v>276</v>
      </c>
      <c r="E58" s="414" t="s">
        <v>393</v>
      </c>
      <c r="F58" s="415" t="s">
        <v>394</v>
      </c>
      <c r="G58" s="414" t="s">
        <v>395</v>
      </c>
      <c r="H58" s="414" t="s">
        <v>396</v>
      </c>
      <c r="I58" s="416">
        <v>0.63285713536398747</v>
      </c>
      <c r="J58" s="416">
        <v>1800</v>
      </c>
      <c r="K58" s="417">
        <v>1138</v>
      </c>
    </row>
    <row r="59" spans="1:11" ht="14.4" customHeight="1" x14ac:dyDescent="0.3">
      <c r="A59" s="412" t="s">
        <v>263</v>
      </c>
      <c r="B59" s="413" t="s">
        <v>264</v>
      </c>
      <c r="C59" s="414" t="s">
        <v>275</v>
      </c>
      <c r="D59" s="415" t="s">
        <v>276</v>
      </c>
      <c r="E59" s="414" t="s">
        <v>393</v>
      </c>
      <c r="F59" s="415" t="s">
        <v>394</v>
      </c>
      <c r="G59" s="414" t="s">
        <v>397</v>
      </c>
      <c r="H59" s="414" t="s">
        <v>398</v>
      </c>
      <c r="I59" s="416">
        <v>7.5100002288818359</v>
      </c>
      <c r="J59" s="416">
        <v>50</v>
      </c>
      <c r="K59" s="417">
        <v>375.5</v>
      </c>
    </row>
    <row r="60" spans="1:11" ht="14.4" customHeight="1" x14ac:dyDescent="0.3">
      <c r="A60" s="412" t="s">
        <v>263</v>
      </c>
      <c r="B60" s="413" t="s">
        <v>264</v>
      </c>
      <c r="C60" s="414" t="s">
        <v>275</v>
      </c>
      <c r="D60" s="415" t="s">
        <v>276</v>
      </c>
      <c r="E60" s="414" t="s">
        <v>393</v>
      </c>
      <c r="F60" s="415" t="s">
        <v>394</v>
      </c>
      <c r="G60" s="414" t="s">
        <v>399</v>
      </c>
      <c r="H60" s="414" t="s">
        <v>400</v>
      </c>
      <c r="I60" s="416">
        <v>7.5</v>
      </c>
      <c r="J60" s="416">
        <v>100</v>
      </c>
      <c r="K60" s="417">
        <v>750</v>
      </c>
    </row>
    <row r="61" spans="1:11" ht="14.4" customHeight="1" x14ac:dyDescent="0.3">
      <c r="A61" s="412" t="s">
        <v>263</v>
      </c>
      <c r="B61" s="413" t="s">
        <v>264</v>
      </c>
      <c r="C61" s="414" t="s">
        <v>275</v>
      </c>
      <c r="D61" s="415" t="s">
        <v>276</v>
      </c>
      <c r="E61" s="414" t="s">
        <v>393</v>
      </c>
      <c r="F61" s="415" t="s">
        <v>394</v>
      </c>
      <c r="G61" s="414" t="s">
        <v>401</v>
      </c>
      <c r="H61" s="414" t="s">
        <v>402</v>
      </c>
      <c r="I61" s="416">
        <v>7.5</v>
      </c>
      <c r="J61" s="416">
        <v>60</v>
      </c>
      <c r="K61" s="417">
        <v>450</v>
      </c>
    </row>
    <row r="62" spans="1:11" ht="14.4" customHeight="1" x14ac:dyDescent="0.3">
      <c r="A62" s="412" t="s">
        <v>263</v>
      </c>
      <c r="B62" s="413" t="s">
        <v>264</v>
      </c>
      <c r="C62" s="414" t="s">
        <v>275</v>
      </c>
      <c r="D62" s="415" t="s">
        <v>276</v>
      </c>
      <c r="E62" s="414" t="s">
        <v>393</v>
      </c>
      <c r="F62" s="415" t="s">
        <v>394</v>
      </c>
      <c r="G62" s="414" t="s">
        <v>403</v>
      </c>
      <c r="H62" s="414" t="s">
        <v>404</v>
      </c>
      <c r="I62" s="416">
        <v>7.5</v>
      </c>
      <c r="J62" s="416">
        <v>50</v>
      </c>
      <c r="K62" s="417">
        <v>375</v>
      </c>
    </row>
    <row r="63" spans="1:11" ht="14.4" customHeight="1" x14ac:dyDescent="0.3">
      <c r="A63" s="412" t="s">
        <v>263</v>
      </c>
      <c r="B63" s="413" t="s">
        <v>264</v>
      </c>
      <c r="C63" s="414" t="s">
        <v>275</v>
      </c>
      <c r="D63" s="415" t="s">
        <v>276</v>
      </c>
      <c r="E63" s="414" t="s">
        <v>393</v>
      </c>
      <c r="F63" s="415" t="s">
        <v>394</v>
      </c>
      <c r="G63" s="414" t="s">
        <v>399</v>
      </c>
      <c r="H63" s="414" t="s">
        <v>405</v>
      </c>
      <c r="I63" s="416">
        <v>7.5</v>
      </c>
      <c r="J63" s="416">
        <v>250</v>
      </c>
      <c r="K63" s="417">
        <v>1875</v>
      </c>
    </row>
    <row r="64" spans="1:11" ht="14.4" customHeight="1" x14ac:dyDescent="0.3">
      <c r="A64" s="412" t="s">
        <v>263</v>
      </c>
      <c r="B64" s="413" t="s">
        <v>264</v>
      </c>
      <c r="C64" s="414" t="s">
        <v>275</v>
      </c>
      <c r="D64" s="415" t="s">
        <v>276</v>
      </c>
      <c r="E64" s="414" t="s">
        <v>393</v>
      </c>
      <c r="F64" s="415" t="s">
        <v>394</v>
      </c>
      <c r="G64" s="414" t="s">
        <v>401</v>
      </c>
      <c r="H64" s="414" t="s">
        <v>406</v>
      </c>
      <c r="I64" s="416">
        <v>7.5033334096272783</v>
      </c>
      <c r="J64" s="416">
        <v>1260</v>
      </c>
      <c r="K64" s="417">
        <v>9454.6000061035156</v>
      </c>
    </row>
    <row r="65" spans="1:11" ht="14.4" customHeight="1" x14ac:dyDescent="0.3">
      <c r="A65" s="412" t="s">
        <v>263</v>
      </c>
      <c r="B65" s="413" t="s">
        <v>264</v>
      </c>
      <c r="C65" s="414" t="s">
        <v>275</v>
      </c>
      <c r="D65" s="415" t="s">
        <v>276</v>
      </c>
      <c r="E65" s="414" t="s">
        <v>393</v>
      </c>
      <c r="F65" s="415" t="s">
        <v>394</v>
      </c>
      <c r="G65" s="414" t="s">
        <v>403</v>
      </c>
      <c r="H65" s="414" t="s">
        <v>407</v>
      </c>
      <c r="I65" s="416">
        <v>7.494999885559082</v>
      </c>
      <c r="J65" s="416">
        <v>481</v>
      </c>
      <c r="K65" s="417">
        <v>3604.8899936676025</v>
      </c>
    </row>
    <row r="66" spans="1:11" ht="14.4" customHeight="1" x14ac:dyDescent="0.3">
      <c r="A66" s="412" t="s">
        <v>263</v>
      </c>
      <c r="B66" s="413" t="s">
        <v>264</v>
      </c>
      <c r="C66" s="414" t="s">
        <v>275</v>
      </c>
      <c r="D66" s="415" t="s">
        <v>276</v>
      </c>
      <c r="E66" s="414" t="s">
        <v>393</v>
      </c>
      <c r="F66" s="415" t="s">
        <v>394</v>
      </c>
      <c r="G66" s="414" t="s">
        <v>395</v>
      </c>
      <c r="H66" s="414" t="s">
        <v>408</v>
      </c>
      <c r="I66" s="416">
        <v>0.62000000476837158</v>
      </c>
      <c r="J66" s="416">
        <v>200</v>
      </c>
      <c r="K66" s="417">
        <v>124</v>
      </c>
    </row>
    <row r="67" spans="1:11" ht="14.4" customHeight="1" x14ac:dyDescent="0.3">
      <c r="A67" s="412" t="s">
        <v>263</v>
      </c>
      <c r="B67" s="413" t="s">
        <v>264</v>
      </c>
      <c r="C67" s="414" t="s">
        <v>275</v>
      </c>
      <c r="D67" s="415" t="s">
        <v>276</v>
      </c>
      <c r="E67" s="414" t="s">
        <v>409</v>
      </c>
      <c r="F67" s="415" t="s">
        <v>410</v>
      </c>
      <c r="G67" s="414" t="s">
        <v>411</v>
      </c>
      <c r="H67" s="414" t="s">
        <v>412</v>
      </c>
      <c r="I67" s="416">
        <v>4629.259765625</v>
      </c>
      <c r="J67" s="416">
        <v>3</v>
      </c>
      <c r="K67" s="417">
        <v>13887.76953125</v>
      </c>
    </row>
    <row r="68" spans="1:11" ht="14.4" customHeight="1" x14ac:dyDescent="0.3">
      <c r="A68" s="412" t="s">
        <v>263</v>
      </c>
      <c r="B68" s="413" t="s">
        <v>264</v>
      </c>
      <c r="C68" s="414" t="s">
        <v>275</v>
      </c>
      <c r="D68" s="415" t="s">
        <v>276</v>
      </c>
      <c r="E68" s="414" t="s">
        <v>413</v>
      </c>
      <c r="F68" s="415" t="s">
        <v>414</v>
      </c>
      <c r="G68" s="414" t="s">
        <v>282</v>
      </c>
      <c r="H68" s="414" t="s">
        <v>283</v>
      </c>
      <c r="I68" s="416">
        <v>93.150001525878906</v>
      </c>
      <c r="J68" s="416">
        <v>105</v>
      </c>
      <c r="K68" s="417">
        <v>9780.75</v>
      </c>
    </row>
    <row r="69" spans="1:11" ht="14.4" customHeight="1" x14ac:dyDescent="0.3">
      <c r="A69" s="412" t="s">
        <v>263</v>
      </c>
      <c r="B69" s="413" t="s">
        <v>264</v>
      </c>
      <c r="C69" s="414" t="s">
        <v>275</v>
      </c>
      <c r="D69" s="415" t="s">
        <v>276</v>
      </c>
      <c r="E69" s="414" t="s">
        <v>413</v>
      </c>
      <c r="F69" s="415" t="s">
        <v>414</v>
      </c>
      <c r="G69" s="414" t="s">
        <v>415</v>
      </c>
      <c r="H69" s="414" t="s">
        <v>416</v>
      </c>
      <c r="I69" s="416">
        <v>4368.43017578125</v>
      </c>
      <c r="J69" s="416">
        <v>5</v>
      </c>
      <c r="K69" s="417">
        <v>21842.130859375</v>
      </c>
    </row>
    <row r="70" spans="1:11" ht="14.4" customHeight="1" thickBot="1" x14ac:dyDescent="0.35">
      <c r="A70" s="418" t="s">
        <v>263</v>
      </c>
      <c r="B70" s="419" t="s">
        <v>264</v>
      </c>
      <c r="C70" s="420" t="s">
        <v>275</v>
      </c>
      <c r="D70" s="421" t="s">
        <v>276</v>
      </c>
      <c r="E70" s="420" t="s">
        <v>413</v>
      </c>
      <c r="F70" s="421" t="s">
        <v>414</v>
      </c>
      <c r="G70" s="420" t="s">
        <v>417</v>
      </c>
      <c r="H70" s="420" t="s">
        <v>418</v>
      </c>
      <c r="I70" s="422">
        <v>5526.06005859375</v>
      </c>
      <c r="J70" s="422">
        <v>2</v>
      </c>
      <c r="K70" s="423">
        <v>11052.1201171875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3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98" customWidth="1"/>
    <col min="18" max="18" width="7.33203125" style="229" customWidth="1"/>
    <col min="19" max="19" width="8" style="198" customWidth="1"/>
    <col min="21" max="21" width="11.21875" bestFit="1" customWidth="1"/>
  </cols>
  <sheetData>
    <row r="1" spans="1:19" ht="18.600000000000001" thickBot="1" x14ac:dyDescent="0.4">
      <c r="A1" s="308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" thickBot="1" x14ac:dyDescent="0.35">
      <c r="A2" s="199"/>
      <c r="B2" s="200"/>
    </row>
    <row r="3" spans="1:19" x14ac:dyDescent="0.3">
      <c r="A3" s="322" t="s">
        <v>135</v>
      </c>
      <c r="B3" s="323"/>
      <c r="C3" s="324" t="s">
        <v>124</v>
      </c>
      <c r="D3" s="325"/>
      <c r="E3" s="325"/>
      <c r="F3" s="326"/>
      <c r="G3" s="327" t="s">
        <v>125</v>
      </c>
      <c r="H3" s="328"/>
      <c r="I3" s="328"/>
      <c r="J3" s="329"/>
      <c r="K3" s="330" t="s">
        <v>134</v>
      </c>
      <c r="L3" s="331"/>
      <c r="M3" s="331"/>
      <c r="N3" s="331"/>
      <c r="O3" s="332"/>
      <c r="P3" s="328" t="s">
        <v>178</v>
      </c>
      <c r="Q3" s="328"/>
      <c r="R3" s="328"/>
      <c r="S3" s="329"/>
    </row>
    <row r="4" spans="1:19" ht="15" thickBot="1" x14ac:dyDescent="0.35">
      <c r="A4" s="341">
        <v>2018</v>
      </c>
      <c r="B4" s="342"/>
      <c r="C4" s="343" t="s">
        <v>177</v>
      </c>
      <c r="D4" s="345" t="s">
        <v>88</v>
      </c>
      <c r="E4" s="345" t="s">
        <v>56</v>
      </c>
      <c r="F4" s="320" t="s">
        <v>49</v>
      </c>
      <c r="G4" s="335" t="s">
        <v>126</v>
      </c>
      <c r="H4" s="337" t="s">
        <v>130</v>
      </c>
      <c r="I4" s="337" t="s">
        <v>176</v>
      </c>
      <c r="J4" s="339" t="s">
        <v>127</v>
      </c>
      <c r="K4" s="317" t="s">
        <v>175</v>
      </c>
      <c r="L4" s="318"/>
      <c r="M4" s="318"/>
      <c r="N4" s="319"/>
      <c r="O4" s="320" t="s">
        <v>174</v>
      </c>
      <c r="P4" s="309" t="s">
        <v>173</v>
      </c>
      <c r="Q4" s="309" t="s">
        <v>137</v>
      </c>
      <c r="R4" s="311" t="s">
        <v>56</v>
      </c>
      <c r="S4" s="313" t="s">
        <v>136</v>
      </c>
    </row>
    <row r="5" spans="1:19" s="264" customFormat="1" ht="19.2" customHeight="1" x14ac:dyDescent="0.3">
      <c r="A5" s="315" t="s">
        <v>172</v>
      </c>
      <c r="B5" s="316"/>
      <c r="C5" s="344"/>
      <c r="D5" s="346"/>
      <c r="E5" s="346"/>
      <c r="F5" s="321"/>
      <c r="G5" s="336"/>
      <c r="H5" s="338"/>
      <c r="I5" s="338"/>
      <c r="J5" s="340"/>
      <c r="K5" s="267" t="s">
        <v>128</v>
      </c>
      <c r="L5" s="266" t="s">
        <v>129</v>
      </c>
      <c r="M5" s="266" t="s">
        <v>171</v>
      </c>
      <c r="N5" s="265" t="s">
        <v>3</v>
      </c>
      <c r="O5" s="321"/>
      <c r="P5" s="310"/>
      <c r="Q5" s="310"/>
      <c r="R5" s="312"/>
      <c r="S5" s="314"/>
    </row>
    <row r="6" spans="1:19" ht="15" thickBot="1" x14ac:dyDescent="0.35">
      <c r="A6" s="333" t="s">
        <v>123</v>
      </c>
      <c r="B6" s="334"/>
      <c r="C6" s="263" t="e">
        <f ca="1">SUM(Tabulka[01 uv_sk])/2</f>
        <v>#REF!</v>
      </c>
      <c r="D6" s="261"/>
      <c r="E6" s="261"/>
      <c r="F6" s="260"/>
      <c r="G6" s="262" t="e">
        <f ca="1">SUM(Tabulka[05 h_vram])/2</f>
        <v>#REF!</v>
      </c>
      <c r="H6" s="261" t="e">
        <f ca="1">SUM(Tabulka[06 h_naduv])/2</f>
        <v>#REF!</v>
      </c>
      <c r="I6" s="261" t="e">
        <f ca="1">SUM(Tabulka[07 h_nadzk])/2</f>
        <v>#REF!</v>
      </c>
      <c r="J6" s="260" t="e">
        <f ca="1">SUM(Tabulka[08 h_oon])/2</f>
        <v>#REF!</v>
      </c>
      <c r="K6" s="262" t="e">
        <f ca="1">SUM(Tabulka[09 m_kl])/2</f>
        <v>#REF!</v>
      </c>
      <c r="L6" s="261" t="e">
        <f ca="1">SUM(Tabulka[10 m_gr])/2</f>
        <v>#REF!</v>
      </c>
      <c r="M6" s="261" t="e">
        <f ca="1">SUM(Tabulka[11 m_jo])/2</f>
        <v>#REF!</v>
      </c>
      <c r="N6" s="261" t="e">
        <f ca="1">SUM(Tabulka[12 m_oc])/2</f>
        <v>#REF!</v>
      </c>
      <c r="O6" s="260" t="e">
        <f ca="1">SUM(Tabulka[13 m_sk])/2</f>
        <v>#REF!</v>
      </c>
      <c r="P6" s="259" t="e">
        <f ca="1">SUM(Tabulka[14_vzsk])/2</f>
        <v>#REF!</v>
      </c>
      <c r="Q6" s="259" t="e">
        <f ca="1">SUM(Tabulka[15_vzpl])/2</f>
        <v>#REF!</v>
      </c>
      <c r="R6" s="258" t="e">
        <f ca="1">IF(Q6=0,0,P6/Q6)</f>
        <v>#REF!</v>
      </c>
      <c r="S6" s="257" t="e">
        <f ca="1">Q6-P6</f>
        <v>#REF!</v>
      </c>
    </row>
    <row r="7" spans="1:19" hidden="1" x14ac:dyDescent="0.3">
      <c r="A7" s="256" t="s">
        <v>170</v>
      </c>
      <c r="B7" s="255" t="s">
        <v>169</v>
      </c>
      <c r="C7" s="254" t="s">
        <v>168</v>
      </c>
      <c r="D7" s="253" t="s">
        <v>167</v>
      </c>
      <c r="E7" s="252" t="s">
        <v>166</v>
      </c>
      <c r="F7" s="251" t="s">
        <v>165</v>
      </c>
      <c r="G7" s="250" t="s">
        <v>164</v>
      </c>
      <c r="H7" s="248" t="s">
        <v>163</v>
      </c>
      <c r="I7" s="248" t="s">
        <v>162</v>
      </c>
      <c r="J7" s="247" t="s">
        <v>161</v>
      </c>
      <c r="K7" s="249" t="s">
        <v>160</v>
      </c>
      <c r="L7" s="248" t="s">
        <v>159</v>
      </c>
      <c r="M7" s="248" t="s">
        <v>158</v>
      </c>
      <c r="N7" s="247" t="s">
        <v>157</v>
      </c>
      <c r="O7" s="246" t="s">
        <v>156</v>
      </c>
      <c r="P7" s="245" t="s">
        <v>155</v>
      </c>
      <c r="Q7" s="244" t="s">
        <v>154</v>
      </c>
      <c r="R7" s="243" t="s">
        <v>153</v>
      </c>
      <c r="S7" s="242" t="s">
        <v>152</v>
      </c>
    </row>
    <row r="8" spans="1:19" x14ac:dyDescent="0.3">
      <c r="A8" s="239" t="s">
        <v>151</v>
      </c>
      <c r="B8" s="238"/>
      <c r="C8" s="232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7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6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40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1" t="e">
        <f ca="1">IF(Tabulka[[#This Row],[15_vzpl]]=0,"",Tabulka[[#This Row],[14_vzsk]]/Tabulka[[#This Row],[15_vzpl]])</f>
        <v>#REF!</v>
      </c>
      <c r="S8" s="240" t="e">
        <f ca="1">IF(Tabulka[[#This Row],[15_vzpl]]-Tabulka[[#This Row],[14_vzsk]]=0,"",Tabulka[[#This Row],[15_vzpl]]-Tabulka[[#This Row],[14_vzsk]])</f>
        <v>#REF!</v>
      </c>
    </row>
    <row r="9" spans="1:19" x14ac:dyDescent="0.3">
      <c r="A9" t="s">
        <v>179</v>
      </c>
    </row>
    <row r="10" spans="1:19" x14ac:dyDescent="0.3">
      <c r="A10" s="88" t="s">
        <v>120</v>
      </c>
    </row>
    <row r="11" spans="1:19" x14ac:dyDescent="0.3">
      <c r="A11" s="89" t="s">
        <v>150</v>
      </c>
    </row>
    <row r="12" spans="1:19" x14ac:dyDescent="0.3">
      <c r="A12" s="231" t="s">
        <v>149</v>
      </c>
    </row>
    <row r="13" spans="1:19" x14ac:dyDescent="0.3">
      <c r="A13" s="202" t="s">
        <v>133</v>
      </c>
    </row>
    <row r="14" spans="1:19" x14ac:dyDescent="0.3">
      <c r="A14" s="204" t="s">
        <v>138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2018-06-26T14:35:37Z</dcterms:modified>
</cp:coreProperties>
</file>