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7A58F64-0E36-4723-916C-4A78D17930C8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431" l="1"/>
  <c r="M8" i="431"/>
  <c r="K8" i="431"/>
  <c r="G8" i="431"/>
  <c r="D8" i="431"/>
  <c r="P8" i="431"/>
  <c r="N8" i="431"/>
  <c r="C8" i="431"/>
  <c r="I8" i="431"/>
  <c r="Q8" i="431"/>
  <c r="E8" i="431"/>
  <c r="L8" i="431"/>
  <c r="H8" i="431"/>
  <c r="F8" i="431"/>
  <c r="J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1" i="414"/>
  <c r="A13" i="414"/>
  <c r="A14" i="414"/>
  <c r="A4" i="414"/>
  <c r="A6" i="339" l="1"/>
  <c r="A5" i="339"/>
  <c r="D4" i="414"/>
  <c r="D14" i="414"/>
  <c r="C14" i="414"/>
  <c r="C17" i="414"/>
  <c r="D17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C22" i="414"/>
  <c r="D22" i="414"/>
  <c r="Q3" i="347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<sst xmlns="http://schemas.openxmlformats.org/spreadsheetml/2006/main" count="2534" uniqueCount="655">
  <si>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</si>
  <si>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</si>
  <si>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</si>
  <si>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</si>
  <si>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</si>
  <si>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</si>
  <si>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</si>
  <si>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</si>
  <si>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</si>
  <si>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</si>
  <si>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</si>
  <si>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</si>
  <si>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</si>
  <si>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</si>
  <si>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</si>
  <si>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</si>
  <si>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</si>
  <si>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</si>
  <si>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</si>
  <si>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</si>
  <si>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</si>
  <si>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</si>
  <si>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</si>
  <si>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</si>
  <si>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</si>
  <si>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</si>
  <si>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</si>
  <si>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</si>
  <si>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</si>
  <si>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</si>
  <si>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</si>
  <si>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</si>
  <si>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</si>
  <si>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</si>
  <si>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</si>
  <si>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</si>
  <si>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</si>
  <si>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</si>
  <si>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</si>
  <si>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</si>
  <si>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</si>
  <si>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</si>
  <si>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</si>
  <si>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</si>
  <si>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</si>
  <si>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</si>
  <si>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</si>
  <si>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</si>
  <si>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</si>
  <si>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</si>
  <si>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</si>
  <si>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</si>
  <si>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</si>
  <si>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</si>
  <si>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</si>
  <si>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</si>
  <si>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</si>
  <si>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</si>
  <si>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</si>
  <si>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</si>
  <si>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</si>
  <si>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</si>
  <si>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</si>
  <si>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</si>
  <si>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</si>
  <si>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</si>
  <si>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</si>
  <si>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</si>
  <si>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</si>
  <si>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</si>
  <si>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</si>
  <si>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</si>
  <si>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</si>
  <si>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</si>
  <si>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</si>
  <si>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</si>
  <si>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</si>
  <si>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</si>
  <si>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</si>
  <si>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</si>
  <si>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</si>
  <si>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</si>
  <si>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</si>
  <si>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</si>
  <si>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</si>
  <si>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</si>
  <si>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</si>
  <si>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</si>
  <si>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</si>
  <si>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</si>
  <si>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</si>
  <si>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</si>
  <si>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</si>
  <si>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</si>
  <si>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</si>
  <si>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</si>
  <si>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</si>
  <si>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</si>
  <si>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</si>
  <si>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</si>
  <si>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</si>
  <si>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</si>
  <si>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</si>
  <si>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</si>
  <si>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</si>
  <si>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</si>
  <si>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</si>
  <si>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</si>
  <si>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</si>
  <si>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</si>
  <si>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</si>
  <si>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</si>
  <si>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</si>
  <si>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</si>
  <si>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</si>
  <si>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</si>
  <si>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</si>
  <si>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</si>
  <si>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</si>
  <si>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</si>
  <si>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</si>
  <si>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</si>
  <si>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</si>
  <si>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</si>
  <si>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</si>
  <si>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</si>
  <si>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</si>
  <si>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</si>
  <si>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</si>
  <si>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</si>
  <si>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</si>
  <si>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</si>
  <si>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</si>
  <si>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</si>
  <si>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</si>
  <si>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</si>
  <si>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</si>
  <si>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</si>
  <si>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</si>
  <si>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</si>
  <si>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</si>
  <si>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</si>
  <si>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</si>
  <si>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</si>
  <si>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</si>
  <si>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</si>
  <si>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</si>
  <si>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</si>
  <si>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</si>
  <si>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</si>
  <si>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</si>
  <si>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</si>
  <si>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</si>
  <si>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</si>
  <si>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</si>
  <si>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</si>
  <si>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</si>
  <si>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</si>
  <si>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</si>
  <si>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</si>
  <si>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</si>
  <si>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</si>
  <si>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</si>
  <si>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</si>
  <si>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</si>
  <si>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</si>
  <si>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</si>
  <si>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</si>
  <si>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</si>
  <si>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</si>
  <si>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</si>
  <si>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</si>
  <si>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</si>
  <si>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</si>
  <si>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</si>
  <si>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</si>
  <si>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</si>
  <si>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</si>
  <si>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</si>
  <si>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</si>
  <si>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</si>
  <si>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</si>
  <si>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</si>
  <si>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</si>
  <si>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</si>
  <si>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</si>
  <si>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</si>
  <si>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</si>
  <si>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</si>
  <si>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</si>
  <si>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</si>
  <si>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</si>
  <si>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</si>
  <si>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</si>
  <si>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</si>
  <si>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</si>
  <si>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</si>
  <si>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</si>
  <si>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</si>
  <si>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</si>
  <si>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</si>
  <si>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</si>
  <si>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</si>
  <si>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</si>
  <si>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</si>
  <si>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</si>
  <si>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</si>
  <si>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</si>
  <si>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</si>
  <si>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</si>
  <si>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</si>
  <si>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</si>
  <si>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</si>
  <si>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</si>
  <si>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</si>
  <si>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</si>
  <si>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</si>
  <si>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</si>
  <si>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</si>
  <si>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</si>
  <si>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</si>
  <si>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</si>
  <si>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</si>
  <si>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</si>
  <si>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</si>
  <si>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</si>
  <si>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</si>
  <si>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</si>
  <si>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</si>
  <si>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</si>
  <si>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</si>
  <si>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</si>
  <si>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</si>
  <si>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</si>
  <si>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</si>
  <si>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</si>
  <si>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</si>
  <si>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</si>
  <si>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</si>
  <si>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</si>
  <si>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</si>
  <si>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</si>
  <si>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</si>
  <si>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</si>
  <si>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</si>
  <si>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</si>
  <si>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</si>
  <si>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</si>
  <si>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</si>
  <si>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</si>
  <si>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</si>
  <si>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50117     Všeobecný materiál</t>
  </si>
  <si>
    <t>--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</si>
  <si>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</si>
  <si>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</si>
  <si>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</si>
  <si>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</si>
  <si>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</si>
  <si>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</si>
  <si>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</si>
  <si>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</si>
  <si>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</si>
  <si>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</si>
  <si>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</si>
  <si>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51102032     opravy zdravotnické techniky - UTZ</t>
  </si>
  <si>
    <t>51102033     opravy ostatní techniky - UTZ</t>
  </si>
  <si>
    <t>51102034     opravy ostatní techniky - ELSYS</t>
  </si>
  <si>
    <t>51808     Revize a smluvní servisy majetku</t>
  </si>
  <si>
    <t>51808008     revize, tech.kontroly, prev.prohl.- OSBTK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</si>
  <si>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</si>
  <si>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</si>
  <si>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</si>
  <si>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</si>
  <si>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</si>
  <si>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</si>
  <si>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</si>
  <si>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</si>
  <si>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</si>
  <si>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</si>
  <si>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</si>
  <si>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</si>
  <si>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</si>
  <si>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</si>
  <si>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</si>
  <si>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</si>
  <si>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</si>
  <si>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</si>
  <si>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</si>
  <si>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</si>
  <si>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</si>
  <si>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</si>
  <si>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</si>
  <si>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</si>
  <si>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</si>
  <si>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</si>
  <si>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</si>
  <si>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</si>
  <si>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>HVLP</t>
  </si>
  <si>
    <t>57</t>
  </si>
  <si>
    <t>SumaKL</t>
  </si>
  <si>
    <t/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</si>
  <si>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</si>
  <si>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</si>
  <si>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</si>
  <si>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</si>
  <si>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</si>
  <si>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</si>
  <si>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</si>
  <si>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Knápková Kateřina</t>
  </si>
  <si>
    <t>POTRAVINY PRO ZVLÁŠTNÍ LÉKAŘSKÉ ÚČELY (PZLÚ) (ČESKÁ ATC SKUP</t>
  </si>
  <si>
    <t>33331</t>
  </si>
  <si>
    <t>NUTRIDRINK BALÍČEK 5+1</t>
  </si>
  <si>
    <t>POR SOL 6X200ML</t>
  </si>
  <si>
    <t>33751</t>
  </si>
  <si>
    <t>NUTRIDRINK CREME S PŘÍCHUTÍ ČOKOLÁDOVOU</t>
  </si>
  <si>
    <t>POR SOL 4X125G</t>
  </si>
  <si>
    <t>33750</t>
  </si>
  <si>
    <t>NUTRIDRINK CREME S PŘÍCHUTÍ VANILKOVOU</t>
  </si>
  <si>
    <t>33855</t>
  </si>
  <si>
    <t>NUTRIDRINK BALÍČEK 5 + 1</t>
  </si>
  <si>
    <t>33858</t>
  </si>
  <si>
    <t>NUTRIDRINK JUICE STYLE S PŘÍCHUTÍ JAHODOVOU</t>
  </si>
  <si>
    <t>POR SOL 4X200ML</t>
  </si>
  <si>
    <t>33888</t>
  </si>
  <si>
    <t>FRESUBIN 2 KCAL CREME ČOKOLÁDA</t>
  </si>
  <si>
    <t>33890</t>
  </si>
  <si>
    <t>FRESUBIN 2 KCAL CREME LESNÍ JAHODA</t>
  </si>
  <si>
    <t>33580</t>
  </si>
  <si>
    <t>FRESUBIN 2 KCAL DRINK CAPPUCCINO</t>
  </si>
  <si>
    <t>33891</t>
  </si>
  <si>
    <t>FRESUBIN 2 KCAL CREME VANILKA</t>
  </si>
  <si>
    <t>217087</t>
  </si>
  <si>
    <t>DIASIP S PŘÍCHUTÍ JAHODOVOU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</si>
  <si>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</si>
  <si>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</si>
  <si>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</si>
  <si>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</si>
  <si>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</si>
  <si>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</si>
  <si>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</si>
  <si>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</si>
  <si>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</si>
  <si>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</si>
  <si>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</si>
  <si>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</si>
  <si>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</si>
  <si>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</si>
  <si>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</si>
  <si>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</si>
  <si>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</si>
  <si>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</si>
  <si>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</si>
  <si>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</si>
  <si>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</si>
  <si>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ZQ990</t>
  </si>
  <si>
    <t>Fixace k CVC a PICC kateru Main Lock 2 4 x 9 cm NKS:90-60-82</t>
  </si>
  <si>
    <t>ZA602</t>
  </si>
  <si>
    <t>Kompresa gĂˇza 5,0 x 5,0 cm/2 ks sterilnĂ­ karton Ăˇ 1000 ks 26001</t>
  </si>
  <si>
    <t>ZD740</t>
  </si>
  <si>
    <t>Kompresa gĂˇza sterilkompres 7,5 x 7,5 cm/5 ks, 100% bavlna, sterilnĂ­ 1325019265(1230119225)</t>
  </si>
  <si>
    <t>Kompresa gáza 5,0 x 5,0 cm/2 ks sterilní karton á 1000 ks 26001</t>
  </si>
  <si>
    <t>Kompresa gáza sterilkompres 7,5 x 7,5 cm/5 ks, 100% bavlna, sterilní 1325019265(1230119225)</t>
  </si>
  <si>
    <t>ZA464</t>
  </si>
  <si>
    <t>Kompresa NT 10 x 10 cm/2 ks sterilní 26520</t>
  </si>
  <si>
    <t>ZA622</t>
  </si>
  <si>
    <t>Kompresa NT 5 x 5 cm nesterilnĂ­ 06101</t>
  </si>
  <si>
    <t>ZC854</t>
  </si>
  <si>
    <t>Kompresa NT 7,5 x 7,5 cm/2 ks sterilnĂ­ 26510</t>
  </si>
  <si>
    <t>Kompresa NT 7,5 x 7,5 cm/2 ks sterilní 26510</t>
  </si>
  <si>
    <t>ZH403</t>
  </si>
  <si>
    <t>KrytĂ­ excilon 5 x 5 cm NT i.v. s nĂˇstĹ™ihem do kĹ™Ă­Ĺľe antiseptickĂ˝ bal. Ăˇ 70 ks 7089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</si>
  <si>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</si>
  <si>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</si>
  <si>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</si>
  <si>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</si>
  <si>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</si>
  <si>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</si>
  <si>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</si>
  <si>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</si>
  <si>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</si>
  <si>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</si>
  <si>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</si>
  <si>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</si>
  <si>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Krytí excilon 5 x 5 cm NT i.v. s nástřihem do kříže antiseptický bal. á 70 ks 7089</t>
  </si>
  <si>
    <t>ZA476</t>
  </si>
  <si>
    <t>Krytí mepilex border lite 10 x 10 cm bal. á 5 ks 281300-00</t>
  </si>
  <si>
    <t>Krytí suprasorb F 10 x 12 cm sterilní bal. á 10 ks 20462</t>
  </si>
  <si>
    <t>Krytí tegaderm + PAD na i. v. vstupy bal. á 25 ks 9 x 10 cm 3586</t>
  </si>
  <si>
    <t>Krytí tegaderm diamond 10,0 cm x 12,0 cm bal. á 50 ks 1686</t>
  </si>
  <si>
    <t>Krytí tegaderm CHG 7,5 cm x 8,5 cm na CŽK-antibakt. bal. á 25 ks 1660R</t>
  </si>
  <si>
    <t>Krytí tegaderm CHG 8,5 cm x 11,5 cm na CŽK-antibakt. bal. á 25 ks 1657R</t>
  </si>
  <si>
    <t>Krytí tegaderm i.v. advaced pro katetry Aiic.v.Cs P.I.C.C 8,5 cm x 11,5 cm bal. á 50 ks 1685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</si>
  <si>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</si>
  <si>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</si>
  <si>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</si>
  <si>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</si>
  <si>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ZH011</t>
  </si>
  <si>
    <t>NĂˇplast micropore 1,25 cm x 9,14 m bal. Ăˇ 24 ks 1530-0</t>
  </si>
  <si>
    <t>Náplast curapor 10 x   8 cm 32913 ( 22121,  náhrada za cosmopor )</t>
  </si>
  <si>
    <t>Náplast curapor 10 x 15 cm 32914 ( náhrada za cosmopor )</t>
  </si>
  <si>
    <t>Náplast micropore 1,25 cm x 9,14 m bal. á 24 ks 1530-0</t>
  </si>
  <si>
    <t>ZL668</t>
  </si>
  <si>
    <t>Náplast silikon tape 2,5 cm x 5 m bal. á 12 ks 2770-1</t>
  </si>
  <si>
    <t>ZA314</t>
  </si>
  <si>
    <t>Obinadlo idealast-haft 8 cm x   4 m 9311113</t>
  </si>
  <si>
    <t>ZP212</t>
  </si>
  <si>
    <t>Obvaz elastickĂ˝ sĂ­ĹĄovĂ˝ pruban Tg-fix vel. C paĹľe, noha, loket 25 m 24252</t>
  </si>
  <si>
    <t>Obvaz elastický síťový pruban Tg-fix vel. C paže, noha, loket 25 m 24252</t>
  </si>
  <si>
    <t>ZA593</t>
  </si>
  <si>
    <t>Tampon sterilnĂ­ stĂˇÄŤenĂ˝ 20 x 20 cm / 5 ks 28003+</t>
  </si>
  <si>
    <t>Tampon sterilní stáčený 20 x 20 cm / 5 ks 28003+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</si>
  <si>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</si>
  <si>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</si>
  <si>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</si>
  <si>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</si>
  <si>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ZA738</t>
  </si>
  <si>
    <t>Filtr mini spike zelenĂ˝ 4550242</t>
  </si>
  <si>
    <t>Filtr mini spike zelený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</si>
  <si>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</si>
  <si>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</si>
  <si>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</si>
  <si>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</si>
  <si>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</si>
  <si>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1,5 mm x   25 cm LL na obou koncĂ­ch male-male bal. Ăˇ 40 ks PN 1202</t>
  </si>
  <si>
    <t>Hadička spojovací HS 1,8 x 1800 mm LL DEPH free 2200 180 ND</t>
  </si>
  <si>
    <t>Hadička spojovací HS 1,8 x 450 mm LL DEPH free 2200 045 ND</t>
  </si>
  <si>
    <t>Hadička spojovací tlaková unicath 1,5 mm x   25 cm LL na obou koncích male-male bal. á 40 ks PN 1202</t>
  </si>
  <si>
    <t>ZK884</t>
  </si>
  <si>
    <t>Kohout trojcestnĂ˝ discofix modrĂ˝ 4095111</t>
  </si>
  <si>
    <t>Kohout trojcestný discofix modrý 4095111</t>
  </si>
  <si>
    <t>ZB334</t>
  </si>
  <si>
    <t>Konektor bezjehlovĂ˝ bionecteur Ăˇ 50 ks 896.03 povoleno pouze pro HOK, DK a NOVOR</t>
  </si>
  <si>
    <t>ZO372</t>
  </si>
  <si>
    <t>Konektor bezjehlovĂ˝ OptiSyte JIM:JSM4001</t>
  </si>
  <si>
    <t>Konektor bezjehlový bionecteur á 50 ks 896.03 povoleno pouze pro HOK, DK a NOVOR</t>
  </si>
  <si>
    <t>Konektor bezjehlový OptiSyte JIM:JSM4001</t>
  </si>
  <si>
    <t>ZO087</t>
  </si>
  <si>
    <t>Konektor flocare na aplikaÄŤnĂ­ set s konektorem Luer NOVĂť 30 ks 589735</t>
  </si>
  <si>
    <t>Konektor flocare na aplikační set s konektorem Luer NOVÝ 30 ks 589735</t>
  </si>
  <si>
    <t>ZO086</t>
  </si>
  <si>
    <t>Konektor flocare na sondu Luer NOVĂť 30 ks 589733</t>
  </si>
  <si>
    <t>Konektor flocare na sondu Luer NOVÝ 30 ks 589733</t>
  </si>
  <si>
    <t>ZQ860</t>
  </si>
  <si>
    <t>Konektor flocare pro aplikaci enterĂˇlnĂ­ vĂ˝Ĺľivy NUTRICIA PEG 18 CH ENFit (na kusy) 591396</t>
  </si>
  <si>
    <t>ZO083</t>
  </si>
  <si>
    <t>Konektor flocare transition NOVĂť 30 ks (je souÄŤĂˇstĂ­ setu) 589732</t>
  </si>
  <si>
    <t>Konektor flocare transition NOVÝ 30 ks (je součástí setu) 589732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</si>
  <si>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</si>
  <si>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</si>
  <si>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</si>
  <si>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</si>
  <si>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Kontejner 25 ml PP šroubový sterilní uzávěr 2680/EST/SG</t>
  </si>
  <si>
    <t>ZQ736</t>
  </si>
  <si>
    <t>Lepidlo silikonové 2197.000</t>
  </si>
  <si>
    <t>ZF159</t>
  </si>
  <si>
    <t>NĂˇdoba na kontaminovanĂ˝ odpad 1 l 15-0002</t>
  </si>
  <si>
    <t>Nádoba na kontaminovaný odpad 1 l 15-0002</t>
  </si>
  <si>
    <t>ZB439</t>
  </si>
  <si>
    <t>Odstraňovač náplastí Convacare á 100 ks 0011279 37443</t>
  </si>
  <si>
    <t>ZP835</t>
  </si>
  <si>
    <t>RegulĂˇtor prĹŻtoku infuze Flow Regulator 5 aĹľ 250 ml/hod vÄŤetnÄ› spojovacĂ­ hadiÄŤky 55 cm bal Ăˇ 50 ks 02-018-01</t>
  </si>
  <si>
    <t>Regulátor průtoku infuze Flow Regulator 5 až 250 ml/hod včetně spojovací hadičky 55 cm bal á 50 ks 02-018-01</t>
  </si>
  <si>
    <t>ZI784</t>
  </si>
  <si>
    <t>Set Flocare pro enterĂˇlnĂ­ vĂ˝Ĺľivu Infinity Pack Mobile Set s medikaÄŤnĂ­m portem (kohout) s konektory ENFit, kompatibilnĂ­ s vaky Nutrison, pro podĂˇnĂ­ do sondy z vakĹŻ Flocare 586520</t>
  </si>
  <si>
    <t>ZH546</t>
  </si>
  <si>
    <t>Set flocare pro enterĂˇlnĂ­ vĂ˝Ĺľivu infinity pack mobile W/O MP Transition (APA 3227163) pro domĂˇcĂ­ pĂ©ÄŤi 586484</t>
  </si>
  <si>
    <t>Set Flocare pro enterální výživu Infinity Pack Mobile Set s medikačním portem (kohout) s konektory ENFit, kompatibilní s vaky Nutrison, pro podání do sondy z vaků Flocare 586520</t>
  </si>
  <si>
    <t>Set flocare pro enterální výživu infinity pack mobile W/O MP Transition (APA 3227163) pro domácí péči 586484</t>
  </si>
  <si>
    <t>ZN906</t>
  </si>
  <si>
    <t>Set Flocare pro enterální výživu Infinity Pack s konektory ENFit, kompatibilní s vaky Nutrison, pro pumpy Flocare 586514</t>
  </si>
  <si>
    <t>ZQ735</t>
  </si>
  <si>
    <t>Souprava k opravě Life-Cath Broviac 2194.50</t>
  </si>
  <si>
    <t>ZG724</t>
  </si>
  <si>
    <t>Spojka proplachovacĂ­ urologickĂˇ bal. Ăˇ 50 ks LCF</t>
  </si>
  <si>
    <t>Spojka proplachovací urologická bal. á 50 ks LCF</t>
  </si>
  <si>
    <t>ZR397</t>
  </si>
  <si>
    <t>StĹ™Ă­kaÄŤka injekÄŤnĂ­ 2-dĂ­lnĂˇ 10 ml L DISCARDIT LE 309110</t>
  </si>
  <si>
    <t>ZA787</t>
  </si>
  <si>
    <t>StĹ™Ă­kaÄŤka injekÄŤnĂ­ 2-dĂ­lnĂˇ 10 ml L Inject Solo 4606108V - nahrazuje ZR397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</si>
  <si>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</si>
  <si>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</si>
  <si>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</si>
  <si>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 - nahrazuje ZR398</t>
  </si>
  <si>
    <t>ZA790</t>
  </si>
  <si>
    <t>StĹ™Ă­kaÄŤka injekÄŤnĂ­ 2-dĂ­lnĂˇ 5 ml L Inject Solo4606051V - nahrazuje ZR396</t>
  </si>
  <si>
    <t>ZH168</t>
  </si>
  <si>
    <t>StĹ™Ă­kaÄŤka injekÄŤnĂ­ 3-dĂ­lnĂˇ 1 ml L tuberculin s jehlou KD-JECT III 26G x 1/2" 0,45 x 12 mm 831786</t>
  </si>
  <si>
    <t>ZP675</t>
  </si>
  <si>
    <t>StĹ™Ă­kaÄŤka injekÄŤnĂ­ pro enterĂˇlnĂ­ vĂ˝Ĺľivu 25 ml NUTRICAIR ENFIT excentrickĂˇ bal.Ăˇ 50 ks NCE20SE</t>
  </si>
  <si>
    <t>ZQ599</t>
  </si>
  <si>
    <t>StĹ™Ă­kaÄŤka injekÄŤnĂ­ pro enterĂˇlnĂ­ vĂ˝Ĺľivu 50/60 ml NUTRICAIR ENFIT excentrickĂˇ bal.Ăˇ 50 ks NCE50SE</t>
  </si>
  <si>
    <t>Stříkačka injekční 2-dílná 10 ml L Inject Solo 4606108V</t>
  </si>
  <si>
    <t>ZA789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</si>
  <si>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</si>
  <si>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</si>
  <si>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</si>
  <si>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Stříkačka injekční 3-dílná 1 ml L tuberculin s jehlou KD-JECT III 26G x 1/2" 0,45 x 12 mm 831786</t>
  </si>
  <si>
    <t>ZH491</t>
  </si>
  <si>
    <t>Stříkačka injekční 3-dílná 50 - 60 ml LL MRG00711</t>
  </si>
  <si>
    <t>Stříkačka injekční pro enterální výživu 50/60 ml NUTRICAIR ENFIT excentrická bal.á 50 ks NCE50SE</t>
  </si>
  <si>
    <t>ZP822</t>
  </si>
  <si>
    <t>Uzávěr dezinfekční CUROS k bezjehlovému vstupu se 70% IPA  CFF10-250R</t>
  </si>
  <si>
    <t>ZK798</t>
  </si>
  <si>
    <t>Zátka combi modrá 4495152</t>
  </si>
  <si>
    <t>50115063</t>
  </si>
  <si>
    <t>ZPr - vaky, sety (Z528)</t>
  </si>
  <si>
    <t>ZR706</t>
  </si>
  <si>
    <t>Set infuznĂ­  Activ ambulatory s filtrem  k mobilnĂ­ pumpÄ› Ambix Activ bal. Ăˇ 15 ks 2892100</t>
  </si>
  <si>
    <t>ZN400</t>
  </si>
  <si>
    <t>Set infuznĂ­  Spike (DEHP free) s filtrem 1,2 um k mobilnĂ­ pumpÄ› Mini Rythmic PN+ bal. Ăˇ 20 ks KM1EE148X</t>
  </si>
  <si>
    <t>ZR133</t>
  </si>
  <si>
    <t>Set infuznĂ­ Infuzomat plus Line Safeset k infuznĂ­ pumpÄ› Perfusor Compact plus, 250 cm bal. Ăˇ 10 ks 8700200 akce do odvolĂˇnĂ­ - 1+1(zdarma)</t>
  </si>
  <si>
    <t>ZA715</t>
  </si>
  <si>
    <t>Set infuznĂ­ intrafix primeline classic 150 cm 4062957</t>
  </si>
  <si>
    <t>Set infuzní  Spike (DEHP free) s filtrem 1,2 um k mobilní pumpě Mini Rythmic PN+ bal. á 20 ks KM1EE148X</t>
  </si>
  <si>
    <t>Set infuzní Infuzomat plus Line Safeset k infuzní pumpě Perfusor Compact plus, 250 cm bal. á 10 ks 8700200 akce do odvolání - 1+1(zdarma)</t>
  </si>
  <si>
    <t>Set infuzní intrafix primeline classic 150 cm 4062957</t>
  </si>
  <si>
    <t>ZB715</t>
  </si>
  <si>
    <t>Set pro enterální výživu kangaro univ.  á 30 ks  S777403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</si>
  <si>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</si>
  <si>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</si>
  <si>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</si>
  <si>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50115065</t>
  </si>
  <si>
    <t>ZPr - vpichovací materiál (Z530)</t>
  </si>
  <si>
    <t>ZC634</t>
  </si>
  <si>
    <t>Jehla gripper portacath bez Y protu 22G x 16 mm á 12 ks 21-2737-24</t>
  </si>
  <si>
    <t>Jehla gripper portacath bez Y protu 22G x 16 mm Ăˇ 12 ks 21-2737-24</t>
  </si>
  <si>
    <t>ZB556</t>
  </si>
  <si>
    <t>Jehla injekÄŤnĂ­ 1,2 x 40 mm rĹŻĹľovĂˇ 4665120</t>
  </si>
  <si>
    <t>Jehla injekční 1,2 x 40 mm růžová 4665120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</si>
  <si>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</si>
  <si>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</si>
  <si>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</si>
  <si>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</si>
  <si>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</si>
  <si>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</si>
  <si>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</si>
  <si>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</si>
  <si>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</si>
  <si>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</si>
  <si>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Rukavice operační latex s pudrem sterilní ansell, vasco surgical powderet vel. 6,5 6035518 (303503)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</si>
  <si>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</si>
  <si>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</si>
  <si>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</si>
  <si>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</si>
  <si>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</si>
  <si>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</si>
  <si>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</si>
  <si>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</si>
  <si>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</si>
  <si>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50115089</t>
  </si>
  <si>
    <t>ZPr - katetry PICC/MIDLINE (Z554)</t>
  </si>
  <si>
    <t>ZM985</t>
  </si>
  <si>
    <t>Fixace k CVC a PICC atraumatická GripLock bal. á 100 ks 3601CVC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</si>
  <si>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</si>
  <si>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</si>
  <si>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</si>
  <si>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</si>
  <si>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</si>
  <si>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</si>
  <si>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</si>
  <si>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</si>
  <si>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</si>
  <si>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Bača Jakub</t>
  </si>
  <si>
    <t>Berka Zdeněk</t>
  </si>
  <si>
    <t>Daniš Lukáš</t>
  </si>
  <si>
    <t>Dvořák Jakub</t>
  </si>
  <si>
    <t>Gregar Jan</t>
  </si>
  <si>
    <t>HexspoorBawadekji Diana</t>
  </si>
  <si>
    <t>Jelínková Andrea</t>
  </si>
  <si>
    <t>Konečný Michal</t>
  </si>
  <si>
    <t>Navrátil Vít</t>
  </si>
  <si>
    <t>Procházka Vlastimil</t>
  </si>
  <si>
    <t>Sovová Markéta</t>
  </si>
  <si>
    <t>Sychra Pavel</t>
  </si>
  <si>
    <t>Špatenková Veronika</t>
  </si>
  <si>
    <t>Tichý Tomáš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</si>
  <si>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</si>
  <si>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</si>
  <si>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</si>
  <si>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</si>
  <si>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</si>
  <si>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</si>
  <si>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</si>
  <si>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0000498</t>
  </si>
  <si>
    <t>MAGNESIUM SULFURICUM BIOTIKA</t>
  </si>
  <si>
    <t>0002486</t>
  </si>
  <si>
    <t>KALIUM CHLORATUM LÉČIVA 7,5%</t>
  </si>
  <si>
    <t>0007981</t>
  </si>
  <si>
    <t>NOVALGIN</t>
  </si>
  <si>
    <t>0072972</t>
  </si>
  <si>
    <t>AMOKSIKLAV 1,2 G</t>
  </si>
  <si>
    <t>0107291</t>
  </si>
  <si>
    <t>0,9% SODIUM CHLORIDE IN WATER FOR INJECTION FRESEN</t>
  </si>
  <si>
    <t>0107295</t>
  </si>
  <si>
    <t>0107298</t>
  </si>
  <si>
    <t>0155379</t>
  </si>
  <si>
    <t>FERINJECT</t>
  </si>
  <si>
    <t>0018304</t>
  </si>
  <si>
    <t>RINGERFUNDIN B.BRAUN</t>
  </si>
  <si>
    <t>0098902</t>
  </si>
  <si>
    <t>GLUKÓZA 5% VIAFLO</t>
  </si>
  <si>
    <t>0214427</t>
  </si>
  <si>
    <t>CONTROLOC I.V.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</si>
  <si>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</si>
  <si>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</si>
  <si>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</si>
  <si>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</si>
  <si>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</si>
  <si>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</si>
  <si>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</si>
  <si>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</si>
  <si>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</si>
  <si>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</si>
  <si>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</si>
  <si>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</si>
  <si>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</si>
  <si>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</si>
  <si>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</si>
  <si>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</si>
  <si>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</si>
  <si>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</si>
  <si>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</si>
  <si>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</si>
  <si>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</si>
  <si>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</si>
  <si>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</si>
  <si>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</si>
  <si>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</si>
  <si>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</si>
  <si>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</si>
  <si>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</si>
  <si>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</si>
  <si>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</si>
  <si>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</si>
  <si>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</si>
  <si>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</si>
  <si>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13 - ORL: Klinika otorinolaryngolog. a chir.hlav.a krku</t>
  </si>
  <si>
    <t>16 - PLIC: Klinika plicních nemocí a tuber.</t>
  </si>
  <si>
    <t>17 - NEUR: Neurologická klinika</t>
  </si>
  <si>
    <t>21 - ONK: Onkologická klinika</t>
  </si>
  <si>
    <t>59 - IPCHO: Oddělení int. péče chirurg. oborů</t>
  </si>
  <si>
    <t>01</t>
  </si>
  <si>
    <t>02</t>
  </si>
  <si>
    <t>03</t>
  </si>
  <si>
    <t>04</t>
  </si>
  <si>
    <t>07</t>
  </si>
  <si>
    <t>13</t>
  </si>
  <si>
    <t>16</t>
  </si>
  <si>
    <t>17</t>
  </si>
  <si>
    <t>21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</si>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</sst>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8" borderId="108" xfId="0" applyNumberFormat="1" applyFont="1" applyFill="1" applyBorder="1" applyAlignment="1">
      <alignment horizontal="right" vertical="top"/>
    </xf>
    <xf numFmtId="3" fontId="34" fillId="8" borderId="109" xfId="0" applyNumberFormat="1" applyFont="1" applyFill="1" applyBorder="1" applyAlignment="1">
      <alignment horizontal="right" vertical="top"/>
    </xf>
    <xf numFmtId="177" fontId="34" fillId="8" borderId="110" xfId="0" applyNumberFormat="1" applyFont="1" applyFill="1" applyBorder="1" applyAlignment="1">
      <alignment horizontal="right" vertical="top"/>
    </xf>
    <xf numFmtId="3" fontId="34" fillId="0" borderId="108" xfId="0" applyNumberFormat="1" applyFont="1" applyBorder="1" applyAlignment="1">
      <alignment horizontal="right" vertical="top"/>
    </xf>
    <xf numFmtId="177" fontId="34" fillId="8" borderId="111" xfId="0" applyNumberFormat="1" applyFont="1" applyFill="1" applyBorder="1" applyAlignment="1">
      <alignment horizontal="right" vertical="top"/>
    </xf>
    <xf numFmtId="3" fontId="36" fillId="8" borderId="113" xfId="0" applyNumberFormat="1" applyFont="1" applyFill="1" applyBorder="1" applyAlignment="1">
      <alignment horizontal="right" vertical="top"/>
    </xf>
    <xf numFmtId="3" fontId="36" fillId="8" borderId="114" xfId="0" applyNumberFormat="1" applyFont="1" applyFill="1" applyBorder="1" applyAlignment="1">
      <alignment horizontal="right" vertical="top"/>
    </xf>
    <xf numFmtId="0" fontId="36" fillId="8" borderId="115" xfId="0" applyFont="1" applyFill="1" applyBorder="1" applyAlignment="1">
      <alignment horizontal="right" vertical="top"/>
    </xf>
    <xf numFmtId="3" fontId="36" fillId="0" borderId="113" xfId="0" applyNumberFormat="1" applyFont="1" applyBorder="1" applyAlignment="1">
      <alignment horizontal="right" vertical="top"/>
    </xf>
    <xf numFmtId="0" fontId="36" fillId="8" borderId="116" xfId="0" applyFont="1" applyFill="1" applyBorder="1" applyAlignment="1">
      <alignment horizontal="right" vertical="top"/>
    </xf>
    <xf numFmtId="0" fontId="34" fillId="8" borderId="110" xfId="0" applyFont="1" applyFill="1" applyBorder="1" applyAlignment="1">
      <alignment horizontal="right" vertical="top"/>
    </xf>
    <xf numFmtId="0" fontId="34" fillId="8" borderId="111" xfId="0" applyFont="1" applyFill="1" applyBorder="1" applyAlignment="1">
      <alignment horizontal="right" vertical="top"/>
    </xf>
    <xf numFmtId="177" fontId="36" fillId="8" borderId="115" xfId="0" applyNumberFormat="1" applyFont="1" applyFill="1" applyBorder="1" applyAlignment="1">
      <alignment horizontal="right" vertical="top"/>
    </xf>
    <xf numFmtId="177" fontId="36" fillId="8" borderId="116" xfId="0" applyNumberFormat="1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0" borderId="119" xfId="0" applyFont="1" applyBorder="1" applyAlignment="1">
      <alignment horizontal="right" vertical="top"/>
    </xf>
    <xf numFmtId="177" fontId="36" fillId="8" borderId="120" xfId="0" applyNumberFormat="1" applyFont="1" applyFill="1" applyBorder="1" applyAlignment="1">
      <alignment horizontal="right" vertical="top"/>
    </xf>
    <xf numFmtId="0" fontId="38" fillId="9" borderId="107" xfId="0" applyFont="1" applyFill="1" applyBorder="1" applyAlignment="1">
      <alignment vertical="top"/>
    </xf>
    <xf numFmtId="0" fontId="38" fillId="9" borderId="107" xfId="0" applyFont="1" applyFill="1" applyBorder="1" applyAlignment="1">
      <alignment vertical="top" indent="2"/>
    </xf>
    <xf numFmtId="0" fontId="38" fillId="9" borderId="107" xfId="0" applyFont="1" applyFill="1" applyBorder="1" applyAlignment="1">
      <alignment vertical="top" indent="4"/>
    </xf>
    <xf numFmtId="0" fontId="39" fillId="9" borderId="112" xfId="0" applyFont="1" applyFill="1" applyBorder="1" applyAlignment="1">
      <alignment vertical="top" indent="6"/>
    </xf>
    <xf numFmtId="0" fontId="38" fillId="9" borderId="107" xfId="0" applyFont="1" applyFill="1" applyBorder="1" applyAlignment="1">
      <alignment vertical="top" indent="8"/>
    </xf>
    <xf numFmtId="0" fontId="39" fillId="9" borderId="112" xfId="0" applyFont="1" applyFill="1" applyBorder="1" applyAlignment="1">
      <alignment vertical="top" indent="2"/>
    </xf>
    <xf numFmtId="0" fontId="38" fillId="9" borderId="107" xfId="0" applyFont="1" applyFill="1" applyBorder="1" applyAlignment="1">
      <alignment vertical="top" indent="6"/>
    </xf>
    <xf numFmtId="0" fontId="39" fillId="9" borderId="112" xfId="0" applyFont="1" applyFill="1" applyBorder="1" applyAlignment="1">
      <alignment vertical="top" indent="4"/>
    </xf>
    <xf numFmtId="0" fontId="33" fillId="9" borderId="107" xfId="0" applyFont="1" applyFill="1" applyBorder="1"/>
    <xf numFmtId="0" fontId="39" fillId="9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21" xfId="0" applyFont="1" applyFill="1" applyBorder="1"/>
    <xf numFmtId="0" fontId="40" fillId="9" borderId="121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22" xfId="0" applyNumberFormat="1" applyFont="1" applyFill="1" applyBorder="1"/>
    <xf numFmtId="0" fontId="33" fillId="0" borderId="124" xfId="0" applyFont="1" applyFill="1" applyBorder="1"/>
    <xf numFmtId="3" fontId="33" fillId="0" borderId="124" xfId="0" applyNumberFormat="1" applyFont="1" applyFill="1" applyBorder="1"/>
    <xf numFmtId="3" fontId="33" fillId="0" borderId="126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24" xfId="0" applyNumberFormat="1" applyFont="1" applyFill="1" applyBorder="1"/>
    <xf numFmtId="9" fontId="33" fillId="0" borderId="125" xfId="0" applyNumberFormat="1" applyFont="1" applyFill="1" applyBorder="1"/>
    <xf numFmtId="3" fontId="33" fillId="0" borderId="12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6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59" fillId="0" borderId="134" xfId="0" applyFont="1" applyBorder="1" applyAlignment="1">
      <alignment horizontal="left" indent="1"/>
    </xf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59" fillId="0" borderId="131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0" fontId="40" fillId="0" borderId="24" xfId="0" applyFont="1" applyFill="1" applyBorder="1"/>
    <xf numFmtId="0" fontId="40" fillId="0" borderId="131" xfId="0" applyFont="1" applyFill="1" applyBorder="1"/>
    <xf numFmtId="0" fontId="40" fillId="0" borderId="134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2 2" pivot="0" count="7" xr9:uid="{00000000-0011-0000-FFFF-FFFF01000000}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2.0071379523714543</c:v>
                </c:pt>
                <c:pt idx="1">
                  <c:v>1.9733703099370128</c:v>
                </c:pt>
                <c:pt idx="2">
                  <c:v>2.435407639476896</c:v>
                </c:pt>
                <c:pt idx="3">
                  <c:v>2.797791473292091</c:v>
                </c:pt>
                <c:pt idx="4">
                  <c:v>2.7202325714317559</c:v>
                </c:pt>
                <c:pt idx="5">
                  <c:v>2.6502939837972326</c:v>
                </c:pt>
                <c:pt idx="6">
                  <c:v>2.7857840793651278</c:v>
                </c:pt>
                <c:pt idx="7">
                  <c:v>2.8302217336775675</c:v>
                </c:pt>
                <c:pt idx="8">
                  <c:v>2.6805801570320167</c:v>
                </c:pt>
                <c:pt idx="9">
                  <c:v>2.7021819992888085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1.344904976112822</c:v>
                </c:pt>
                <c:pt idx="1">
                  <c:v>1.344904976112822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0" tableBorderDxfId="69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68"/>
    <tableColumn id="2" xr3:uid="{00000000-0010-0000-0000-000002000000}" name="popis" dataDxfId="67"/>
    <tableColumn id="3" xr3:uid="{00000000-0010-0000-0000-000003000000}" name="01 uv_sk" dataDxfId="66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65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64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3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5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5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5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5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232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335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518" t="s">
        <v>336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339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554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557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580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630</v>
      </c>
      <c r="C23" s="47" t="s">
        <v>120</v>
      </c>
    </row>
    <row r="24" spans="1:3" ht="14.45" customHeight="1" x14ac:dyDescent="0.25">
      <c r="A24" s="256" t="str">
        <f>HYPERLINK("#'"&amp;C24&amp;"'!A1",C24)</f>
        <v>ZV Vykáz.-A Det.Lék.</v>
      </c>
      <c r="B24" s="90" t="s">
        <v>631</v>
      </c>
      <c r="C24" s="47" t="s">
        <v>179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654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0182D90C-16B3-4498-86F3-28A013A6AA1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336</v>
      </c>
      <c r="B1" s="342"/>
      <c r="C1" s="342"/>
      <c r="D1" s="342"/>
      <c r="E1" s="342"/>
      <c r="F1" s="342"/>
    </row>
    <row r="2" spans="1:6" ht="14.45" customHeight="1" thickBot="1" x14ac:dyDescent="0.25">
      <c r="A2" s="232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504" t="s">
        <v>155</v>
      </c>
      <c r="B4" s="505" t="s">
        <v>13</v>
      </c>
      <c r="C4" s="506" t="s">
        <v>2</v>
      </c>
      <c r="D4" s="505" t="s">
        <v>13</v>
      </c>
      <c r="E4" s="506" t="s">
        <v>2</v>
      </c>
      <c r="F4" s="507" t="s">
        <v>13</v>
      </c>
    </row>
    <row r="5" spans="1:6" ht="14.45" customHeight="1" thickBot="1" x14ac:dyDescent="0.25">
      <c r="A5" s="517" t="s">
        <v>308</v>
      </c>
      <c r="B5" s="508">
        <v>1523.1399999999999</v>
      </c>
      <c r="C5" s="480">
        <v>0.29222705278789296</v>
      </c>
      <c r="D5" s="508">
        <v>3689.04</v>
      </c>
      <c r="E5" s="480">
        <v>0.70777294721210693</v>
      </c>
      <c r="F5" s="509">
        <v>5212.18</v>
      </c>
    </row>
    <row r="6" spans="1:6" ht="14.45" customHeight="1" thickBot="1" x14ac:dyDescent="0.25">
      <c r="A6" s="513" t="s">
        <v>3</v>
      </c>
      <c r="B6" s="514">
        <v>1523.1399999999999</v>
      </c>
      <c r="C6" s="515">
        <v>0.29222705278789296</v>
      </c>
      <c r="D6" s="514">
        <v>3689.04</v>
      </c>
      <c r="E6" s="515">
        <v>0.70777294721210693</v>
      </c>
      <c r="F6" s="516">
        <v>5212.18</v>
      </c>
    </row>
    <row r="7" spans="1:6" ht="14.45" customHeight="1" thickBot="1" x14ac:dyDescent="0.25"/>
    <row r="8" spans="1:6" ht="14.45" customHeight="1" thickBot="1" x14ac:dyDescent="0.25">
      <c r="A8" s="517" t="s">
        <v>337</v>
      </c>
      <c r="B8" s="508">
        <v>1523.1399999999999</v>
      </c>
      <c r="C8" s="480">
        <v>0.29222705278789296</v>
      </c>
      <c r="D8" s="508">
        <v>3689.04</v>
      </c>
      <c r="E8" s="480">
        <v>0.70777294721210693</v>
      </c>
      <c r="F8" s="509">
        <v>5212.18</v>
      </c>
    </row>
    <row r="9" spans="1:6" ht="14.45" customHeight="1" thickBot="1" x14ac:dyDescent="0.25">
      <c r="A9" s="513" t="s">
        <v>3</v>
      </c>
      <c r="B9" s="514">
        <v>1523.1399999999999</v>
      </c>
      <c r="C9" s="515">
        <v>0.29222705278789296</v>
      </c>
      <c r="D9" s="514">
        <v>3689.04</v>
      </c>
      <c r="E9" s="515">
        <v>0.70777294721210693</v>
      </c>
      <c r="F9" s="516">
        <v>5212.18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{B96F950E-5D8F-442F-90E4-82E19C0C885D}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{5DCBC6B4-2780-4FC3-9AF9-93F404008608}</x14:id>
        </ext>
      </extLst>
    </cfRule>
  </conditionalFormatting>
  <hyperlinks>
    <hyperlink ref="A2" location="Obsah!A1" display="Zpět na Obsah  KL 01  1.-4.měsíc" xr:uid="{401E88BD-511F-41E3-A496-09AA89F8D2C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6F950E-5D8F-442F-90E4-82E19C0C88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5DCBC6B4-2780-4FC3-9AF9-93F4040086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42" t="s">
        <v>339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232" t="s">
        <v>235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124</v>
      </c>
      <c r="F3" s="43">
        <f>SUBTOTAL(9,F6:F1048576)</f>
        <v>10</v>
      </c>
      <c r="G3" s="43">
        <f>SUBTOTAL(9,G6:G1048576)</f>
        <v>1523.14</v>
      </c>
      <c r="H3" s="44">
        <f>IF(M3=0,0,G3/M3)</f>
        <v>0.29222705278789296</v>
      </c>
      <c r="I3" s="43">
        <f>SUBTOTAL(9,I6:I1048576)</f>
        <v>17</v>
      </c>
      <c r="J3" s="43">
        <f>SUBTOTAL(9,J6:J1048576)</f>
        <v>3689.04</v>
      </c>
      <c r="K3" s="44">
        <f>IF(M3=0,0,J3/M3)</f>
        <v>0.70777294721210693</v>
      </c>
      <c r="L3" s="43">
        <f>SUBTOTAL(9,L6:L1048576)</f>
        <v>27</v>
      </c>
      <c r="M3" s="45">
        <f>SUBTOTAL(9,M6:M1048576)</f>
        <v>5212.18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504" t="s">
        <v>131</v>
      </c>
      <c r="B5" s="519" t="s">
        <v>127</v>
      </c>
      <c r="C5" s="519" t="s">
        <v>69</v>
      </c>
      <c r="D5" s="519" t="s">
        <v>128</v>
      </c>
      <c r="E5" s="519" t="s">
        <v>129</v>
      </c>
      <c r="F5" s="520" t="s">
        <v>27</v>
      </c>
      <c r="G5" s="520" t="s">
        <v>13</v>
      </c>
      <c r="H5" s="506" t="s">
        <v>130</v>
      </c>
      <c r="I5" s="505" t="s">
        <v>27</v>
      </c>
      <c r="J5" s="520" t="s">
        <v>13</v>
      </c>
      <c r="K5" s="506" t="s">
        <v>130</v>
      </c>
      <c r="L5" s="505" t="s">
        <v>27</v>
      </c>
      <c r="M5" s="521" t="s">
        <v>13</v>
      </c>
    </row>
    <row r="6" spans="1:13" ht="14.45" customHeight="1" x14ac:dyDescent="0.2">
      <c r="A6" s="481" t="s">
        <v>308</v>
      </c>
      <c r="B6" s="482" t="s">
        <v>338</v>
      </c>
      <c r="C6" s="482" t="s">
        <v>310</v>
      </c>
      <c r="D6" s="482" t="s">
        <v>311</v>
      </c>
      <c r="E6" s="482" t="s">
        <v>312</v>
      </c>
      <c r="F6" s="116"/>
      <c r="G6" s="116"/>
      <c r="H6" s="487">
        <v>0</v>
      </c>
      <c r="I6" s="116">
        <v>1</v>
      </c>
      <c r="J6" s="116">
        <v>233.96</v>
      </c>
      <c r="K6" s="487">
        <v>1</v>
      </c>
      <c r="L6" s="116">
        <v>1</v>
      </c>
      <c r="M6" s="510">
        <v>233.96</v>
      </c>
    </row>
    <row r="7" spans="1:13" ht="14.45" customHeight="1" x14ac:dyDescent="0.2">
      <c r="A7" s="488" t="s">
        <v>308</v>
      </c>
      <c r="B7" s="489" t="s">
        <v>338</v>
      </c>
      <c r="C7" s="489" t="s">
        <v>313</v>
      </c>
      <c r="D7" s="489" t="s">
        <v>314</v>
      </c>
      <c r="E7" s="489" t="s">
        <v>315</v>
      </c>
      <c r="F7" s="522"/>
      <c r="G7" s="522"/>
      <c r="H7" s="494">
        <v>0</v>
      </c>
      <c r="I7" s="522">
        <v>1</v>
      </c>
      <c r="J7" s="522">
        <v>84.89</v>
      </c>
      <c r="K7" s="494">
        <v>1</v>
      </c>
      <c r="L7" s="522">
        <v>1</v>
      </c>
      <c r="M7" s="523">
        <v>84.89</v>
      </c>
    </row>
    <row r="8" spans="1:13" ht="14.45" customHeight="1" x14ac:dyDescent="0.2">
      <c r="A8" s="488" t="s">
        <v>308</v>
      </c>
      <c r="B8" s="489" t="s">
        <v>338</v>
      </c>
      <c r="C8" s="489" t="s">
        <v>316</v>
      </c>
      <c r="D8" s="489" t="s">
        <v>317</v>
      </c>
      <c r="E8" s="489" t="s">
        <v>315</v>
      </c>
      <c r="F8" s="522"/>
      <c r="G8" s="522"/>
      <c r="H8" s="494">
        <v>0</v>
      </c>
      <c r="I8" s="522">
        <v>1</v>
      </c>
      <c r="J8" s="522">
        <v>84.89</v>
      </c>
      <c r="K8" s="494">
        <v>1</v>
      </c>
      <c r="L8" s="522">
        <v>1</v>
      </c>
      <c r="M8" s="523">
        <v>84.89</v>
      </c>
    </row>
    <row r="9" spans="1:13" ht="14.45" customHeight="1" x14ac:dyDescent="0.2">
      <c r="A9" s="488" t="s">
        <v>308</v>
      </c>
      <c r="B9" s="489" t="s">
        <v>338</v>
      </c>
      <c r="C9" s="489" t="s">
        <v>318</v>
      </c>
      <c r="D9" s="489" t="s">
        <v>319</v>
      </c>
      <c r="E9" s="489" t="s">
        <v>312</v>
      </c>
      <c r="F9" s="522"/>
      <c r="G9" s="522"/>
      <c r="H9" s="494">
        <v>0</v>
      </c>
      <c r="I9" s="522">
        <v>12</v>
      </c>
      <c r="J9" s="522">
        <v>2807.52</v>
      </c>
      <c r="K9" s="494">
        <v>1</v>
      </c>
      <c r="L9" s="522">
        <v>12</v>
      </c>
      <c r="M9" s="523">
        <v>2807.52</v>
      </c>
    </row>
    <row r="10" spans="1:13" ht="14.45" customHeight="1" x14ac:dyDescent="0.2">
      <c r="A10" s="488" t="s">
        <v>308</v>
      </c>
      <c r="B10" s="489" t="s">
        <v>338</v>
      </c>
      <c r="C10" s="489" t="s">
        <v>320</v>
      </c>
      <c r="D10" s="489" t="s">
        <v>321</v>
      </c>
      <c r="E10" s="489" t="s">
        <v>322</v>
      </c>
      <c r="F10" s="522"/>
      <c r="G10" s="522"/>
      <c r="H10" s="494">
        <v>0</v>
      </c>
      <c r="I10" s="522">
        <v>2</v>
      </c>
      <c r="J10" s="522">
        <v>477.78</v>
      </c>
      <c r="K10" s="494">
        <v>1</v>
      </c>
      <c r="L10" s="522">
        <v>2</v>
      </c>
      <c r="M10" s="523">
        <v>477.78</v>
      </c>
    </row>
    <row r="11" spans="1:13" ht="14.45" customHeight="1" x14ac:dyDescent="0.2">
      <c r="A11" s="488" t="s">
        <v>308</v>
      </c>
      <c r="B11" s="489" t="s">
        <v>338</v>
      </c>
      <c r="C11" s="489" t="s">
        <v>329</v>
      </c>
      <c r="D11" s="489" t="s">
        <v>330</v>
      </c>
      <c r="E11" s="489" t="s">
        <v>315</v>
      </c>
      <c r="F11" s="522">
        <v>3</v>
      </c>
      <c r="G11" s="522">
        <v>430.77</v>
      </c>
      <c r="H11" s="494">
        <v>1</v>
      </c>
      <c r="I11" s="522"/>
      <c r="J11" s="522"/>
      <c r="K11" s="494">
        <v>0</v>
      </c>
      <c r="L11" s="522">
        <v>3</v>
      </c>
      <c r="M11" s="523">
        <v>430.77</v>
      </c>
    </row>
    <row r="12" spans="1:13" ht="14.45" customHeight="1" x14ac:dyDescent="0.2">
      <c r="A12" s="488" t="s">
        <v>308</v>
      </c>
      <c r="B12" s="489" t="s">
        <v>338</v>
      </c>
      <c r="C12" s="489" t="s">
        <v>323</v>
      </c>
      <c r="D12" s="489" t="s">
        <v>324</v>
      </c>
      <c r="E12" s="489" t="s">
        <v>315</v>
      </c>
      <c r="F12" s="522">
        <v>2</v>
      </c>
      <c r="G12" s="522">
        <v>287.18</v>
      </c>
      <c r="H12" s="494">
        <v>1</v>
      </c>
      <c r="I12" s="522"/>
      <c r="J12" s="522"/>
      <c r="K12" s="494">
        <v>0</v>
      </c>
      <c r="L12" s="522">
        <v>2</v>
      </c>
      <c r="M12" s="523">
        <v>287.18</v>
      </c>
    </row>
    <row r="13" spans="1:13" ht="14.45" customHeight="1" x14ac:dyDescent="0.2">
      <c r="A13" s="488" t="s">
        <v>308</v>
      </c>
      <c r="B13" s="489" t="s">
        <v>338</v>
      </c>
      <c r="C13" s="489" t="s">
        <v>325</v>
      </c>
      <c r="D13" s="489" t="s">
        <v>326</v>
      </c>
      <c r="E13" s="489" t="s">
        <v>315</v>
      </c>
      <c r="F13" s="522">
        <v>2</v>
      </c>
      <c r="G13" s="522">
        <v>287.18</v>
      </c>
      <c r="H13" s="494">
        <v>1</v>
      </c>
      <c r="I13" s="522"/>
      <c r="J13" s="522"/>
      <c r="K13" s="494">
        <v>0</v>
      </c>
      <c r="L13" s="522">
        <v>2</v>
      </c>
      <c r="M13" s="523">
        <v>287.18</v>
      </c>
    </row>
    <row r="14" spans="1:13" ht="14.45" customHeight="1" thickBot="1" x14ac:dyDescent="0.25">
      <c r="A14" s="496" t="s">
        <v>308</v>
      </c>
      <c r="B14" s="497" t="s">
        <v>338</v>
      </c>
      <c r="C14" s="497" t="s">
        <v>327</v>
      </c>
      <c r="D14" s="497" t="s">
        <v>328</v>
      </c>
      <c r="E14" s="497" t="s">
        <v>322</v>
      </c>
      <c r="F14" s="511">
        <v>3</v>
      </c>
      <c r="G14" s="511">
        <v>518.01</v>
      </c>
      <c r="H14" s="502">
        <v>1</v>
      </c>
      <c r="I14" s="511"/>
      <c r="J14" s="511"/>
      <c r="K14" s="502">
        <v>0</v>
      </c>
      <c r="L14" s="511">
        <v>3</v>
      </c>
      <c r="M14" s="512">
        <v>518.01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BDAD039-8ACA-4782-A9D1-ECDBD412E2D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232" t="s">
        <v>235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59"/>
      <c r="C3" s="238">
        <v>2015</v>
      </c>
      <c r="D3" s="239">
        <v>2018</v>
      </c>
      <c r="E3" s="7"/>
      <c r="F3" s="314">
        <v>2019</v>
      </c>
      <c r="G3" s="332"/>
      <c r="H3" s="332"/>
      <c r="I3" s="315"/>
    </row>
    <row r="4" spans="1:10" ht="14.45" customHeight="1" thickBot="1" x14ac:dyDescent="0.25">
      <c r="A4" s="243" t="s">
        <v>0</v>
      </c>
      <c r="B4" s="244" t="s">
        <v>172</v>
      </c>
      <c r="C4" s="333" t="s">
        <v>71</v>
      </c>
      <c r="D4" s="334"/>
      <c r="E4" s="245"/>
      <c r="F4" s="240" t="s">
        <v>71</v>
      </c>
      <c r="G4" s="241" t="s">
        <v>72</v>
      </c>
      <c r="H4" s="241" t="s">
        <v>66</v>
      </c>
      <c r="I4" s="242" t="s">
        <v>73</v>
      </c>
    </row>
    <row r="5" spans="1:10" ht="14.45" customHeight="1" x14ac:dyDescent="0.2">
      <c r="A5" s="455" t="s">
        <v>298</v>
      </c>
      <c r="B5" s="456" t="s">
        <v>340</v>
      </c>
      <c r="C5" s="524" t="s">
        <v>300</v>
      </c>
      <c r="D5" s="524" t="s">
        <v>300</v>
      </c>
      <c r="E5" s="524"/>
      <c r="F5" s="524" t="s">
        <v>300</v>
      </c>
      <c r="G5" s="524" t="s">
        <v>300</v>
      </c>
      <c r="H5" s="524" t="s">
        <v>300</v>
      </c>
      <c r="I5" s="525" t="s">
        <v>300</v>
      </c>
      <c r="J5" s="457" t="s">
        <v>67</v>
      </c>
    </row>
    <row r="6" spans="1:10" ht="14.45" customHeight="1" x14ac:dyDescent="0.2">
      <c r="A6" s="455" t="s">
        <v>298</v>
      </c>
      <c r="B6" s="456" t="s">
        <v>341</v>
      </c>
      <c r="C6" s="524">
        <v>95.554080000000013</v>
      </c>
      <c r="D6" s="524">
        <v>120.88571999999998</v>
      </c>
      <c r="E6" s="524"/>
      <c r="F6" s="524">
        <v>147.93738000000002</v>
      </c>
      <c r="G6" s="524">
        <v>158.47589062500001</v>
      </c>
      <c r="H6" s="524">
        <v>-10.538510624999986</v>
      </c>
      <c r="I6" s="525">
        <v>0.9335008588155711</v>
      </c>
      <c r="J6" s="457" t="s">
        <v>1</v>
      </c>
    </row>
    <row r="7" spans="1:10" ht="14.45" customHeight="1" x14ac:dyDescent="0.2">
      <c r="A7" s="455" t="s">
        <v>298</v>
      </c>
      <c r="B7" s="456" t="s">
        <v>342</v>
      </c>
      <c r="C7" s="524">
        <v>407.82826000000017</v>
      </c>
      <c r="D7" s="524">
        <v>356.37310000000002</v>
      </c>
      <c r="E7" s="524"/>
      <c r="F7" s="524">
        <v>535.39712000000043</v>
      </c>
      <c r="G7" s="524">
        <v>505.26621875000001</v>
      </c>
      <c r="H7" s="524">
        <v>30.13090125000042</v>
      </c>
      <c r="I7" s="525">
        <v>1.0596337141330021</v>
      </c>
      <c r="J7" s="457" t="s">
        <v>1</v>
      </c>
    </row>
    <row r="8" spans="1:10" ht="14.45" customHeight="1" x14ac:dyDescent="0.2">
      <c r="A8" s="455" t="s">
        <v>298</v>
      </c>
      <c r="B8" s="456" t="s">
        <v>343</v>
      </c>
      <c r="C8" s="524">
        <v>223.75435999999996</v>
      </c>
      <c r="D8" s="524">
        <v>273.22894999999994</v>
      </c>
      <c r="E8" s="524"/>
      <c r="F8" s="524">
        <v>399.53868999999946</v>
      </c>
      <c r="G8" s="524">
        <v>450.06231250000002</v>
      </c>
      <c r="H8" s="524">
        <v>-50.523622500000556</v>
      </c>
      <c r="I8" s="525">
        <v>0.88774082811032851</v>
      </c>
      <c r="J8" s="457" t="s">
        <v>1</v>
      </c>
    </row>
    <row r="9" spans="1:10" ht="14.45" customHeight="1" x14ac:dyDescent="0.2">
      <c r="A9" s="455" t="s">
        <v>298</v>
      </c>
      <c r="B9" s="456" t="s">
        <v>344</v>
      </c>
      <c r="C9" s="524">
        <v>14.67717</v>
      </c>
      <c r="D9" s="524">
        <v>20.135100000000001</v>
      </c>
      <c r="E9" s="524"/>
      <c r="F9" s="524">
        <v>23.766050000000003</v>
      </c>
      <c r="G9" s="524">
        <v>33.290894531249997</v>
      </c>
      <c r="H9" s="524">
        <v>-9.5248445312499932</v>
      </c>
      <c r="I9" s="525">
        <v>0.71389039960133638</v>
      </c>
      <c r="J9" s="457" t="s">
        <v>1</v>
      </c>
    </row>
    <row r="10" spans="1:10" ht="14.45" customHeight="1" x14ac:dyDescent="0.2">
      <c r="A10" s="455" t="s">
        <v>298</v>
      </c>
      <c r="B10" s="456" t="s">
        <v>345</v>
      </c>
      <c r="C10" s="524">
        <v>30.842200000000002</v>
      </c>
      <c r="D10" s="524">
        <v>40.703099999999999</v>
      </c>
      <c r="E10" s="524"/>
      <c r="F10" s="524">
        <v>56.115499999999976</v>
      </c>
      <c r="G10" s="524">
        <v>75.044570312499999</v>
      </c>
      <c r="H10" s="524">
        <v>-18.929070312500023</v>
      </c>
      <c r="I10" s="525">
        <v>0.74776229334546473</v>
      </c>
      <c r="J10" s="457" t="s">
        <v>1</v>
      </c>
    </row>
    <row r="11" spans="1:10" ht="14.45" customHeight="1" x14ac:dyDescent="0.2">
      <c r="A11" s="455" t="s">
        <v>298</v>
      </c>
      <c r="B11" s="456" t="s">
        <v>346</v>
      </c>
      <c r="C11" s="524">
        <v>85.03098</v>
      </c>
      <c r="D11" s="524">
        <v>13.88777</v>
      </c>
      <c r="E11" s="524"/>
      <c r="F11" s="524">
        <v>0</v>
      </c>
      <c r="G11" s="524">
        <v>25</v>
      </c>
      <c r="H11" s="524">
        <v>-25</v>
      </c>
      <c r="I11" s="525">
        <v>0</v>
      </c>
      <c r="J11" s="457" t="s">
        <v>1</v>
      </c>
    </row>
    <row r="12" spans="1:10" ht="14.45" customHeight="1" x14ac:dyDescent="0.2">
      <c r="A12" s="455" t="s">
        <v>298</v>
      </c>
      <c r="B12" s="456" t="s">
        <v>347</v>
      </c>
      <c r="C12" s="524">
        <v>0</v>
      </c>
      <c r="D12" s="524">
        <v>92.319879999999998</v>
      </c>
      <c r="E12" s="524"/>
      <c r="F12" s="524">
        <v>0</v>
      </c>
      <c r="G12" s="524">
        <v>0</v>
      </c>
      <c r="H12" s="524">
        <v>0</v>
      </c>
      <c r="I12" s="525" t="s">
        <v>300</v>
      </c>
      <c r="J12" s="457" t="s">
        <v>1</v>
      </c>
    </row>
    <row r="13" spans="1:10" ht="14.45" customHeight="1" x14ac:dyDescent="0.2">
      <c r="A13" s="455" t="s">
        <v>298</v>
      </c>
      <c r="B13" s="456" t="s">
        <v>348</v>
      </c>
      <c r="C13" s="524">
        <v>857.68705000000023</v>
      </c>
      <c r="D13" s="524">
        <v>917.53361999999993</v>
      </c>
      <c r="E13" s="524"/>
      <c r="F13" s="524">
        <v>1162.7547399999996</v>
      </c>
      <c r="G13" s="524">
        <v>1247.1398867187499</v>
      </c>
      <c r="H13" s="524">
        <v>-84.38514671875032</v>
      </c>
      <c r="I13" s="525">
        <v>0.93233706369477976</v>
      </c>
      <c r="J13" s="457" t="s">
        <v>299</v>
      </c>
    </row>
    <row r="15" spans="1:10" ht="14.45" customHeight="1" x14ac:dyDescent="0.2">
      <c r="A15" s="455" t="s">
        <v>298</v>
      </c>
      <c r="B15" s="456" t="s">
        <v>340</v>
      </c>
      <c r="C15" s="524" t="s">
        <v>300</v>
      </c>
      <c r="D15" s="524" t="s">
        <v>300</v>
      </c>
      <c r="E15" s="524"/>
      <c r="F15" s="524" t="s">
        <v>300</v>
      </c>
      <c r="G15" s="524" t="s">
        <v>300</v>
      </c>
      <c r="H15" s="524" t="s">
        <v>300</v>
      </c>
      <c r="I15" s="525" t="s">
        <v>300</v>
      </c>
      <c r="J15" s="457" t="s">
        <v>67</v>
      </c>
    </row>
    <row r="16" spans="1:10" ht="14.45" customHeight="1" x14ac:dyDescent="0.2">
      <c r="A16" s="455" t="s">
        <v>349</v>
      </c>
      <c r="B16" s="456" t="s">
        <v>350</v>
      </c>
      <c r="C16" s="524" t="s">
        <v>300</v>
      </c>
      <c r="D16" s="524" t="s">
        <v>300</v>
      </c>
      <c r="E16" s="524"/>
      <c r="F16" s="524" t="s">
        <v>300</v>
      </c>
      <c r="G16" s="524" t="s">
        <v>300</v>
      </c>
      <c r="H16" s="524" t="s">
        <v>300</v>
      </c>
      <c r="I16" s="525" t="s">
        <v>300</v>
      </c>
      <c r="J16" s="457" t="s">
        <v>0</v>
      </c>
    </row>
    <row r="17" spans="1:10" ht="14.45" customHeight="1" x14ac:dyDescent="0.2">
      <c r="A17" s="455" t="s">
        <v>349</v>
      </c>
      <c r="B17" s="456" t="s">
        <v>341</v>
      </c>
      <c r="C17" s="524">
        <v>95.554080000000013</v>
      </c>
      <c r="D17" s="524">
        <v>120.88571999999998</v>
      </c>
      <c r="E17" s="524"/>
      <c r="F17" s="524">
        <v>147.93738000000002</v>
      </c>
      <c r="G17" s="524">
        <v>158</v>
      </c>
      <c r="H17" s="524">
        <v>-10.062619999999981</v>
      </c>
      <c r="I17" s="525">
        <v>0.93631253164556971</v>
      </c>
      <c r="J17" s="457" t="s">
        <v>1</v>
      </c>
    </row>
    <row r="18" spans="1:10" ht="14.45" customHeight="1" x14ac:dyDescent="0.2">
      <c r="A18" s="455" t="s">
        <v>349</v>
      </c>
      <c r="B18" s="456" t="s">
        <v>342</v>
      </c>
      <c r="C18" s="524">
        <v>407.82826000000017</v>
      </c>
      <c r="D18" s="524">
        <v>356.37310000000002</v>
      </c>
      <c r="E18" s="524"/>
      <c r="F18" s="524">
        <v>535.39712000000043</v>
      </c>
      <c r="G18" s="524">
        <v>505</v>
      </c>
      <c r="H18" s="524">
        <v>30.397120000000427</v>
      </c>
      <c r="I18" s="525">
        <v>1.060192316831684</v>
      </c>
      <c r="J18" s="457" t="s">
        <v>1</v>
      </c>
    </row>
    <row r="19" spans="1:10" ht="14.45" customHeight="1" x14ac:dyDescent="0.2">
      <c r="A19" s="455" t="s">
        <v>349</v>
      </c>
      <c r="B19" s="456" t="s">
        <v>343</v>
      </c>
      <c r="C19" s="524">
        <v>223.75435999999996</v>
      </c>
      <c r="D19" s="524">
        <v>273.22894999999994</v>
      </c>
      <c r="E19" s="524"/>
      <c r="F19" s="524">
        <v>399.53868999999946</v>
      </c>
      <c r="G19" s="524">
        <v>450</v>
      </c>
      <c r="H19" s="524">
        <v>-50.461310000000537</v>
      </c>
      <c r="I19" s="525">
        <v>0.88786375555555441</v>
      </c>
      <c r="J19" s="457" t="s">
        <v>1</v>
      </c>
    </row>
    <row r="20" spans="1:10" ht="14.45" customHeight="1" x14ac:dyDescent="0.2">
      <c r="A20" s="455" t="s">
        <v>349</v>
      </c>
      <c r="B20" s="456" t="s">
        <v>344</v>
      </c>
      <c r="C20" s="524">
        <v>14.67717</v>
      </c>
      <c r="D20" s="524">
        <v>20.135100000000001</v>
      </c>
      <c r="E20" s="524"/>
      <c r="F20" s="524">
        <v>23.766050000000003</v>
      </c>
      <c r="G20" s="524">
        <v>33</v>
      </c>
      <c r="H20" s="524">
        <v>-9.2339499999999965</v>
      </c>
      <c r="I20" s="525">
        <v>0.7201833333333334</v>
      </c>
      <c r="J20" s="457" t="s">
        <v>1</v>
      </c>
    </row>
    <row r="21" spans="1:10" ht="14.45" customHeight="1" x14ac:dyDescent="0.2">
      <c r="A21" s="455" t="s">
        <v>349</v>
      </c>
      <c r="B21" s="456" t="s">
        <v>345</v>
      </c>
      <c r="C21" s="524">
        <v>30.842200000000002</v>
      </c>
      <c r="D21" s="524">
        <v>40.703099999999999</v>
      </c>
      <c r="E21" s="524"/>
      <c r="F21" s="524">
        <v>56.115499999999976</v>
      </c>
      <c r="G21" s="524">
        <v>75</v>
      </c>
      <c r="H21" s="524">
        <v>-18.884500000000024</v>
      </c>
      <c r="I21" s="525">
        <v>0.74820666666666635</v>
      </c>
      <c r="J21" s="457" t="s">
        <v>1</v>
      </c>
    </row>
    <row r="22" spans="1:10" ht="14.45" customHeight="1" x14ac:dyDescent="0.2">
      <c r="A22" s="455" t="s">
        <v>349</v>
      </c>
      <c r="B22" s="456" t="s">
        <v>346</v>
      </c>
      <c r="C22" s="524">
        <v>85.03098</v>
      </c>
      <c r="D22" s="524">
        <v>13.88777</v>
      </c>
      <c r="E22" s="524"/>
      <c r="F22" s="524">
        <v>0</v>
      </c>
      <c r="G22" s="524">
        <v>25</v>
      </c>
      <c r="H22" s="524">
        <v>-25</v>
      </c>
      <c r="I22" s="525">
        <v>0</v>
      </c>
      <c r="J22" s="457" t="s">
        <v>1</v>
      </c>
    </row>
    <row r="23" spans="1:10" ht="14.45" customHeight="1" x14ac:dyDescent="0.2">
      <c r="A23" s="455" t="s">
        <v>349</v>
      </c>
      <c r="B23" s="456" t="s">
        <v>347</v>
      </c>
      <c r="C23" s="524">
        <v>0</v>
      </c>
      <c r="D23" s="524">
        <v>92.319879999999998</v>
      </c>
      <c r="E23" s="524"/>
      <c r="F23" s="524">
        <v>0</v>
      </c>
      <c r="G23" s="524">
        <v>0</v>
      </c>
      <c r="H23" s="524">
        <v>0</v>
      </c>
      <c r="I23" s="525" t="s">
        <v>300</v>
      </c>
      <c r="J23" s="457" t="s">
        <v>1</v>
      </c>
    </row>
    <row r="24" spans="1:10" ht="14.45" customHeight="1" x14ac:dyDescent="0.2">
      <c r="A24" s="455" t="s">
        <v>349</v>
      </c>
      <c r="B24" s="456" t="s">
        <v>351</v>
      </c>
      <c r="C24" s="524">
        <v>857.68705000000023</v>
      </c>
      <c r="D24" s="524">
        <v>917.53361999999993</v>
      </c>
      <c r="E24" s="524"/>
      <c r="F24" s="524">
        <v>1162.7547399999996</v>
      </c>
      <c r="G24" s="524">
        <v>1247</v>
      </c>
      <c r="H24" s="524">
        <v>-84.245260000000371</v>
      </c>
      <c r="I24" s="525">
        <v>0.93244165196471507</v>
      </c>
      <c r="J24" s="457" t="s">
        <v>303</v>
      </c>
    </row>
    <row r="25" spans="1:10" ht="14.45" customHeight="1" x14ac:dyDescent="0.2">
      <c r="A25" s="455" t="s">
        <v>300</v>
      </c>
      <c r="B25" s="456" t="s">
        <v>300</v>
      </c>
      <c r="C25" s="524" t="s">
        <v>300</v>
      </c>
      <c r="D25" s="524" t="s">
        <v>300</v>
      </c>
      <c r="E25" s="524"/>
      <c r="F25" s="524" t="s">
        <v>300</v>
      </c>
      <c r="G25" s="524" t="s">
        <v>300</v>
      </c>
      <c r="H25" s="524" t="s">
        <v>300</v>
      </c>
      <c r="I25" s="525" t="s">
        <v>300</v>
      </c>
      <c r="J25" s="457" t="s">
        <v>304</v>
      </c>
    </row>
    <row r="26" spans="1:10" ht="14.45" customHeight="1" x14ac:dyDescent="0.2">
      <c r="A26" s="455" t="s">
        <v>298</v>
      </c>
      <c r="B26" s="456" t="s">
        <v>348</v>
      </c>
      <c r="C26" s="524">
        <v>857.68705000000023</v>
      </c>
      <c r="D26" s="524">
        <v>917.53361999999993</v>
      </c>
      <c r="E26" s="524"/>
      <c r="F26" s="524">
        <v>1162.7547399999996</v>
      </c>
      <c r="G26" s="524">
        <v>1247</v>
      </c>
      <c r="H26" s="524">
        <v>-84.245260000000371</v>
      </c>
      <c r="I26" s="525">
        <v>0.93244165196471507</v>
      </c>
      <c r="J26" s="457" t="s">
        <v>299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23F2EC59-9708-4148-B254-CCA1334E1038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2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40" t="s">
        <v>554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232" t="s">
        <v>235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12.440935832108726</v>
      </c>
      <c r="J3" s="98">
        <f>SUBTOTAL(9,J5:J1048576)</f>
        <v>93462</v>
      </c>
      <c r="K3" s="99">
        <f>SUBTOTAL(9,K5:K1048576)</f>
        <v>1162754.7447405457</v>
      </c>
    </row>
    <row r="4" spans="1:11" s="208" customFormat="1" ht="14.45" customHeight="1" thickBot="1" x14ac:dyDescent="0.25">
      <c r="A4" s="526" t="s">
        <v>4</v>
      </c>
      <c r="B4" s="527" t="s">
        <v>5</v>
      </c>
      <c r="C4" s="527" t="s">
        <v>0</v>
      </c>
      <c r="D4" s="527" t="s">
        <v>6</v>
      </c>
      <c r="E4" s="527" t="s">
        <v>7</v>
      </c>
      <c r="F4" s="527" t="s">
        <v>1</v>
      </c>
      <c r="G4" s="527" t="s">
        <v>69</v>
      </c>
      <c r="H4" s="528" t="s">
        <v>10</v>
      </c>
      <c r="I4" s="529" t="s">
        <v>137</v>
      </c>
      <c r="J4" s="529" t="s">
        <v>12</v>
      </c>
      <c r="K4" s="530" t="s">
        <v>151</v>
      </c>
    </row>
    <row r="5" spans="1:11" ht="14.45" customHeight="1" x14ac:dyDescent="0.2">
      <c r="A5" s="481" t="s">
        <v>298</v>
      </c>
      <c r="B5" s="482" t="s">
        <v>340</v>
      </c>
      <c r="C5" s="485" t="s">
        <v>349</v>
      </c>
      <c r="D5" s="531" t="s">
        <v>350</v>
      </c>
      <c r="E5" s="485" t="s">
        <v>352</v>
      </c>
      <c r="F5" s="531" t="s">
        <v>353</v>
      </c>
      <c r="G5" s="485" t="s">
        <v>354</v>
      </c>
      <c r="H5" s="485" t="s">
        <v>355</v>
      </c>
      <c r="I5" s="116">
        <v>70.180000305175781</v>
      </c>
      <c r="J5" s="116">
        <v>310</v>
      </c>
      <c r="K5" s="510">
        <v>21755.799789428711</v>
      </c>
    </row>
    <row r="6" spans="1:11" ht="14.45" customHeight="1" x14ac:dyDescent="0.2">
      <c r="A6" s="488" t="s">
        <v>298</v>
      </c>
      <c r="B6" s="489" t="s">
        <v>340</v>
      </c>
      <c r="C6" s="492" t="s">
        <v>349</v>
      </c>
      <c r="D6" s="532" t="s">
        <v>350</v>
      </c>
      <c r="E6" s="492" t="s">
        <v>352</v>
      </c>
      <c r="F6" s="532" t="s">
        <v>353</v>
      </c>
      <c r="G6" s="492" t="s">
        <v>356</v>
      </c>
      <c r="H6" s="492" t="s">
        <v>357</v>
      </c>
      <c r="I6" s="522">
        <v>0.41999998688697815</v>
      </c>
      <c r="J6" s="522">
        <v>1000</v>
      </c>
      <c r="K6" s="523">
        <v>419.75</v>
      </c>
    </row>
    <row r="7" spans="1:11" ht="14.45" customHeight="1" x14ac:dyDescent="0.2">
      <c r="A7" s="488" t="s">
        <v>298</v>
      </c>
      <c r="B7" s="489" t="s">
        <v>340</v>
      </c>
      <c r="C7" s="492" t="s">
        <v>349</v>
      </c>
      <c r="D7" s="532" t="s">
        <v>350</v>
      </c>
      <c r="E7" s="492" t="s">
        <v>352</v>
      </c>
      <c r="F7" s="532" t="s">
        <v>353</v>
      </c>
      <c r="G7" s="492" t="s">
        <v>358</v>
      </c>
      <c r="H7" s="492" t="s">
        <v>359</v>
      </c>
      <c r="I7" s="522">
        <v>0.5899999737739563</v>
      </c>
      <c r="J7" s="522">
        <v>2000</v>
      </c>
      <c r="K7" s="523">
        <v>1180</v>
      </c>
    </row>
    <row r="8" spans="1:11" ht="14.45" customHeight="1" x14ac:dyDescent="0.2">
      <c r="A8" s="488" t="s">
        <v>298</v>
      </c>
      <c r="B8" s="489" t="s">
        <v>340</v>
      </c>
      <c r="C8" s="492" t="s">
        <v>349</v>
      </c>
      <c r="D8" s="532" t="s">
        <v>350</v>
      </c>
      <c r="E8" s="492" t="s">
        <v>352</v>
      </c>
      <c r="F8" s="532" t="s">
        <v>353</v>
      </c>
      <c r="G8" s="492" t="s">
        <v>356</v>
      </c>
      <c r="H8" s="492" t="s">
        <v>360</v>
      </c>
      <c r="I8" s="522">
        <v>0.41999998688697815</v>
      </c>
      <c r="J8" s="522">
        <v>1000</v>
      </c>
      <c r="K8" s="523">
        <v>419.75</v>
      </c>
    </row>
    <row r="9" spans="1:11" ht="14.45" customHeight="1" x14ac:dyDescent="0.2">
      <c r="A9" s="488" t="s">
        <v>298</v>
      </c>
      <c r="B9" s="489" t="s">
        <v>340</v>
      </c>
      <c r="C9" s="492" t="s">
        <v>349</v>
      </c>
      <c r="D9" s="532" t="s">
        <v>350</v>
      </c>
      <c r="E9" s="492" t="s">
        <v>352</v>
      </c>
      <c r="F9" s="532" t="s">
        <v>353</v>
      </c>
      <c r="G9" s="492" t="s">
        <v>358</v>
      </c>
      <c r="H9" s="492" t="s">
        <v>361</v>
      </c>
      <c r="I9" s="522">
        <v>0.58499997854232788</v>
      </c>
      <c r="J9" s="522">
        <v>1800</v>
      </c>
      <c r="K9" s="523">
        <v>1054</v>
      </c>
    </row>
    <row r="10" spans="1:11" ht="14.45" customHeight="1" x14ac:dyDescent="0.2">
      <c r="A10" s="488" t="s">
        <v>298</v>
      </c>
      <c r="B10" s="489" t="s">
        <v>340</v>
      </c>
      <c r="C10" s="492" t="s">
        <v>349</v>
      </c>
      <c r="D10" s="532" t="s">
        <v>350</v>
      </c>
      <c r="E10" s="492" t="s">
        <v>352</v>
      </c>
      <c r="F10" s="532" t="s">
        <v>353</v>
      </c>
      <c r="G10" s="492" t="s">
        <v>362</v>
      </c>
      <c r="H10" s="492" t="s">
        <v>363</v>
      </c>
      <c r="I10" s="522">
        <v>0.87999999523162842</v>
      </c>
      <c r="J10" s="522">
        <v>600</v>
      </c>
      <c r="K10" s="523">
        <v>528</v>
      </c>
    </row>
    <row r="11" spans="1:11" ht="14.45" customHeight="1" x14ac:dyDescent="0.2">
      <c r="A11" s="488" t="s">
        <v>298</v>
      </c>
      <c r="B11" s="489" t="s">
        <v>340</v>
      </c>
      <c r="C11" s="492" t="s">
        <v>349</v>
      </c>
      <c r="D11" s="532" t="s">
        <v>350</v>
      </c>
      <c r="E11" s="492" t="s">
        <v>352</v>
      </c>
      <c r="F11" s="532" t="s">
        <v>353</v>
      </c>
      <c r="G11" s="492" t="s">
        <v>364</v>
      </c>
      <c r="H11" s="492" t="s">
        <v>365</v>
      </c>
      <c r="I11" s="522">
        <v>0.15000000596046448</v>
      </c>
      <c r="J11" s="522">
        <v>100</v>
      </c>
      <c r="K11" s="523">
        <v>15</v>
      </c>
    </row>
    <row r="12" spans="1:11" ht="14.45" customHeight="1" x14ac:dyDescent="0.2">
      <c r="A12" s="488" t="s">
        <v>298</v>
      </c>
      <c r="B12" s="489" t="s">
        <v>340</v>
      </c>
      <c r="C12" s="492" t="s">
        <v>349</v>
      </c>
      <c r="D12" s="532" t="s">
        <v>350</v>
      </c>
      <c r="E12" s="492" t="s">
        <v>352</v>
      </c>
      <c r="F12" s="532" t="s">
        <v>353</v>
      </c>
      <c r="G12" s="492" t="s">
        <v>366</v>
      </c>
      <c r="H12" s="492" t="s">
        <v>367</v>
      </c>
      <c r="I12" s="522">
        <v>1.1762499511241913</v>
      </c>
      <c r="J12" s="522">
        <v>1300</v>
      </c>
      <c r="K12" s="523">
        <v>1529</v>
      </c>
    </row>
    <row r="13" spans="1:11" ht="14.45" customHeight="1" x14ac:dyDescent="0.2">
      <c r="A13" s="488" t="s">
        <v>298</v>
      </c>
      <c r="B13" s="489" t="s">
        <v>340</v>
      </c>
      <c r="C13" s="492" t="s">
        <v>349</v>
      </c>
      <c r="D13" s="532" t="s">
        <v>350</v>
      </c>
      <c r="E13" s="492" t="s">
        <v>352</v>
      </c>
      <c r="F13" s="532" t="s">
        <v>353</v>
      </c>
      <c r="G13" s="492" t="s">
        <v>366</v>
      </c>
      <c r="H13" s="492" t="s">
        <v>368</v>
      </c>
      <c r="I13" s="522">
        <v>1.1699999570846558</v>
      </c>
      <c r="J13" s="522">
        <v>160</v>
      </c>
      <c r="K13" s="523">
        <v>187.19999694824219</v>
      </c>
    </row>
    <row r="14" spans="1:11" ht="14.45" customHeight="1" x14ac:dyDescent="0.2">
      <c r="A14" s="488" t="s">
        <v>298</v>
      </c>
      <c r="B14" s="489" t="s">
        <v>340</v>
      </c>
      <c r="C14" s="492" t="s">
        <v>349</v>
      </c>
      <c r="D14" s="532" t="s">
        <v>350</v>
      </c>
      <c r="E14" s="492" t="s">
        <v>352</v>
      </c>
      <c r="F14" s="532" t="s">
        <v>353</v>
      </c>
      <c r="G14" s="492" t="s">
        <v>369</v>
      </c>
      <c r="H14" s="492" t="s">
        <v>370</v>
      </c>
      <c r="I14" s="522">
        <v>2.5399999618530273</v>
      </c>
      <c r="J14" s="522">
        <v>140</v>
      </c>
      <c r="K14" s="523">
        <v>355.60000610351563</v>
      </c>
    </row>
    <row r="15" spans="1:11" ht="14.45" customHeight="1" x14ac:dyDescent="0.2">
      <c r="A15" s="488" t="s">
        <v>298</v>
      </c>
      <c r="B15" s="489" t="s">
        <v>340</v>
      </c>
      <c r="C15" s="492" t="s">
        <v>349</v>
      </c>
      <c r="D15" s="532" t="s">
        <v>350</v>
      </c>
      <c r="E15" s="492" t="s">
        <v>352</v>
      </c>
      <c r="F15" s="532" t="s">
        <v>353</v>
      </c>
      <c r="G15" s="492" t="s">
        <v>371</v>
      </c>
      <c r="H15" s="492" t="s">
        <v>372</v>
      </c>
      <c r="I15" s="522">
        <v>21.200000762939453</v>
      </c>
      <c r="J15" s="522">
        <v>20</v>
      </c>
      <c r="K15" s="523">
        <v>424.07998657226563</v>
      </c>
    </row>
    <row r="16" spans="1:11" ht="14.45" customHeight="1" x14ac:dyDescent="0.2">
      <c r="A16" s="488" t="s">
        <v>298</v>
      </c>
      <c r="B16" s="489" t="s">
        <v>340</v>
      </c>
      <c r="C16" s="492" t="s">
        <v>349</v>
      </c>
      <c r="D16" s="532" t="s">
        <v>350</v>
      </c>
      <c r="E16" s="492" t="s">
        <v>352</v>
      </c>
      <c r="F16" s="532" t="s">
        <v>353</v>
      </c>
      <c r="G16" s="492" t="s">
        <v>373</v>
      </c>
      <c r="H16" s="492" t="s">
        <v>374</v>
      </c>
      <c r="I16" s="522">
        <v>36.270000457763672</v>
      </c>
      <c r="J16" s="522">
        <v>25</v>
      </c>
      <c r="K16" s="523">
        <v>906.65997314453125</v>
      </c>
    </row>
    <row r="17" spans="1:11" ht="14.45" customHeight="1" x14ac:dyDescent="0.2">
      <c r="A17" s="488" t="s">
        <v>298</v>
      </c>
      <c r="B17" s="489" t="s">
        <v>340</v>
      </c>
      <c r="C17" s="492" t="s">
        <v>349</v>
      </c>
      <c r="D17" s="532" t="s">
        <v>350</v>
      </c>
      <c r="E17" s="492" t="s">
        <v>352</v>
      </c>
      <c r="F17" s="532" t="s">
        <v>353</v>
      </c>
      <c r="G17" s="492" t="s">
        <v>375</v>
      </c>
      <c r="H17" s="492" t="s">
        <v>376</v>
      </c>
      <c r="I17" s="522">
        <v>13.743333180745443</v>
      </c>
      <c r="J17" s="522">
        <v>150</v>
      </c>
      <c r="K17" s="523">
        <v>2061.93994140625</v>
      </c>
    </row>
    <row r="18" spans="1:11" ht="14.45" customHeight="1" x14ac:dyDescent="0.2">
      <c r="A18" s="488" t="s">
        <v>298</v>
      </c>
      <c r="B18" s="489" t="s">
        <v>340</v>
      </c>
      <c r="C18" s="492" t="s">
        <v>349</v>
      </c>
      <c r="D18" s="532" t="s">
        <v>350</v>
      </c>
      <c r="E18" s="492" t="s">
        <v>352</v>
      </c>
      <c r="F18" s="532" t="s">
        <v>353</v>
      </c>
      <c r="G18" s="492" t="s">
        <v>377</v>
      </c>
      <c r="H18" s="492" t="s">
        <v>378</v>
      </c>
      <c r="I18" s="522">
        <v>215.27999877929688</v>
      </c>
      <c r="J18" s="522">
        <v>100</v>
      </c>
      <c r="K18" s="523">
        <v>21528</v>
      </c>
    </row>
    <row r="19" spans="1:11" ht="14.45" customHeight="1" x14ac:dyDescent="0.2">
      <c r="A19" s="488" t="s">
        <v>298</v>
      </c>
      <c r="B19" s="489" t="s">
        <v>340</v>
      </c>
      <c r="C19" s="492" t="s">
        <v>349</v>
      </c>
      <c r="D19" s="532" t="s">
        <v>350</v>
      </c>
      <c r="E19" s="492" t="s">
        <v>352</v>
      </c>
      <c r="F19" s="532" t="s">
        <v>353</v>
      </c>
      <c r="G19" s="492" t="s">
        <v>379</v>
      </c>
      <c r="H19" s="492" t="s">
        <v>380</v>
      </c>
      <c r="I19" s="522">
        <v>227.552001953125</v>
      </c>
      <c r="J19" s="522">
        <v>125</v>
      </c>
      <c r="K19" s="523">
        <v>28444.099609375</v>
      </c>
    </row>
    <row r="20" spans="1:11" ht="14.45" customHeight="1" x14ac:dyDescent="0.2">
      <c r="A20" s="488" t="s">
        <v>298</v>
      </c>
      <c r="B20" s="489" t="s">
        <v>340</v>
      </c>
      <c r="C20" s="492" t="s">
        <v>349</v>
      </c>
      <c r="D20" s="532" t="s">
        <v>350</v>
      </c>
      <c r="E20" s="492" t="s">
        <v>352</v>
      </c>
      <c r="F20" s="532" t="s">
        <v>353</v>
      </c>
      <c r="G20" s="492" t="s">
        <v>381</v>
      </c>
      <c r="H20" s="492" t="s">
        <v>382</v>
      </c>
      <c r="I20" s="522">
        <v>41.240001678466797</v>
      </c>
      <c r="J20" s="522">
        <v>50</v>
      </c>
      <c r="K20" s="523">
        <v>2062.179931640625</v>
      </c>
    </row>
    <row r="21" spans="1:11" ht="14.45" customHeight="1" x14ac:dyDescent="0.2">
      <c r="A21" s="488" t="s">
        <v>298</v>
      </c>
      <c r="B21" s="489" t="s">
        <v>340</v>
      </c>
      <c r="C21" s="492" t="s">
        <v>349</v>
      </c>
      <c r="D21" s="532" t="s">
        <v>350</v>
      </c>
      <c r="E21" s="492" t="s">
        <v>352</v>
      </c>
      <c r="F21" s="532" t="s">
        <v>353</v>
      </c>
      <c r="G21" s="492" t="s">
        <v>369</v>
      </c>
      <c r="H21" s="492" t="s">
        <v>383</v>
      </c>
      <c r="I21" s="522">
        <v>2.6380000591278074</v>
      </c>
      <c r="J21" s="522">
        <v>350</v>
      </c>
      <c r="K21" s="523">
        <v>923.29998779296875</v>
      </c>
    </row>
    <row r="22" spans="1:11" ht="14.45" customHeight="1" x14ac:dyDescent="0.2">
      <c r="A22" s="488" t="s">
        <v>298</v>
      </c>
      <c r="B22" s="489" t="s">
        <v>340</v>
      </c>
      <c r="C22" s="492" t="s">
        <v>349</v>
      </c>
      <c r="D22" s="532" t="s">
        <v>350</v>
      </c>
      <c r="E22" s="492" t="s">
        <v>352</v>
      </c>
      <c r="F22" s="532" t="s">
        <v>353</v>
      </c>
      <c r="G22" s="492" t="s">
        <v>384</v>
      </c>
      <c r="H22" s="492" t="s">
        <v>385</v>
      </c>
      <c r="I22" s="522">
        <v>129.25999450683594</v>
      </c>
      <c r="J22" s="522">
        <v>10</v>
      </c>
      <c r="K22" s="523">
        <v>1292.5999755859375</v>
      </c>
    </row>
    <row r="23" spans="1:11" ht="14.45" customHeight="1" x14ac:dyDescent="0.2">
      <c r="A23" s="488" t="s">
        <v>298</v>
      </c>
      <c r="B23" s="489" t="s">
        <v>340</v>
      </c>
      <c r="C23" s="492" t="s">
        <v>349</v>
      </c>
      <c r="D23" s="532" t="s">
        <v>350</v>
      </c>
      <c r="E23" s="492" t="s">
        <v>352</v>
      </c>
      <c r="F23" s="532" t="s">
        <v>353</v>
      </c>
      <c r="G23" s="492" t="s">
        <v>371</v>
      </c>
      <c r="H23" s="492" t="s">
        <v>386</v>
      </c>
      <c r="I23" s="522">
        <v>21.200000762939453</v>
      </c>
      <c r="J23" s="522">
        <v>40</v>
      </c>
      <c r="K23" s="523">
        <v>848.15997314453125</v>
      </c>
    </row>
    <row r="24" spans="1:11" ht="14.45" customHeight="1" x14ac:dyDescent="0.2">
      <c r="A24" s="488" t="s">
        <v>298</v>
      </c>
      <c r="B24" s="489" t="s">
        <v>340</v>
      </c>
      <c r="C24" s="492" t="s">
        <v>349</v>
      </c>
      <c r="D24" s="532" t="s">
        <v>350</v>
      </c>
      <c r="E24" s="492" t="s">
        <v>352</v>
      </c>
      <c r="F24" s="532" t="s">
        <v>353</v>
      </c>
      <c r="G24" s="492" t="s">
        <v>373</v>
      </c>
      <c r="H24" s="492" t="s">
        <v>387</v>
      </c>
      <c r="I24" s="522">
        <v>36.270000457763672</v>
      </c>
      <c r="J24" s="522">
        <v>50</v>
      </c>
      <c r="K24" s="523">
        <v>1813.4099731445313</v>
      </c>
    </row>
    <row r="25" spans="1:11" ht="14.45" customHeight="1" x14ac:dyDescent="0.2">
      <c r="A25" s="488" t="s">
        <v>298</v>
      </c>
      <c r="B25" s="489" t="s">
        <v>340</v>
      </c>
      <c r="C25" s="492" t="s">
        <v>349</v>
      </c>
      <c r="D25" s="532" t="s">
        <v>350</v>
      </c>
      <c r="E25" s="492" t="s">
        <v>352</v>
      </c>
      <c r="F25" s="532" t="s">
        <v>353</v>
      </c>
      <c r="G25" s="492" t="s">
        <v>375</v>
      </c>
      <c r="H25" s="492" t="s">
        <v>388</v>
      </c>
      <c r="I25" s="522">
        <v>13.743333180745443</v>
      </c>
      <c r="J25" s="522">
        <v>150</v>
      </c>
      <c r="K25" s="523">
        <v>2061.719970703125</v>
      </c>
    </row>
    <row r="26" spans="1:11" ht="14.45" customHeight="1" x14ac:dyDescent="0.2">
      <c r="A26" s="488" t="s">
        <v>298</v>
      </c>
      <c r="B26" s="489" t="s">
        <v>340</v>
      </c>
      <c r="C26" s="492" t="s">
        <v>349</v>
      </c>
      <c r="D26" s="532" t="s">
        <v>350</v>
      </c>
      <c r="E26" s="492" t="s">
        <v>352</v>
      </c>
      <c r="F26" s="532" t="s">
        <v>353</v>
      </c>
      <c r="G26" s="492" t="s">
        <v>377</v>
      </c>
      <c r="H26" s="492" t="s">
        <v>389</v>
      </c>
      <c r="I26" s="522">
        <v>215.27999877929688</v>
      </c>
      <c r="J26" s="522">
        <v>25</v>
      </c>
      <c r="K26" s="523">
        <v>5382</v>
      </c>
    </row>
    <row r="27" spans="1:11" ht="14.45" customHeight="1" x14ac:dyDescent="0.2">
      <c r="A27" s="488" t="s">
        <v>298</v>
      </c>
      <c r="B27" s="489" t="s">
        <v>340</v>
      </c>
      <c r="C27" s="492" t="s">
        <v>349</v>
      </c>
      <c r="D27" s="532" t="s">
        <v>350</v>
      </c>
      <c r="E27" s="492" t="s">
        <v>352</v>
      </c>
      <c r="F27" s="532" t="s">
        <v>353</v>
      </c>
      <c r="G27" s="492" t="s">
        <v>379</v>
      </c>
      <c r="H27" s="492" t="s">
        <v>390</v>
      </c>
      <c r="I27" s="522">
        <v>227.29167175292969</v>
      </c>
      <c r="J27" s="522">
        <v>175</v>
      </c>
      <c r="K27" s="523">
        <v>39782.6396484375</v>
      </c>
    </row>
    <row r="28" spans="1:11" ht="14.45" customHeight="1" x14ac:dyDescent="0.2">
      <c r="A28" s="488" t="s">
        <v>298</v>
      </c>
      <c r="B28" s="489" t="s">
        <v>340</v>
      </c>
      <c r="C28" s="492" t="s">
        <v>349</v>
      </c>
      <c r="D28" s="532" t="s">
        <v>350</v>
      </c>
      <c r="E28" s="492" t="s">
        <v>352</v>
      </c>
      <c r="F28" s="532" t="s">
        <v>353</v>
      </c>
      <c r="G28" s="492" t="s">
        <v>381</v>
      </c>
      <c r="H28" s="492" t="s">
        <v>391</v>
      </c>
      <c r="I28" s="522">
        <v>41.240001678466797</v>
      </c>
      <c r="J28" s="522">
        <v>100</v>
      </c>
      <c r="K28" s="523">
        <v>4124.35986328125</v>
      </c>
    </row>
    <row r="29" spans="1:11" ht="14.45" customHeight="1" x14ac:dyDescent="0.2">
      <c r="A29" s="488" t="s">
        <v>298</v>
      </c>
      <c r="B29" s="489" t="s">
        <v>340</v>
      </c>
      <c r="C29" s="492" t="s">
        <v>349</v>
      </c>
      <c r="D29" s="532" t="s">
        <v>350</v>
      </c>
      <c r="E29" s="492" t="s">
        <v>352</v>
      </c>
      <c r="F29" s="532" t="s">
        <v>353</v>
      </c>
      <c r="G29" s="492" t="s">
        <v>392</v>
      </c>
      <c r="H29" s="492" t="s">
        <v>393</v>
      </c>
      <c r="I29" s="522">
        <v>1.5199999809265137</v>
      </c>
      <c r="J29" s="522">
        <v>100</v>
      </c>
      <c r="K29" s="523">
        <v>152</v>
      </c>
    </row>
    <row r="30" spans="1:11" ht="14.45" customHeight="1" x14ac:dyDescent="0.2">
      <c r="A30" s="488" t="s">
        <v>298</v>
      </c>
      <c r="B30" s="489" t="s">
        <v>340</v>
      </c>
      <c r="C30" s="492" t="s">
        <v>349</v>
      </c>
      <c r="D30" s="532" t="s">
        <v>350</v>
      </c>
      <c r="E30" s="492" t="s">
        <v>352</v>
      </c>
      <c r="F30" s="532" t="s">
        <v>353</v>
      </c>
      <c r="G30" s="492" t="s">
        <v>394</v>
      </c>
      <c r="H30" s="492" t="s">
        <v>395</v>
      </c>
      <c r="I30" s="522">
        <v>2.0649999380111694</v>
      </c>
      <c r="J30" s="522">
        <v>60</v>
      </c>
      <c r="K30" s="523">
        <v>123.89999771118164</v>
      </c>
    </row>
    <row r="31" spans="1:11" ht="14.45" customHeight="1" x14ac:dyDescent="0.2">
      <c r="A31" s="488" t="s">
        <v>298</v>
      </c>
      <c r="B31" s="489" t="s">
        <v>340</v>
      </c>
      <c r="C31" s="492" t="s">
        <v>349</v>
      </c>
      <c r="D31" s="532" t="s">
        <v>350</v>
      </c>
      <c r="E31" s="492" t="s">
        <v>352</v>
      </c>
      <c r="F31" s="532" t="s">
        <v>353</v>
      </c>
      <c r="G31" s="492" t="s">
        <v>396</v>
      </c>
      <c r="H31" s="492" t="s">
        <v>397</v>
      </c>
      <c r="I31" s="522">
        <v>7.1140000343322756</v>
      </c>
      <c r="J31" s="522">
        <v>33</v>
      </c>
      <c r="K31" s="523">
        <v>234.74999809265137</v>
      </c>
    </row>
    <row r="32" spans="1:11" ht="14.45" customHeight="1" x14ac:dyDescent="0.2">
      <c r="A32" s="488" t="s">
        <v>298</v>
      </c>
      <c r="B32" s="489" t="s">
        <v>340</v>
      </c>
      <c r="C32" s="492" t="s">
        <v>349</v>
      </c>
      <c r="D32" s="532" t="s">
        <v>350</v>
      </c>
      <c r="E32" s="492" t="s">
        <v>352</v>
      </c>
      <c r="F32" s="532" t="s">
        <v>353</v>
      </c>
      <c r="G32" s="492" t="s">
        <v>392</v>
      </c>
      <c r="H32" s="492" t="s">
        <v>398</v>
      </c>
      <c r="I32" s="522">
        <v>1.5099999904632568</v>
      </c>
      <c r="J32" s="522">
        <v>300</v>
      </c>
      <c r="K32" s="523">
        <v>453</v>
      </c>
    </row>
    <row r="33" spans="1:11" ht="14.45" customHeight="1" x14ac:dyDescent="0.2">
      <c r="A33" s="488" t="s">
        <v>298</v>
      </c>
      <c r="B33" s="489" t="s">
        <v>340</v>
      </c>
      <c r="C33" s="492" t="s">
        <v>349</v>
      </c>
      <c r="D33" s="532" t="s">
        <v>350</v>
      </c>
      <c r="E33" s="492" t="s">
        <v>352</v>
      </c>
      <c r="F33" s="532" t="s">
        <v>353</v>
      </c>
      <c r="G33" s="492" t="s">
        <v>394</v>
      </c>
      <c r="H33" s="492" t="s">
        <v>399</v>
      </c>
      <c r="I33" s="522">
        <v>2.059999942779541</v>
      </c>
      <c r="J33" s="522">
        <v>30</v>
      </c>
      <c r="K33" s="523">
        <v>61.799999237060547</v>
      </c>
    </row>
    <row r="34" spans="1:11" ht="14.45" customHeight="1" x14ac:dyDescent="0.2">
      <c r="A34" s="488" t="s">
        <v>298</v>
      </c>
      <c r="B34" s="489" t="s">
        <v>340</v>
      </c>
      <c r="C34" s="492" t="s">
        <v>349</v>
      </c>
      <c r="D34" s="532" t="s">
        <v>350</v>
      </c>
      <c r="E34" s="492" t="s">
        <v>352</v>
      </c>
      <c r="F34" s="532" t="s">
        <v>353</v>
      </c>
      <c r="G34" s="492" t="s">
        <v>396</v>
      </c>
      <c r="H34" s="492" t="s">
        <v>400</v>
      </c>
      <c r="I34" s="522">
        <v>7.1100001335144043</v>
      </c>
      <c r="J34" s="522">
        <v>14</v>
      </c>
      <c r="K34" s="523">
        <v>99.54000186920166</v>
      </c>
    </row>
    <row r="35" spans="1:11" ht="14.45" customHeight="1" x14ac:dyDescent="0.2">
      <c r="A35" s="488" t="s">
        <v>298</v>
      </c>
      <c r="B35" s="489" t="s">
        <v>340</v>
      </c>
      <c r="C35" s="492" t="s">
        <v>349</v>
      </c>
      <c r="D35" s="532" t="s">
        <v>350</v>
      </c>
      <c r="E35" s="492" t="s">
        <v>352</v>
      </c>
      <c r="F35" s="532" t="s">
        <v>353</v>
      </c>
      <c r="G35" s="492" t="s">
        <v>401</v>
      </c>
      <c r="H35" s="492" t="s">
        <v>402</v>
      </c>
      <c r="I35" s="522">
        <v>111.31999969482422</v>
      </c>
      <c r="J35" s="522">
        <v>24</v>
      </c>
      <c r="K35" s="523">
        <v>2671.679931640625</v>
      </c>
    </row>
    <row r="36" spans="1:11" ht="14.45" customHeight="1" x14ac:dyDescent="0.2">
      <c r="A36" s="488" t="s">
        <v>298</v>
      </c>
      <c r="B36" s="489" t="s">
        <v>340</v>
      </c>
      <c r="C36" s="492" t="s">
        <v>349</v>
      </c>
      <c r="D36" s="532" t="s">
        <v>350</v>
      </c>
      <c r="E36" s="492" t="s">
        <v>352</v>
      </c>
      <c r="F36" s="532" t="s">
        <v>353</v>
      </c>
      <c r="G36" s="492" t="s">
        <v>403</v>
      </c>
      <c r="H36" s="492" t="s">
        <v>404</v>
      </c>
      <c r="I36" s="522">
        <v>42.444614997276894</v>
      </c>
      <c r="J36" s="522">
        <v>54</v>
      </c>
      <c r="K36" s="523">
        <v>2292.0099754333496</v>
      </c>
    </row>
    <row r="37" spans="1:11" ht="14.45" customHeight="1" x14ac:dyDescent="0.2">
      <c r="A37" s="488" t="s">
        <v>298</v>
      </c>
      <c r="B37" s="489" t="s">
        <v>340</v>
      </c>
      <c r="C37" s="492" t="s">
        <v>349</v>
      </c>
      <c r="D37" s="532" t="s">
        <v>350</v>
      </c>
      <c r="E37" s="492" t="s">
        <v>352</v>
      </c>
      <c r="F37" s="532" t="s">
        <v>353</v>
      </c>
      <c r="G37" s="492" t="s">
        <v>405</v>
      </c>
      <c r="H37" s="492" t="s">
        <v>406</v>
      </c>
      <c r="I37" s="522">
        <v>72.220001220703125</v>
      </c>
      <c r="J37" s="522">
        <v>2</v>
      </c>
      <c r="K37" s="523">
        <v>144.44000244140625</v>
      </c>
    </row>
    <row r="38" spans="1:11" ht="14.45" customHeight="1" x14ac:dyDescent="0.2">
      <c r="A38" s="488" t="s">
        <v>298</v>
      </c>
      <c r="B38" s="489" t="s">
        <v>340</v>
      </c>
      <c r="C38" s="492" t="s">
        <v>349</v>
      </c>
      <c r="D38" s="532" t="s">
        <v>350</v>
      </c>
      <c r="E38" s="492" t="s">
        <v>352</v>
      </c>
      <c r="F38" s="532" t="s">
        <v>353</v>
      </c>
      <c r="G38" s="492" t="s">
        <v>405</v>
      </c>
      <c r="H38" s="492" t="s">
        <v>407</v>
      </c>
      <c r="I38" s="522">
        <v>72.220001220703125</v>
      </c>
      <c r="J38" s="522">
        <v>3</v>
      </c>
      <c r="K38" s="523">
        <v>216.66000366210938</v>
      </c>
    </row>
    <row r="39" spans="1:11" ht="14.45" customHeight="1" x14ac:dyDescent="0.2">
      <c r="A39" s="488" t="s">
        <v>298</v>
      </c>
      <c r="B39" s="489" t="s">
        <v>340</v>
      </c>
      <c r="C39" s="492" t="s">
        <v>349</v>
      </c>
      <c r="D39" s="532" t="s">
        <v>350</v>
      </c>
      <c r="E39" s="492" t="s">
        <v>352</v>
      </c>
      <c r="F39" s="532" t="s">
        <v>353</v>
      </c>
      <c r="G39" s="492" t="s">
        <v>408</v>
      </c>
      <c r="H39" s="492" t="s">
        <v>409</v>
      </c>
      <c r="I39" s="522">
        <v>0.66600002050399776</v>
      </c>
      <c r="J39" s="522">
        <v>1095</v>
      </c>
      <c r="K39" s="523">
        <v>728.79999542236328</v>
      </c>
    </row>
    <row r="40" spans="1:11" ht="14.45" customHeight="1" x14ac:dyDescent="0.2">
      <c r="A40" s="488" t="s">
        <v>298</v>
      </c>
      <c r="B40" s="489" t="s">
        <v>340</v>
      </c>
      <c r="C40" s="492" t="s">
        <v>349</v>
      </c>
      <c r="D40" s="532" t="s">
        <v>350</v>
      </c>
      <c r="E40" s="492" t="s">
        <v>352</v>
      </c>
      <c r="F40" s="532" t="s">
        <v>353</v>
      </c>
      <c r="G40" s="492" t="s">
        <v>408</v>
      </c>
      <c r="H40" s="492" t="s">
        <v>410</v>
      </c>
      <c r="I40" s="522">
        <v>0.66562502086162567</v>
      </c>
      <c r="J40" s="522">
        <v>2490</v>
      </c>
      <c r="K40" s="523">
        <v>1659.5499897003174</v>
      </c>
    </row>
    <row r="41" spans="1:11" ht="14.45" customHeight="1" x14ac:dyDescent="0.2">
      <c r="A41" s="488" t="s">
        <v>298</v>
      </c>
      <c r="B41" s="489" t="s">
        <v>340</v>
      </c>
      <c r="C41" s="492" t="s">
        <v>349</v>
      </c>
      <c r="D41" s="532" t="s">
        <v>350</v>
      </c>
      <c r="E41" s="492" t="s">
        <v>411</v>
      </c>
      <c r="F41" s="532" t="s">
        <v>412</v>
      </c>
      <c r="G41" s="492" t="s">
        <v>413</v>
      </c>
      <c r="H41" s="492" t="s">
        <v>414</v>
      </c>
      <c r="I41" s="522">
        <v>33.819999694824219</v>
      </c>
      <c r="J41" s="522">
        <v>20</v>
      </c>
      <c r="K41" s="523">
        <v>676.3900146484375</v>
      </c>
    </row>
    <row r="42" spans="1:11" ht="14.45" customHeight="1" x14ac:dyDescent="0.2">
      <c r="A42" s="488" t="s">
        <v>298</v>
      </c>
      <c r="B42" s="489" t="s">
        <v>340</v>
      </c>
      <c r="C42" s="492" t="s">
        <v>349</v>
      </c>
      <c r="D42" s="532" t="s">
        <v>350</v>
      </c>
      <c r="E42" s="492" t="s">
        <v>411</v>
      </c>
      <c r="F42" s="532" t="s">
        <v>412</v>
      </c>
      <c r="G42" s="492" t="s">
        <v>415</v>
      </c>
      <c r="H42" s="492" t="s">
        <v>416</v>
      </c>
      <c r="I42" s="522">
        <v>11.149999618530273</v>
      </c>
      <c r="J42" s="522">
        <v>50</v>
      </c>
      <c r="K42" s="523">
        <v>557.5</v>
      </c>
    </row>
    <row r="43" spans="1:11" ht="14.45" customHeight="1" x14ac:dyDescent="0.2">
      <c r="A43" s="488" t="s">
        <v>298</v>
      </c>
      <c r="B43" s="489" t="s">
        <v>340</v>
      </c>
      <c r="C43" s="492" t="s">
        <v>349</v>
      </c>
      <c r="D43" s="532" t="s">
        <v>350</v>
      </c>
      <c r="E43" s="492" t="s">
        <v>411</v>
      </c>
      <c r="F43" s="532" t="s">
        <v>412</v>
      </c>
      <c r="G43" s="492" t="s">
        <v>415</v>
      </c>
      <c r="H43" s="492" t="s">
        <v>417</v>
      </c>
      <c r="I43" s="522">
        <v>11.140000343322754</v>
      </c>
      <c r="J43" s="522">
        <v>50</v>
      </c>
      <c r="K43" s="523">
        <v>557</v>
      </c>
    </row>
    <row r="44" spans="1:11" ht="14.45" customHeight="1" x14ac:dyDescent="0.2">
      <c r="A44" s="488" t="s">
        <v>298</v>
      </c>
      <c r="B44" s="489" t="s">
        <v>340</v>
      </c>
      <c r="C44" s="492" t="s">
        <v>349</v>
      </c>
      <c r="D44" s="532" t="s">
        <v>350</v>
      </c>
      <c r="E44" s="492" t="s">
        <v>411</v>
      </c>
      <c r="F44" s="532" t="s">
        <v>412</v>
      </c>
      <c r="G44" s="492" t="s">
        <v>418</v>
      </c>
      <c r="H44" s="492" t="s">
        <v>419</v>
      </c>
      <c r="I44" s="522">
        <v>5.2644445631239147</v>
      </c>
      <c r="J44" s="522">
        <v>2060</v>
      </c>
      <c r="K44" s="523">
        <v>10845.000122070313</v>
      </c>
    </row>
    <row r="45" spans="1:11" ht="14.45" customHeight="1" x14ac:dyDescent="0.2">
      <c r="A45" s="488" t="s">
        <v>298</v>
      </c>
      <c r="B45" s="489" t="s">
        <v>340</v>
      </c>
      <c r="C45" s="492" t="s">
        <v>349</v>
      </c>
      <c r="D45" s="532" t="s">
        <v>350</v>
      </c>
      <c r="E45" s="492" t="s">
        <v>411</v>
      </c>
      <c r="F45" s="532" t="s">
        <v>412</v>
      </c>
      <c r="G45" s="492" t="s">
        <v>420</v>
      </c>
      <c r="H45" s="492" t="s">
        <v>421</v>
      </c>
      <c r="I45" s="522">
        <v>3.4857142993382046</v>
      </c>
      <c r="J45" s="522">
        <v>430</v>
      </c>
      <c r="K45" s="523">
        <v>1498.9000015258789</v>
      </c>
    </row>
    <row r="46" spans="1:11" ht="14.45" customHeight="1" x14ac:dyDescent="0.2">
      <c r="A46" s="488" t="s">
        <v>298</v>
      </c>
      <c r="B46" s="489" t="s">
        <v>340</v>
      </c>
      <c r="C46" s="492" t="s">
        <v>349</v>
      </c>
      <c r="D46" s="532" t="s">
        <v>350</v>
      </c>
      <c r="E46" s="492" t="s">
        <v>411</v>
      </c>
      <c r="F46" s="532" t="s">
        <v>412</v>
      </c>
      <c r="G46" s="492" t="s">
        <v>422</v>
      </c>
      <c r="H46" s="492" t="s">
        <v>423</v>
      </c>
      <c r="I46" s="522">
        <v>37.75</v>
      </c>
      <c r="J46" s="522">
        <v>40</v>
      </c>
      <c r="K46" s="523">
        <v>1510.0799560546875</v>
      </c>
    </row>
    <row r="47" spans="1:11" ht="14.45" customHeight="1" x14ac:dyDescent="0.2">
      <c r="A47" s="488" t="s">
        <v>298</v>
      </c>
      <c r="B47" s="489" t="s">
        <v>340</v>
      </c>
      <c r="C47" s="492" t="s">
        <v>349</v>
      </c>
      <c r="D47" s="532" t="s">
        <v>350</v>
      </c>
      <c r="E47" s="492" t="s">
        <v>411</v>
      </c>
      <c r="F47" s="532" t="s">
        <v>412</v>
      </c>
      <c r="G47" s="492" t="s">
        <v>418</v>
      </c>
      <c r="H47" s="492" t="s">
        <v>424</v>
      </c>
      <c r="I47" s="522">
        <v>5.4073863517154344</v>
      </c>
      <c r="J47" s="522">
        <v>3580</v>
      </c>
      <c r="K47" s="523">
        <v>19364.400131225586</v>
      </c>
    </row>
    <row r="48" spans="1:11" ht="14.45" customHeight="1" x14ac:dyDescent="0.2">
      <c r="A48" s="488" t="s">
        <v>298</v>
      </c>
      <c r="B48" s="489" t="s">
        <v>340</v>
      </c>
      <c r="C48" s="492" t="s">
        <v>349</v>
      </c>
      <c r="D48" s="532" t="s">
        <v>350</v>
      </c>
      <c r="E48" s="492" t="s">
        <v>411</v>
      </c>
      <c r="F48" s="532" t="s">
        <v>412</v>
      </c>
      <c r="G48" s="492" t="s">
        <v>420</v>
      </c>
      <c r="H48" s="492" t="s">
        <v>425</v>
      </c>
      <c r="I48" s="522">
        <v>3.4300000667572021</v>
      </c>
      <c r="J48" s="522">
        <v>520</v>
      </c>
      <c r="K48" s="523">
        <v>1781.4000244140625</v>
      </c>
    </row>
    <row r="49" spans="1:11" ht="14.45" customHeight="1" x14ac:dyDescent="0.2">
      <c r="A49" s="488" t="s">
        <v>298</v>
      </c>
      <c r="B49" s="489" t="s">
        <v>340</v>
      </c>
      <c r="C49" s="492" t="s">
        <v>349</v>
      </c>
      <c r="D49" s="532" t="s">
        <v>350</v>
      </c>
      <c r="E49" s="492" t="s">
        <v>411</v>
      </c>
      <c r="F49" s="532" t="s">
        <v>412</v>
      </c>
      <c r="G49" s="492" t="s">
        <v>422</v>
      </c>
      <c r="H49" s="492" t="s">
        <v>426</v>
      </c>
      <c r="I49" s="522">
        <v>40.736666361490883</v>
      </c>
      <c r="J49" s="522">
        <v>240</v>
      </c>
      <c r="K49" s="523">
        <v>9776.8199462890625</v>
      </c>
    </row>
    <row r="50" spans="1:11" ht="14.45" customHeight="1" x14ac:dyDescent="0.2">
      <c r="A50" s="488" t="s">
        <v>298</v>
      </c>
      <c r="B50" s="489" t="s">
        <v>340</v>
      </c>
      <c r="C50" s="492" t="s">
        <v>349</v>
      </c>
      <c r="D50" s="532" t="s">
        <v>350</v>
      </c>
      <c r="E50" s="492" t="s">
        <v>411</v>
      </c>
      <c r="F50" s="532" t="s">
        <v>412</v>
      </c>
      <c r="G50" s="492" t="s">
        <v>427</v>
      </c>
      <c r="H50" s="492" t="s">
        <v>428</v>
      </c>
      <c r="I50" s="522">
        <v>4.0300002098083496</v>
      </c>
      <c r="J50" s="522">
        <v>650</v>
      </c>
      <c r="K50" s="523">
        <v>2619.5000076293945</v>
      </c>
    </row>
    <row r="51" spans="1:11" ht="14.45" customHeight="1" x14ac:dyDescent="0.2">
      <c r="A51" s="488" t="s">
        <v>298</v>
      </c>
      <c r="B51" s="489" t="s">
        <v>340</v>
      </c>
      <c r="C51" s="492" t="s">
        <v>349</v>
      </c>
      <c r="D51" s="532" t="s">
        <v>350</v>
      </c>
      <c r="E51" s="492" t="s">
        <v>411</v>
      </c>
      <c r="F51" s="532" t="s">
        <v>412</v>
      </c>
      <c r="G51" s="492" t="s">
        <v>427</v>
      </c>
      <c r="H51" s="492" t="s">
        <v>429</v>
      </c>
      <c r="I51" s="522">
        <v>4.0276001548767093</v>
      </c>
      <c r="J51" s="522">
        <v>780</v>
      </c>
      <c r="K51" s="523">
        <v>3141.4000091552734</v>
      </c>
    </row>
    <row r="52" spans="1:11" ht="14.45" customHeight="1" x14ac:dyDescent="0.2">
      <c r="A52" s="488" t="s">
        <v>298</v>
      </c>
      <c r="B52" s="489" t="s">
        <v>340</v>
      </c>
      <c r="C52" s="492" t="s">
        <v>349</v>
      </c>
      <c r="D52" s="532" t="s">
        <v>350</v>
      </c>
      <c r="E52" s="492" t="s">
        <v>411</v>
      </c>
      <c r="F52" s="532" t="s">
        <v>412</v>
      </c>
      <c r="G52" s="492" t="s">
        <v>430</v>
      </c>
      <c r="H52" s="492" t="s">
        <v>431</v>
      </c>
      <c r="I52" s="522">
        <v>16.03249979019165</v>
      </c>
      <c r="J52" s="522">
        <v>300</v>
      </c>
      <c r="K52" s="523">
        <v>4840</v>
      </c>
    </row>
    <row r="53" spans="1:11" ht="14.45" customHeight="1" x14ac:dyDescent="0.2">
      <c r="A53" s="488" t="s">
        <v>298</v>
      </c>
      <c r="B53" s="489" t="s">
        <v>340</v>
      </c>
      <c r="C53" s="492" t="s">
        <v>349</v>
      </c>
      <c r="D53" s="532" t="s">
        <v>350</v>
      </c>
      <c r="E53" s="492" t="s">
        <v>411</v>
      </c>
      <c r="F53" s="532" t="s">
        <v>412</v>
      </c>
      <c r="G53" s="492" t="s">
        <v>432</v>
      </c>
      <c r="H53" s="492" t="s">
        <v>433</v>
      </c>
      <c r="I53" s="522">
        <v>7.8657499909400936</v>
      </c>
      <c r="J53" s="522">
        <v>1379</v>
      </c>
      <c r="K53" s="523">
        <v>10847.130111694336</v>
      </c>
    </row>
    <row r="54" spans="1:11" ht="14.45" customHeight="1" x14ac:dyDescent="0.2">
      <c r="A54" s="488" t="s">
        <v>298</v>
      </c>
      <c r="B54" s="489" t="s">
        <v>340</v>
      </c>
      <c r="C54" s="492" t="s">
        <v>349</v>
      </c>
      <c r="D54" s="532" t="s">
        <v>350</v>
      </c>
      <c r="E54" s="492" t="s">
        <v>411</v>
      </c>
      <c r="F54" s="532" t="s">
        <v>412</v>
      </c>
      <c r="G54" s="492" t="s">
        <v>430</v>
      </c>
      <c r="H54" s="492" t="s">
        <v>434</v>
      </c>
      <c r="I54" s="522">
        <v>15.729999542236328</v>
      </c>
      <c r="J54" s="522">
        <v>50</v>
      </c>
      <c r="K54" s="523">
        <v>786.5</v>
      </c>
    </row>
    <row r="55" spans="1:11" ht="14.45" customHeight="1" x14ac:dyDescent="0.2">
      <c r="A55" s="488" t="s">
        <v>298</v>
      </c>
      <c r="B55" s="489" t="s">
        <v>340</v>
      </c>
      <c r="C55" s="492" t="s">
        <v>349</v>
      </c>
      <c r="D55" s="532" t="s">
        <v>350</v>
      </c>
      <c r="E55" s="492" t="s">
        <v>411</v>
      </c>
      <c r="F55" s="532" t="s">
        <v>412</v>
      </c>
      <c r="G55" s="492" t="s">
        <v>432</v>
      </c>
      <c r="H55" s="492" t="s">
        <v>435</v>
      </c>
      <c r="I55" s="522">
        <v>8.7482432996904524</v>
      </c>
      <c r="J55" s="522">
        <v>2350</v>
      </c>
      <c r="K55" s="523">
        <v>20627.800254821777</v>
      </c>
    </row>
    <row r="56" spans="1:11" ht="14.45" customHeight="1" x14ac:dyDescent="0.2">
      <c r="A56" s="488" t="s">
        <v>298</v>
      </c>
      <c r="B56" s="489" t="s">
        <v>340</v>
      </c>
      <c r="C56" s="492" t="s">
        <v>349</v>
      </c>
      <c r="D56" s="532" t="s">
        <v>350</v>
      </c>
      <c r="E56" s="492" t="s">
        <v>411</v>
      </c>
      <c r="F56" s="532" t="s">
        <v>412</v>
      </c>
      <c r="G56" s="492" t="s">
        <v>436</v>
      </c>
      <c r="H56" s="492" t="s">
        <v>437</v>
      </c>
      <c r="I56" s="522">
        <v>10.07599983215332</v>
      </c>
      <c r="J56" s="522">
        <v>150</v>
      </c>
      <c r="K56" s="523">
        <v>1511.3999938964844</v>
      </c>
    </row>
    <row r="57" spans="1:11" ht="14.45" customHeight="1" x14ac:dyDescent="0.2">
      <c r="A57" s="488" t="s">
        <v>298</v>
      </c>
      <c r="B57" s="489" t="s">
        <v>340</v>
      </c>
      <c r="C57" s="492" t="s">
        <v>349</v>
      </c>
      <c r="D57" s="532" t="s">
        <v>350</v>
      </c>
      <c r="E57" s="492" t="s">
        <v>411</v>
      </c>
      <c r="F57" s="532" t="s">
        <v>412</v>
      </c>
      <c r="G57" s="492" t="s">
        <v>436</v>
      </c>
      <c r="H57" s="492" t="s">
        <v>438</v>
      </c>
      <c r="I57" s="522">
        <v>10.075714111328125</v>
      </c>
      <c r="J57" s="522">
        <v>210</v>
      </c>
      <c r="K57" s="523">
        <v>2115.8500061035156</v>
      </c>
    </row>
    <row r="58" spans="1:11" ht="14.45" customHeight="1" x14ac:dyDescent="0.2">
      <c r="A58" s="488" t="s">
        <v>298</v>
      </c>
      <c r="B58" s="489" t="s">
        <v>340</v>
      </c>
      <c r="C58" s="492" t="s">
        <v>349</v>
      </c>
      <c r="D58" s="532" t="s">
        <v>350</v>
      </c>
      <c r="E58" s="492" t="s">
        <v>411</v>
      </c>
      <c r="F58" s="532" t="s">
        <v>412</v>
      </c>
      <c r="G58" s="492" t="s">
        <v>439</v>
      </c>
      <c r="H58" s="492" t="s">
        <v>440</v>
      </c>
      <c r="I58" s="522">
        <v>10.077499866485596</v>
      </c>
      <c r="J58" s="522">
        <v>120</v>
      </c>
      <c r="K58" s="523">
        <v>1209.2999877929688</v>
      </c>
    </row>
    <row r="59" spans="1:11" ht="14.45" customHeight="1" x14ac:dyDescent="0.2">
      <c r="A59" s="488" t="s">
        <v>298</v>
      </c>
      <c r="B59" s="489" t="s">
        <v>340</v>
      </c>
      <c r="C59" s="492" t="s">
        <v>349</v>
      </c>
      <c r="D59" s="532" t="s">
        <v>350</v>
      </c>
      <c r="E59" s="492" t="s">
        <v>411</v>
      </c>
      <c r="F59" s="532" t="s">
        <v>412</v>
      </c>
      <c r="G59" s="492" t="s">
        <v>439</v>
      </c>
      <c r="H59" s="492" t="s">
        <v>441</v>
      </c>
      <c r="I59" s="522">
        <v>10.076470431159525</v>
      </c>
      <c r="J59" s="522">
        <v>540</v>
      </c>
      <c r="K59" s="523">
        <v>5440.9199829101563</v>
      </c>
    </row>
    <row r="60" spans="1:11" ht="14.45" customHeight="1" x14ac:dyDescent="0.2">
      <c r="A60" s="488" t="s">
        <v>298</v>
      </c>
      <c r="B60" s="489" t="s">
        <v>340</v>
      </c>
      <c r="C60" s="492" t="s">
        <v>349</v>
      </c>
      <c r="D60" s="532" t="s">
        <v>350</v>
      </c>
      <c r="E60" s="492" t="s">
        <v>411</v>
      </c>
      <c r="F60" s="532" t="s">
        <v>412</v>
      </c>
      <c r="G60" s="492" t="s">
        <v>442</v>
      </c>
      <c r="H60" s="492" t="s">
        <v>443</v>
      </c>
      <c r="I60" s="522">
        <v>171.69000244140625</v>
      </c>
      <c r="J60" s="522">
        <v>2</v>
      </c>
      <c r="K60" s="523">
        <v>343.3699951171875</v>
      </c>
    </row>
    <row r="61" spans="1:11" ht="14.45" customHeight="1" x14ac:dyDescent="0.2">
      <c r="A61" s="488" t="s">
        <v>298</v>
      </c>
      <c r="B61" s="489" t="s">
        <v>340</v>
      </c>
      <c r="C61" s="492" t="s">
        <v>349</v>
      </c>
      <c r="D61" s="532" t="s">
        <v>350</v>
      </c>
      <c r="E61" s="492" t="s">
        <v>411</v>
      </c>
      <c r="F61" s="532" t="s">
        <v>412</v>
      </c>
      <c r="G61" s="492" t="s">
        <v>444</v>
      </c>
      <c r="H61" s="492" t="s">
        <v>445</v>
      </c>
      <c r="I61" s="522">
        <v>10.078571319580078</v>
      </c>
      <c r="J61" s="522">
        <v>210</v>
      </c>
      <c r="K61" s="523">
        <v>2115.8100280761719</v>
      </c>
    </row>
    <row r="62" spans="1:11" ht="14.45" customHeight="1" x14ac:dyDescent="0.2">
      <c r="A62" s="488" t="s">
        <v>298</v>
      </c>
      <c r="B62" s="489" t="s">
        <v>340</v>
      </c>
      <c r="C62" s="492" t="s">
        <v>349</v>
      </c>
      <c r="D62" s="532" t="s">
        <v>350</v>
      </c>
      <c r="E62" s="492" t="s">
        <v>411</v>
      </c>
      <c r="F62" s="532" t="s">
        <v>412</v>
      </c>
      <c r="G62" s="492" t="s">
        <v>444</v>
      </c>
      <c r="H62" s="492" t="s">
        <v>446</v>
      </c>
      <c r="I62" s="522">
        <v>10.07588218240177</v>
      </c>
      <c r="J62" s="522">
        <v>540</v>
      </c>
      <c r="K62" s="523">
        <v>5440.7699890136719</v>
      </c>
    </row>
    <row r="63" spans="1:11" ht="14.45" customHeight="1" x14ac:dyDescent="0.2">
      <c r="A63" s="488" t="s">
        <v>298</v>
      </c>
      <c r="B63" s="489" t="s">
        <v>340</v>
      </c>
      <c r="C63" s="492" t="s">
        <v>349</v>
      </c>
      <c r="D63" s="532" t="s">
        <v>350</v>
      </c>
      <c r="E63" s="492" t="s">
        <v>411</v>
      </c>
      <c r="F63" s="532" t="s">
        <v>412</v>
      </c>
      <c r="G63" s="492" t="s">
        <v>447</v>
      </c>
      <c r="H63" s="492" t="s">
        <v>448</v>
      </c>
      <c r="I63" s="522">
        <v>10.079999923706055</v>
      </c>
      <c r="J63" s="522">
        <v>90</v>
      </c>
      <c r="K63" s="523">
        <v>906.780029296875</v>
      </c>
    </row>
    <row r="64" spans="1:11" ht="14.45" customHeight="1" x14ac:dyDescent="0.2">
      <c r="A64" s="488" t="s">
        <v>298</v>
      </c>
      <c r="B64" s="489" t="s">
        <v>340</v>
      </c>
      <c r="C64" s="492" t="s">
        <v>349</v>
      </c>
      <c r="D64" s="532" t="s">
        <v>350</v>
      </c>
      <c r="E64" s="492" t="s">
        <v>411</v>
      </c>
      <c r="F64" s="532" t="s">
        <v>412</v>
      </c>
      <c r="G64" s="492" t="s">
        <v>449</v>
      </c>
      <c r="H64" s="492" t="s">
        <v>450</v>
      </c>
      <c r="I64" s="522">
        <v>3.1500000953674316</v>
      </c>
      <c r="J64" s="522">
        <v>15</v>
      </c>
      <c r="K64" s="523">
        <v>47.25</v>
      </c>
    </row>
    <row r="65" spans="1:11" ht="14.45" customHeight="1" x14ac:dyDescent="0.2">
      <c r="A65" s="488" t="s">
        <v>298</v>
      </c>
      <c r="B65" s="489" t="s">
        <v>340</v>
      </c>
      <c r="C65" s="492" t="s">
        <v>349</v>
      </c>
      <c r="D65" s="532" t="s">
        <v>350</v>
      </c>
      <c r="E65" s="492" t="s">
        <v>411</v>
      </c>
      <c r="F65" s="532" t="s">
        <v>412</v>
      </c>
      <c r="G65" s="492" t="s">
        <v>449</v>
      </c>
      <c r="H65" s="492" t="s">
        <v>451</v>
      </c>
      <c r="I65" s="522">
        <v>3.1500000953674316</v>
      </c>
      <c r="J65" s="522">
        <v>15</v>
      </c>
      <c r="K65" s="523">
        <v>47.25</v>
      </c>
    </row>
    <row r="66" spans="1:11" ht="14.45" customHeight="1" x14ac:dyDescent="0.2">
      <c r="A66" s="488" t="s">
        <v>298</v>
      </c>
      <c r="B66" s="489" t="s">
        <v>340</v>
      </c>
      <c r="C66" s="492" t="s">
        <v>349</v>
      </c>
      <c r="D66" s="532" t="s">
        <v>350</v>
      </c>
      <c r="E66" s="492" t="s">
        <v>411</v>
      </c>
      <c r="F66" s="532" t="s">
        <v>412</v>
      </c>
      <c r="G66" s="492" t="s">
        <v>452</v>
      </c>
      <c r="H66" s="492" t="s">
        <v>453</v>
      </c>
      <c r="I66" s="522">
        <v>1210</v>
      </c>
      <c r="J66" s="522">
        <v>1</v>
      </c>
      <c r="K66" s="523">
        <v>1210</v>
      </c>
    </row>
    <row r="67" spans="1:11" ht="14.45" customHeight="1" x14ac:dyDescent="0.2">
      <c r="A67" s="488" t="s">
        <v>298</v>
      </c>
      <c r="B67" s="489" t="s">
        <v>340</v>
      </c>
      <c r="C67" s="492" t="s">
        <v>349</v>
      </c>
      <c r="D67" s="532" t="s">
        <v>350</v>
      </c>
      <c r="E67" s="492" t="s">
        <v>411</v>
      </c>
      <c r="F67" s="532" t="s">
        <v>412</v>
      </c>
      <c r="G67" s="492" t="s">
        <v>454</v>
      </c>
      <c r="H67" s="492" t="s">
        <v>455</v>
      </c>
      <c r="I67" s="522">
        <v>11.737954269755971</v>
      </c>
      <c r="J67" s="522">
        <v>44</v>
      </c>
      <c r="K67" s="523">
        <v>516.4699878692627</v>
      </c>
    </row>
    <row r="68" spans="1:11" ht="14.45" customHeight="1" x14ac:dyDescent="0.2">
      <c r="A68" s="488" t="s">
        <v>298</v>
      </c>
      <c r="B68" s="489" t="s">
        <v>340</v>
      </c>
      <c r="C68" s="492" t="s">
        <v>349</v>
      </c>
      <c r="D68" s="532" t="s">
        <v>350</v>
      </c>
      <c r="E68" s="492" t="s">
        <v>411</v>
      </c>
      <c r="F68" s="532" t="s">
        <v>412</v>
      </c>
      <c r="G68" s="492" t="s">
        <v>454</v>
      </c>
      <c r="H68" s="492" t="s">
        <v>456</v>
      </c>
      <c r="I68" s="522">
        <v>11.737182805235957</v>
      </c>
      <c r="J68" s="522">
        <v>71</v>
      </c>
      <c r="K68" s="523">
        <v>833.33997917175293</v>
      </c>
    </row>
    <row r="69" spans="1:11" ht="14.45" customHeight="1" x14ac:dyDescent="0.2">
      <c r="A69" s="488" t="s">
        <v>298</v>
      </c>
      <c r="B69" s="489" t="s">
        <v>340</v>
      </c>
      <c r="C69" s="492" t="s">
        <v>349</v>
      </c>
      <c r="D69" s="532" t="s">
        <v>350</v>
      </c>
      <c r="E69" s="492" t="s">
        <v>411</v>
      </c>
      <c r="F69" s="532" t="s">
        <v>412</v>
      </c>
      <c r="G69" s="492" t="s">
        <v>457</v>
      </c>
      <c r="H69" s="492" t="s">
        <v>458</v>
      </c>
      <c r="I69" s="522">
        <v>4.8000001907348633</v>
      </c>
      <c r="J69" s="522">
        <v>100</v>
      </c>
      <c r="K69" s="523">
        <v>480</v>
      </c>
    </row>
    <row r="70" spans="1:11" ht="14.45" customHeight="1" x14ac:dyDescent="0.2">
      <c r="A70" s="488" t="s">
        <v>298</v>
      </c>
      <c r="B70" s="489" t="s">
        <v>340</v>
      </c>
      <c r="C70" s="492" t="s">
        <v>349</v>
      </c>
      <c r="D70" s="532" t="s">
        <v>350</v>
      </c>
      <c r="E70" s="492" t="s">
        <v>411</v>
      </c>
      <c r="F70" s="532" t="s">
        <v>412</v>
      </c>
      <c r="G70" s="492" t="s">
        <v>459</v>
      </c>
      <c r="H70" s="492" t="s">
        <v>460</v>
      </c>
      <c r="I70" s="522">
        <v>58.080001831054688</v>
      </c>
      <c r="J70" s="522">
        <v>30</v>
      </c>
      <c r="K70" s="523">
        <v>1742.4000244140625</v>
      </c>
    </row>
    <row r="71" spans="1:11" ht="14.45" customHeight="1" x14ac:dyDescent="0.2">
      <c r="A71" s="488" t="s">
        <v>298</v>
      </c>
      <c r="B71" s="489" t="s">
        <v>340</v>
      </c>
      <c r="C71" s="492" t="s">
        <v>349</v>
      </c>
      <c r="D71" s="532" t="s">
        <v>350</v>
      </c>
      <c r="E71" s="492" t="s">
        <v>411</v>
      </c>
      <c r="F71" s="532" t="s">
        <v>412</v>
      </c>
      <c r="G71" s="492" t="s">
        <v>459</v>
      </c>
      <c r="H71" s="492" t="s">
        <v>461</v>
      </c>
      <c r="I71" s="522">
        <v>58.080001831054688</v>
      </c>
      <c r="J71" s="522">
        <v>30</v>
      </c>
      <c r="K71" s="523">
        <v>1742.4000244140625</v>
      </c>
    </row>
    <row r="72" spans="1:11" ht="14.45" customHeight="1" x14ac:dyDescent="0.2">
      <c r="A72" s="488" t="s">
        <v>298</v>
      </c>
      <c r="B72" s="489" t="s">
        <v>340</v>
      </c>
      <c r="C72" s="492" t="s">
        <v>349</v>
      </c>
      <c r="D72" s="532" t="s">
        <v>350</v>
      </c>
      <c r="E72" s="492" t="s">
        <v>411</v>
      </c>
      <c r="F72" s="532" t="s">
        <v>412</v>
      </c>
      <c r="G72" s="492" t="s">
        <v>462</v>
      </c>
      <c r="H72" s="492" t="s">
        <v>463</v>
      </c>
      <c r="I72" s="522">
        <v>258.8900146484375</v>
      </c>
      <c r="J72" s="522">
        <v>180</v>
      </c>
      <c r="K72" s="523">
        <v>46600.5</v>
      </c>
    </row>
    <row r="73" spans="1:11" ht="14.45" customHeight="1" x14ac:dyDescent="0.2">
      <c r="A73" s="488" t="s">
        <v>298</v>
      </c>
      <c r="B73" s="489" t="s">
        <v>340</v>
      </c>
      <c r="C73" s="492" t="s">
        <v>349</v>
      </c>
      <c r="D73" s="532" t="s">
        <v>350</v>
      </c>
      <c r="E73" s="492" t="s">
        <v>411</v>
      </c>
      <c r="F73" s="532" t="s">
        <v>412</v>
      </c>
      <c r="G73" s="492" t="s">
        <v>464</v>
      </c>
      <c r="H73" s="492" t="s">
        <v>465</v>
      </c>
      <c r="I73" s="522">
        <v>217.43714250837053</v>
      </c>
      <c r="J73" s="522">
        <v>450</v>
      </c>
      <c r="K73" s="523">
        <v>97846.8017578125</v>
      </c>
    </row>
    <row r="74" spans="1:11" ht="14.45" customHeight="1" x14ac:dyDescent="0.2">
      <c r="A74" s="488" t="s">
        <v>298</v>
      </c>
      <c r="B74" s="489" t="s">
        <v>340</v>
      </c>
      <c r="C74" s="492" t="s">
        <v>349</v>
      </c>
      <c r="D74" s="532" t="s">
        <v>350</v>
      </c>
      <c r="E74" s="492" t="s">
        <v>411</v>
      </c>
      <c r="F74" s="532" t="s">
        <v>412</v>
      </c>
      <c r="G74" s="492" t="s">
        <v>462</v>
      </c>
      <c r="H74" s="492" t="s">
        <v>466</v>
      </c>
      <c r="I74" s="522">
        <v>258.8900146484375</v>
      </c>
      <c r="J74" s="522">
        <v>60</v>
      </c>
      <c r="K74" s="523">
        <v>15533.5</v>
      </c>
    </row>
    <row r="75" spans="1:11" ht="14.45" customHeight="1" x14ac:dyDescent="0.2">
      <c r="A75" s="488" t="s">
        <v>298</v>
      </c>
      <c r="B75" s="489" t="s">
        <v>340</v>
      </c>
      <c r="C75" s="492" t="s">
        <v>349</v>
      </c>
      <c r="D75" s="532" t="s">
        <v>350</v>
      </c>
      <c r="E75" s="492" t="s">
        <v>411</v>
      </c>
      <c r="F75" s="532" t="s">
        <v>412</v>
      </c>
      <c r="G75" s="492" t="s">
        <v>464</v>
      </c>
      <c r="H75" s="492" t="s">
        <v>467</v>
      </c>
      <c r="I75" s="522">
        <v>217.43718719482422</v>
      </c>
      <c r="J75" s="522">
        <v>975</v>
      </c>
      <c r="K75" s="523">
        <v>212000.73291015625</v>
      </c>
    </row>
    <row r="76" spans="1:11" ht="14.45" customHeight="1" x14ac:dyDescent="0.2">
      <c r="A76" s="488" t="s">
        <v>298</v>
      </c>
      <c r="B76" s="489" t="s">
        <v>340</v>
      </c>
      <c r="C76" s="492" t="s">
        <v>349</v>
      </c>
      <c r="D76" s="532" t="s">
        <v>350</v>
      </c>
      <c r="E76" s="492" t="s">
        <v>411</v>
      </c>
      <c r="F76" s="532" t="s">
        <v>412</v>
      </c>
      <c r="G76" s="492" t="s">
        <v>468</v>
      </c>
      <c r="H76" s="492" t="s">
        <v>469</v>
      </c>
      <c r="I76" s="522">
        <v>217.43499755859375</v>
      </c>
      <c r="J76" s="522">
        <v>90</v>
      </c>
      <c r="K76" s="523">
        <v>19569</v>
      </c>
    </row>
    <row r="77" spans="1:11" ht="14.45" customHeight="1" x14ac:dyDescent="0.2">
      <c r="A77" s="488" t="s">
        <v>298</v>
      </c>
      <c r="B77" s="489" t="s">
        <v>340</v>
      </c>
      <c r="C77" s="492" t="s">
        <v>349</v>
      </c>
      <c r="D77" s="532" t="s">
        <v>350</v>
      </c>
      <c r="E77" s="492" t="s">
        <v>411</v>
      </c>
      <c r="F77" s="532" t="s">
        <v>412</v>
      </c>
      <c r="G77" s="492" t="s">
        <v>470</v>
      </c>
      <c r="H77" s="492" t="s">
        <v>471</v>
      </c>
      <c r="I77" s="522">
        <v>2185</v>
      </c>
      <c r="J77" s="522">
        <v>1</v>
      </c>
      <c r="K77" s="523">
        <v>2185</v>
      </c>
    </row>
    <row r="78" spans="1:11" ht="14.45" customHeight="1" x14ac:dyDescent="0.2">
      <c r="A78" s="488" t="s">
        <v>298</v>
      </c>
      <c r="B78" s="489" t="s">
        <v>340</v>
      </c>
      <c r="C78" s="492" t="s">
        <v>349</v>
      </c>
      <c r="D78" s="532" t="s">
        <v>350</v>
      </c>
      <c r="E78" s="492" t="s">
        <v>411</v>
      </c>
      <c r="F78" s="532" t="s">
        <v>412</v>
      </c>
      <c r="G78" s="492" t="s">
        <v>472</v>
      </c>
      <c r="H78" s="492" t="s">
        <v>473</v>
      </c>
      <c r="I78" s="522">
        <v>18.149999618530273</v>
      </c>
      <c r="J78" s="522">
        <v>50</v>
      </c>
      <c r="K78" s="523">
        <v>907.5</v>
      </c>
    </row>
    <row r="79" spans="1:11" ht="14.45" customHeight="1" x14ac:dyDescent="0.2">
      <c r="A79" s="488" t="s">
        <v>298</v>
      </c>
      <c r="B79" s="489" t="s">
        <v>340</v>
      </c>
      <c r="C79" s="492" t="s">
        <v>349</v>
      </c>
      <c r="D79" s="532" t="s">
        <v>350</v>
      </c>
      <c r="E79" s="492" t="s">
        <v>411</v>
      </c>
      <c r="F79" s="532" t="s">
        <v>412</v>
      </c>
      <c r="G79" s="492" t="s">
        <v>472</v>
      </c>
      <c r="H79" s="492" t="s">
        <v>474</v>
      </c>
      <c r="I79" s="522">
        <v>18.149999618530273</v>
      </c>
      <c r="J79" s="522">
        <v>50</v>
      </c>
      <c r="K79" s="523">
        <v>907.5</v>
      </c>
    </row>
    <row r="80" spans="1:11" ht="14.45" customHeight="1" x14ac:dyDescent="0.2">
      <c r="A80" s="488" t="s">
        <v>298</v>
      </c>
      <c r="B80" s="489" t="s">
        <v>340</v>
      </c>
      <c r="C80" s="492" t="s">
        <v>349</v>
      </c>
      <c r="D80" s="532" t="s">
        <v>350</v>
      </c>
      <c r="E80" s="492" t="s">
        <v>411</v>
      </c>
      <c r="F80" s="532" t="s">
        <v>412</v>
      </c>
      <c r="G80" s="492" t="s">
        <v>475</v>
      </c>
      <c r="H80" s="492" t="s">
        <v>476</v>
      </c>
      <c r="I80" s="522">
        <v>0.82413791993568686</v>
      </c>
      <c r="J80" s="522">
        <v>2992</v>
      </c>
      <c r="K80" s="523">
        <v>2464.2600021958351</v>
      </c>
    </row>
    <row r="81" spans="1:11" ht="14.45" customHeight="1" x14ac:dyDescent="0.2">
      <c r="A81" s="488" t="s">
        <v>298</v>
      </c>
      <c r="B81" s="489" t="s">
        <v>340</v>
      </c>
      <c r="C81" s="492" t="s">
        <v>349</v>
      </c>
      <c r="D81" s="532" t="s">
        <v>350</v>
      </c>
      <c r="E81" s="492" t="s">
        <v>411</v>
      </c>
      <c r="F81" s="532" t="s">
        <v>412</v>
      </c>
      <c r="G81" s="492" t="s">
        <v>477</v>
      </c>
      <c r="H81" s="492" t="s">
        <v>478</v>
      </c>
      <c r="I81" s="522">
        <v>1.0878947722284418</v>
      </c>
      <c r="J81" s="522">
        <v>1880</v>
      </c>
      <c r="K81" s="523">
        <v>2045.2000045776367</v>
      </c>
    </row>
    <row r="82" spans="1:11" ht="14.45" customHeight="1" x14ac:dyDescent="0.2">
      <c r="A82" s="488" t="s">
        <v>298</v>
      </c>
      <c r="B82" s="489" t="s">
        <v>340</v>
      </c>
      <c r="C82" s="492" t="s">
        <v>349</v>
      </c>
      <c r="D82" s="532" t="s">
        <v>350</v>
      </c>
      <c r="E82" s="492" t="s">
        <v>411</v>
      </c>
      <c r="F82" s="532" t="s">
        <v>412</v>
      </c>
      <c r="G82" s="492" t="s">
        <v>479</v>
      </c>
      <c r="H82" s="492" t="s">
        <v>480</v>
      </c>
      <c r="I82" s="522">
        <v>1.1299999952316284</v>
      </c>
      <c r="J82" s="522">
        <v>720</v>
      </c>
      <c r="K82" s="523">
        <v>813.59999084472656</v>
      </c>
    </row>
    <row r="83" spans="1:11" ht="14.45" customHeight="1" x14ac:dyDescent="0.2">
      <c r="A83" s="488" t="s">
        <v>298</v>
      </c>
      <c r="B83" s="489" t="s">
        <v>340</v>
      </c>
      <c r="C83" s="492" t="s">
        <v>349</v>
      </c>
      <c r="D83" s="532" t="s">
        <v>350</v>
      </c>
      <c r="E83" s="492" t="s">
        <v>411</v>
      </c>
      <c r="F83" s="532" t="s">
        <v>412</v>
      </c>
      <c r="G83" s="492" t="s">
        <v>481</v>
      </c>
      <c r="H83" s="492" t="s">
        <v>482</v>
      </c>
      <c r="I83" s="522">
        <v>1.6766666173934937</v>
      </c>
      <c r="J83" s="522">
        <v>160</v>
      </c>
      <c r="K83" s="523">
        <v>268.5</v>
      </c>
    </row>
    <row r="84" spans="1:11" ht="14.45" customHeight="1" x14ac:dyDescent="0.2">
      <c r="A84" s="488" t="s">
        <v>298</v>
      </c>
      <c r="B84" s="489" t="s">
        <v>340</v>
      </c>
      <c r="C84" s="492" t="s">
        <v>349</v>
      </c>
      <c r="D84" s="532" t="s">
        <v>350</v>
      </c>
      <c r="E84" s="492" t="s">
        <v>411</v>
      </c>
      <c r="F84" s="532" t="s">
        <v>412</v>
      </c>
      <c r="G84" s="492" t="s">
        <v>483</v>
      </c>
      <c r="H84" s="492" t="s">
        <v>484</v>
      </c>
      <c r="I84" s="522">
        <v>0.67000001668930054</v>
      </c>
      <c r="J84" s="522">
        <v>60</v>
      </c>
      <c r="K84" s="523">
        <v>40.200000762939453</v>
      </c>
    </row>
    <row r="85" spans="1:11" ht="14.45" customHeight="1" x14ac:dyDescent="0.2">
      <c r="A85" s="488" t="s">
        <v>298</v>
      </c>
      <c r="B85" s="489" t="s">
        <v>340</v>
      </c>
      <c r="C85" s="492" t="s">
        <v>349</v>
      </c>
      <c r="D85" s="532" t="s">
        <v>350</v>
      </c>
      <c r="E85" s="492" t="s">
        <v>411</v>
      </c>
      <c r="F85" s="532" t="s">
        <v>412</v>
      </c>
      <c r="G85" s="492" t="s">
        <v>485</v>
      </c>
      <c r="H85" s="492" t="s">
        <v>486</v>
      </c>
      <c r="I85" s="522">
        <v>1.5</v>
      </c>
      <c r="J85" s="522">
        <v>140</v>
      </c>
      <c r="K85" s="523">
        <v>210</v>
      </c>
    </row>
    <row r="86" spans="1:11" ht="14.45" customHeight="1" x14ac:dyDescent="0.2">
      <c r="A86" s="488" t="s">
        <v>298</v>
      </c>
      <c r="B86" s="489" t="s">
        <v>340</v>
      </c>
      <c r="C86" s="492" t="s">
        <v>349</v>
      </c>
      <c r="D86" s="532" t="s">
        <v>350</v>
      </c>
      <c r="E86" s="492" t="s">
        <v>411</v>
      </c>
      <c r="F86" s="532" t="s">
        <v>412</v>
      </c>
      <c r="G86" s="492" t="s">
        <v>487</v>
      </c>
      <c r="H86" s="492" t="s">
        <v>488</v>
      </c>
      <c r="I86" s="522">
        <v>17.059999465942383</v>
      </c>
      <c r="J86" s="522">
        <v>50</v>
      </c>
      <c r="K86" s="523">
        <v>853.04998779296875</v>
      </c>
    </row>
    <row r="87" spans="1:11" ht="14.45" customHeight="1" x14ac:dyDescent="0.2">
      <c r="A87" s="488" t="s">
        <v>298</v>
      </c>
      <c r="B87" s="489" t="s">
        <v>340</v>
      </c>
      <c r="C87" s="492" t="s">
        <v>349</v>
      </c>
      <c r="D87" s="532" t="s">
        <v>350</v>
      </c>
      <c r="E87" s="492" t="s">
        <v>411</v>
      </c>
      <c r="F87" s="532" t="s">
        <v>412</v>
      </c>
      <c r="G87" s="492" t="s">
        <v>489</v>
      </c>
      <c r="H87" s="492" t="s">
        <v>490</v>
      </c>
      <c r="I87" s="522">
        <v>30.129999160766602</v>
      </c>
      <c r="J87" s="522">
        <v>50</v>
      </c>
      <c r="K87" s="523">
        <v>1506.449951171875</v>
      </c>
    </row>
    <row r="88" spans="1:11" ht="14.45" customHeight="1" x14ac:dyDescent="0.2">
      <c r="A88" s="488" t="s">
        <v>298</v>
      </c>
      <c r="B88" s="489" t="s">
        <v>340</v>
      </c>
      <c r="C88" s="492" t="s">
        <v>349</v>
      </c>
      <c r="D88" s="532" t="s">
        <v>350</v>
      </c>
      <c r="E88" s="492" t="s">
        <v>411</v>
      </c>
      <c r="F88" s="532" t="s">
        <v>412</v>
      </c>
      <c r="G88" s="492" t="s">
        <v>477</v>
      </c>
      <c r="H88" s="492" t="s">
        <v>491</v>
      </c>
      <c r="I88" s="522">
        <v>1.0885915840175791</v>
      </c>
      <c r="J88" s="522">
        <v>6990</v>
      </c>
      <c r="K88" s="523">
        <v>7610.5000076293945</v>
      </c>
    </row>
    <row r="89" spans="1:11" ht="14.45" customHeight="1" x14ac:dyDescent="0.2">
      <c r="A89" s="488" t="s">
        <v>298</v>
      </c>
      <c r="B89" s="489" t="s">
        <v>340</v>
      </c>
      <c r="C89" s="492" t="s">
        <v>349</v>
      </c>
      <c r="D89" s="532" t="s">
        <v>350</v>
      </c>
      <c r="E89" s="492" t="s">
        <v>411</v>
      </c>
      <c r="F89" s="532" t="s">
        <v>412</v>
      </c>
      <c r="G89" s="492" t="s">
        <v>492</v>
      </c>
      <c r="H89" s="492" t="s">
        <v>493</v>
      </c>
      <c r="I89" s="522">
        <v>0.47999998927116394</v>
      </c>
      <c r="J89" s="522">
        <v>100</v>
      </c>
      <c r="K89" s="523">
        <v>48</v>
      </c>
    </row>
    <row r="90" spans="1:11" ht="14.45" customHeight="1" x14ac:dyDescent="0.2">
      <c r="A90" s="488" t="s">
        <v>298</v>
      </c>
      <c r="B90" s="489" t="s">
        <v>340</v>
      </c>
      <c r="C90" s="492" t="s">
        <v>349</v>
      </c>
      <c r="D90" s="532" t="s">
        <v>350</v>
      </c>
      <c r="E90" s="492" t="s">
        <v>411</v>
      </c>
      <c r="F90" s="532" t="s">
        <v>412</v>
      </c>
      <c r="G90" s="492" t="s">
        <v>481</v>
      </c>
      <c r="H90" s="492" t="s">
        <v>494</v>
      </c>
      <c r="I90" s="522">
        <v>1.6749999523162842</v>
      </c>
      <c r="J90" s="522">
        <v>910</v>
      </c>
      <c r="K90" s="523">
        <v>1527.2999954223633</v>
      </c>
    </row>
    <row r="91" spans="1:11" ht="14.45" customHeight="1" x14ac:dyDescent="0.2">
      <c r="A91" s="488" t="s">
        <v>298</v>
      </c>
      <c r="B91" s="489" t="s">
        <v>340</v>
      </c>
      <c r="C91" s="492" t="s">
        <v>349</v>
      </c>
      <c r="D91" s="532" t="s">
        <v>350</v>
      </c>
      <c r="E91" s="492" t="s">
        <v>411</v>
      </c>
      <c r="F91" s="532" t="s">
        <v>412</v>
      </c>
      <c r="G91" s="492" t="s">
        <v>483</v>
      </c>
      <c r="H91" s="492" t="s">
        <v>495</v>
      </c>
      <c r="I91" s="522">
        <v>0.67000001668930054</v>
      </c>
      <c r="J91" s="522">
        <v>670</v>
      </c>
      <c r="K91" s="523">
        <v>448.90000152587891</v>
      </c>
    </row>
    <row r="92" spans="1:11" ht="14.45" customHeight="1" x14ac:dyDescent="0.2">
      <c r="A92" s="488" t="s">
        <v>298</v>
      </c>
      <c r="B92" s="489" t="s">
        <v>340</v>
      </c>
      <c r="C92" s="492" t="s">
        <v>349</v>
      </c>
      <c r="D92" s="532" t="s">
        <v>350</v>
      </c>
      <c r="E92" s="492" t="s">
        <v>411</v>
      </c>
      <c r="F92" s="532" t="s">
        <v>412</v>
      </c>
      <c r="G92" s="492" t="s">
        <v>485</v>
      </c>
      <c r="H92" s="492" t="s">
        <v>496</v>
      </c>
      <c r="I92" s="522">
        <v>1.5</v>
      </c>
      <c r="J92" s="522">
        <v>210</v>
      </c>
      <c r="K92" s="523">
        <v>315</v>
      </c>
    </row>
    <row r="93" spans="1:11" ht="14.45" customHeight="1" x14ac:dyDescent="0.2">
      <c r="A93" s="488" t="s">
        <v>298</v>
      </c>
      <c r="B93" s="489" t="s">
        <v>340</v>
      </c>
      <c r="C93" s="492" t="s">
        <v>349</v>
      </c>
      <c r="D93" s="532" t="s">
        <v>350</v>
      </c>
      <c r="E93" s="492" t="s">
        <v>411</v>
      </c>
      <c r="F93" s="532" t="s">
        <v>412</v>
      </c>
      <c r="G93" s="492" t="s">
        <v>497</v>
      </c>
      <c r="H93" s="492" t="s">
        <v>498</v>
      </c>
      <c r="I93" s="522">
        <v>5.2100000381469727</v>
      </c>
      <c r="J93" s="522">
        <v>400</v>
      </c>
      <c r="K93" s="523">
        <v>2084</v>
      </c>
    </row>
    <row r="94" spans="1:11" ht="14.45" customHeight="1" x14ac:dyDescent="0.2">
      <c r="A94" s="488" t="s">
        <v>298</v>
      </c>
      <c r="B94" s="489" t="s">
        <v>340</v>
      </c>
      <c r="C94" s="492" t="s">
        <v>349</v>
      </c>
      <c r="D94" s="532" t="s">
        <v>350</v>
      </c>
      <c r="E94" s="492" t="s">
        <v>411</v>
      </c>
      <c r="F94" s="532" t="s">
        <v>412</v>
      </c>
      <c r="G94" s="492" t="s">
        <v>489</v>
      </c>
      <c r="H94" s="492" t="s">
        <v>499</v>
      </c>
      <c r="I94" s="522">
        <v>30.129999160766602</v>
      </c>
      <c r="J94" s="522">
        <v>50</v>
      </c>
      <c r="K94" s="523">
        <v>1506.5</v>
      </c>
    </row>
    <row r="95" spans="1:11" ht="14.45" customHeight="1" x14ac:dyDescent="0.2">
      <c r="A95" s="488" t="s">
        <v>298</v>
      </c>
      <c r="B95" s="489" t="s">
        <v>340</v>
      </c>
      <c r="C95" s="492" t="s">
        <v>349</v>
      </c>
      <c r="D95" s="532" t="s">
        <v>350</v>
      </c>
      <c r="E95" s="492" t="s">
        <v>411</v>
      </c>
      <c r="F95" s="532" t="s">
        <v>412</v>
      </c>
      <c r="G95" s="492" t="s">
        <v>500</v>
      </c>
      <c r="H95" s="492" t="s">
        <v>501</v>
      </c>
      <c r="I95" s="522">
        <v>5.8500001430511475</v>
      </c>
      <c r="J95" s="522">
        <v>500</v>
      </c>
      <c r="K95" s="523">
        <v>2925</v>
      </c>
    </row>
    <row r="96" spans="1:11" ht="14.45" customHeight="1" x14ac:dyDescent="0.2">
      <c r="A96" s="488" t="s">
        <v>298</v>
      </c>
      <c r="B96" s="489" t="s">
        <v>340</v>
      </c>
      <c r="C96" s="492" t="s">
        <v>349</v>
      </c>
      <c r="D96" s="532" t="s">
        <v>350</v>
      </c>
      <c r="E96" s="492" t="s">
        <v>411</v>
      </c>
      <c r="F96" s="532" t="s">
        <v>412</v>
      </c>
      <c r="G96" s="492" t="s">
        <v>502</v>
      </c>
      <c r="H96" s="492" t="s">
        <v>503</v>
      </c>
      <c r="I96" s="522">
        <v>0.4699999988079071</v>
      </c>
      <c r="J96" s="522">
        <v>100</v>
      </c>
      <c r="K96" s="523">
        <v>47</v>
      </c>
    </row>
    <row r="97" spans="1:11" ht="14.45" customHeight="1" x14ac:dyDescent="0.2">
      <c r="A97" s="488" t="s">
        <v>298</v>
      </c>
      <c r="B97" s="489" t="s">
        <v>340</v>
      </c>
      <c r="C97" s="492" t="s">
        <v>349</v>
      </c>
      <c r="D97" s="532" t="s">
        <v>350</v>
      </c>
      <c r="E97" s="492" t="s">
        <v>504</v>
      </c>
      <c r="F97" s="532" t="s">
        <v>505</v>
      </c>
      <c r="G97" s="492" t="s">
        <v>506</v>
      </c>
      <c r="H97" s="492" t="s">
        <v>507</v>
      </c>
      <c r="I97" s="522">
        <v>183.00999450683594</v>
      </c>
      <c r="J97" s="522">
        <v>60</v>
      </c>
      <c r="K97" s="523">
        <v>10980.75</v>
      </c>
    </row>
    <row r="98" spans="1:11" ht="14.45" customHeight="1" x14ac:dyDescent="0.2">
      <c r="A98" s="488" t="s">
        <v>298</v>
      </c>
      <c r="B98" s="489" t="s">
        <v>340</v>
      </c>
      <c r="C98" s="492" t="s">
        <v>349</v>
      </c>
      <c r="D98" s="532" t="s">
        <v>350</v>
      </c>
      <c r="E98" s="492" t="s">
        <v>504</v>
      </c>
      <c r="F98" s="532" t="s">
        <v>505</v>
      </c>
      <c r="G98" s="492" t="s">
        <v>508</v>
      </c>
      <c r="H98" s="492" t="s">
        <v>509</v>
      </c>
      <c r="I98" s="522">
        <v>408.47000122070313</v>
      </c>
      <c r="J98" s="522">
        <v>240</v>
      </c>
      <c r="K98" s="523">
        <v>98033.2314453125</v>
      </c>
    </row>
    <row r="99" spans="1:11" ht="14.45" customHeight="1" x14ac:dyDescent="0.2">
      <c r="A99" s="488" t="s">
        <v>298</v>
      </c>
      <c r="B99" s="489" t="s">
        <v>340</v>
      </c>
      <c r="C99" s="492" t="s">
        <v>349</v>
      </c>
      <c r="D99" s="532" t="s">
        <v>350</v>
      </c>
      <c r="E99" s="492" t="s">
        <v>504</v>
      </c>
      <c r="F99" s="532" t="s">
        <v>505</v>
      </c>
      <c r="G99" s="492" t="s">
        <v>510</v>
      </c>
      <c r="H99" s="492" t="s">
        <v>511</v>
      </c>
      <c r="I99" s="522">
        <v>36.416469686171588</v>
      </c>
      <c r="J99" s="522">
        <v>630</v>
      </c>
      <c r="K99" s="523">
        <v>23206.600044250488</v>
      </c>
    </row>
    <row r="100" spans="1:11" ht="14.45" customHeight="1" x14ac:dyDescent="0.2">
      <c r="A100" s="488" t="s">
        <v>298</v>
      </c>
      <c r="B100" s="489" t="s">
        <v>340</v>
      </c>
      <c r="C100" s="492" t="s">
        <v>349</v>
      </c>
      <c r="D100" s="532" t="s">
        <v>350</v>
      </c>
      <c r="E100" s="492" t="s">
        <v>504</v>
      </c>
      <c r="F100" s="532" t="s">
        <v>505</v>
      </c>
      <c r="G100" s="492" t="s">
        <v>512</v>
      </c>
      <c r="H100" s="492" t="s">
        <v>513</v>
      </c>
      <c r="I100" s="522">
        <v>10.164444393581814</v>
      </c>
      <c r="J100" s="522">
        <v>2390</v>
      </c>
      <c r="K100" s="523">
        <v>24292.499771118164</v>
      </c>
    </row>
    <row r="101" spans="1:11" ht="14.45" customHeight="1" x14ac:dyDescent="0.2">
      <c r="A101" s="488" t="s">
        <v>298</v>
      </c>
      <c r="B101" s="489" t="s">
        <v>340</v>
      </c>
      <c r="C101" s="492" t="s">
        <v>349</v>
      </c>
      <c r="D101" s="532" t="s">
        <v>350</v>
      </c>
      <c r="E101" s="492" t="s">
        <v>504</v>
      </c>
      <c r="F101" s="532" t="s">
        <v>505</v>
      </c>
      <c r="G101" s="492" t="s">
        <v>508</v>
      </c>
      <c r="H101" s="492" t="s">
        <v>514</v>
      </c>
      <c r="I101" s="522">
        <v>408.47222561306421</v>
      </c>
      <c r="J101" s="522">
        <v>380</v>
      </c>
      <c r="K101" s="523">
        <v>155220.02001953125</v>
      </c>
    </row>
    <row r="102" spans="1:11" ht="14.45" customHeight="1" x14ac:dyDescent="0.2">
      <c r="A102" s="488" t="s">
        <v>298</v>
      </c>
      <c r="B102" s="489" t="s">
        <v>340</v>
      </c>
      <c r="C102" s="492" t="s">
        <v>349</v>
      </c>
      <c r="D102" s="532" t="s">
        <v>350</v>
      </c>
      <c r="E102" s="492" t="s">
        <v>504</v>
      </c>
      <c r="F102" s="532" t="s">
        <v>505</v>
      </c>
      <c r="G102" s="492" t="s">
        <v>510</v>
      </c>
      <c r="H102" s="492" t="s">
        <v>515</v>
      </c>
      <c r="I102" s="522">
        <v>53.577997779846193</v>
      </c>
      <c r="J102" s="522">
        <v>180</v>
      </c>
      <c r="K102" s="523">
        <v>9195.5199699401855</v>
      </c>
    </row>
    <row r="103" spans="1:11" ht="14.45" customHeight="1" x14ac:dyDescent="0.2">
      <c r="A103" s="488" t="s">
        <v>298</v>
      </c>
      <c r="B103" s="489" t="s">
        <v>340</v>
      </c>
      <c r="C103" s="492" t="s">
        <v>349</v>
      </c>
      <c r="D103" s="532" t="s">
        <v>350</v>
      </c>
      <c r="E103" s="492" t="s">
        <v>504</v>
      </c>
      <c r="F103" s="532" t="s">
        <v>505</v>
      </c>
      <c r="G103" s="492" t="s">
        <v>512</v>
      </c>
      <c r="H103" s="492" t="s">
        <v>516</v>
      </c>
      <c r="I103" s="522">
        <v>10.164605203427767</v>
      </c>
      <c r="J103" s="522">
        <v>3290</v>
      </c>
      <c r="K103" s="523">
        <v>33441.39949798584</v>
      </c>
    </row>
    <row r="104" spans="1:11" ht="14.45" customHeight="1" x14ac:dyDescent="0.2">
      <c r="A104" s="488" t="s">
        <v>298</v>
      </c>
      <c r="B104" s="489" t="s">
        <v>340</v>
      </c>
      <c r="C104" s="492" t="s">
        <v>349</v>
      </c>
      <c r="D104" s="532" t="s">
        <v>350</v>
      </c>
      <c r="E104" s="492" t="s">
        <v>504</v>
      </c>
      <c r="F104" s="532" t="s">
        <v>505</v>
      </c>
      <c r="G104" s="492" t="s">
        <v>517</v>
      </c>
      <c r="H104" s="492" t="s">
        <v>518</v>
      </c>
      <c r="I104" s="522">
        <v>162.62333340115018</v>
      </c>
      <c r="J104" s="522">
        <v>270</v>
      </c>
      <c r="K104" s="523">
        <v>43908.3701171875</v>
      </c>
    </row>
    <row r="105" spans="1:11" ht="14.45" customHeight="1" x14ac:dyDescent="0.2">
      <c r="A105" s="488" t="s">
        <v>298</v>
      </c>
      <c r="B105" s="489" t="s">
        <v>340</v>
      </c>
      <c r="C105" s="492" t="s">
        <v>349</v>
      </c>
      <c r="D105" s="532" t="s">
        <v>350</v>
      </c>
      <c r="E105" s="492" t="s">
        <v>504</v>
      </c>
      <c r="F105" s="532" t="s">
        <v>505</v>
      </c>
      <c r="G105" s="492" t="s">
        <v>519</v>
      </c>
      <c r="H105" s="492" t="s">
        <v>520</v>
      </c>
      <c r="I105" s="522">
        <v>7</v>
      </c>
      <c r="J105" s="522">
        <v>150</v>
      </c>
      <c r="K105" s="523">
        <v>1050</v>
      </c>
    </row>
    <row r="106" spans="1:11" ht="14.45" customHeight="1" x14ac:dyDescent="0.2">
      <c r="A106" s="488" t="s">
        <v>298</v>
      </c>
      <c r="B106" s="489" t="s">
        <v>340</v>
      </c>
      <c r="C106" s="492" t="s">
        <v>349</v>
      </c>
      <c r="D106" s="532" t="s">
        <v>350</v>
      </c>
      <c r="E106" s="492" t="s">
        <v>504</v>
      </c>
      <c r="F106" s="532" t="s">
        <v>505</v>
      </c>
      <c r="G106" s="492" t="s">
        <v>519</v>
      </c>
      <c r="H106" s="492" t="s">
        <v>521</v>
      </c>
      <c r="I106" s="522">
        <v>7.0100002288818359</v>
      </c>
      <c r="J106" s="522">
        <v>30</v>
      </c>
      <c r="K106" s="523">
        <v>210.30000305175781</v>
      </c>
    </row>
    <row r="107" spans="1:11" ht="14.45" customHeight="1" x14ac:dyDescent="0.2">
      <c r="A107" s="488" t="s">
        <v>298</v>
      </c>
      <c r="B107" s="489" t="s">
        <v>340</v>
      </c>
      <c r="C107" s="492" t="s">
        <v>349</v>
      </c>
      <c r="D107" s="532" t="s">
        <v>350</v>
      </c>
      <c r="E107" s="492" t="s">
        <v>522</v>
      </c>
      <c r="F107" s="532" t="s">
        <v>523</v>
      </c>
      <c r="G107" s="492" t="s">
        <v>524</v>
      </c>
      <c r="H107" s="492" t="s">
        <v>525</v>
      </c>
      <c r="I107" s="522">
        <v>125.48000335693359</v>
      </c>
      <c r="J107" s="522">
        <v>84</v>
      </c>
      <c r="K107" s="523">
        <v>10540.169921875</v>
      </c>
    </row>
    <row r="108" spans="1:11" ht="14.45" customHeight="1" x14ac:dyDescent="0.2">
      <c r="A108" s="488" t="s">
        <v>298</v>
      </c>
      <c r="B108" s="489" t="s">
        <v>340</v>
      </c>
      <c r="C108" s="492" t="s">
        <v>349</v>
      </c>
      <c r="D108" s="532" t="s">
        <v>350</v>
      </c>
      <c r="E108" s="492" t="s">
        <v>522</v>
      </c>
      <c r="F108" s="532" t="s">
        <v>523</v>
      </c>
      <c r="G108" s="492" t="s">
        <v>524</v>
      </c>
      <c r="H108" s="492" t="s">
        <v>526</v>
      </c>
      <c r="I108" s="522">
        <v>125.48000335693359</v>
      </c>
      <c r="J108" s="522">
        <v>48</v>
      </c>
      <c r="K108" s="523">
        <v>6022.8798828125</v>
      </c>
    </row>
    <row r="109" spans="1:11" ht="14.45" customHeight="1" x14ac:dyDescent="0.2">
      <c r="A109" s="488" t="s">
        <v>298</v>
      </c>
      <c r="B109" s="489" t="s">
        <v>340</v>
      </c>
      <c r="C109" s="492" t="s">
        <v>349</v>
      </c>
      <c r="D109" s="532" t="s">
        <v>350</v>
      </c>
      <c r="E109" s="492" t="s">
        <v>522</v>
      </c>
      <c r="F109" s="532" t="s">
        <v>523</v>
      </c>
      <c r="G109" s="492" t="s">
        <v>527</v>
      </c>
      <c r="H109" s="492" t="s">
        <v>528</v>
      </c>
      <c r="I109" s="522">
        <v>0.54510205740831341</v>
      </c>
      <c r="J109" s="522">
        <v>5300</v>
      </c>
      <c r="K109" s="523">
        <v>2889</v>
      </c>
    </row>
    <row r="110" spans="1:11" ht="14.45" customHeight="1" x14ac:dyDescent="0.2">
      <c r="A110" s="488" t="s">
        <v>298</v>
      </c>
      <c r="B110" s="489" t="s">
        <v>340</v>
      </c>
      <c r="C110" s="492" t="s">
        <v>349</v>
      </c>
      <c r="D110" s="532" t="s">
        <v>350</v>
      </c>
      <c r="E110" s="492" t="s">
        <v>522</v>
      </c>
      <c r="F110" s="532" t="s">
        <v>523</v>
      </c>
      <c r="G110" s="492" t="s">
        <v>527</v>
      </c>
      <c r="H110" s="492" t="s">
        <v>529</v>
      </c>
      <c r="I110" s="522">
        <v>0.54605635371006711</v>
      </c>
      <c r="J110" s="522">
        <v>7900</v>
      </c>
      <c r="K110" s="523">
        <v>4314</v>
      </c>
    </row>
    <row r="111" spans="1:11" ht="14.45" customHeight="1" x14ac:dyDescent="0.2">
      <c r="A111" s="488" t="s">
        <v>298</v>
      </c>
      <c r="B111" s="489" t="s">
        <v>340</v>
      </c>
      <c r="C111" s="492" t="s">
        <v>349</v>
      </c>
      <c r="D111" s="532" t="s">
        <v>350</v>
      </c>
      <c r="E111" s="492" t="s">
        <v>530</v>
      </c>
      <c r="F111" s="532" t="s">
        <v>531</v>
      </c>
      <c r="G111" s="492" t="s">
        <v>532</v>
      </c>
      <c r="H111" s="492" t="s">
        <v>533</v>
      </c>
      <c r="I111" s="522">
        <v>7.0199999809265137</v>
      </c>
      <c r="J111" s="522">
        <v>130</v>
      </c>
      <c r="K111" s="523">
        <v>912.60000610351563</v>
      </c>
    </row>
    <row r="112" spans="1:11" ht="14.45" customHeight="1" x14ac:dyDescent="0.2">
      <c r="A112" s="488" t="s">
        <v>298</v>
      </c>
      <c r="B112" s="489" t="s">
        <v>340</v>
      </c>
      <c r="C112" s="492" t="s">
        <v>349</v>
      </c>
      <c r="D112" s="532" t="s">
        <v>350</v>
      </c>
      <c r="E112" s="492" t="s">
        <v>530</v>
      </c>
      <c r="F112" s="532" t="s">
        <v>531</v>
      </c>
      <c r="G112" s="492" t="s">
        <v>534</v>
      </c>
      <c r="H112" s="492" t="s">
        <v>535</v>
      </c>
      <c r="I112" s="522">
        <v>7.0162500739097595</v>
      </c>
      <c r="J112" s="522">
        <v>1330</v>
      </c>
      <c r="K112" s="523">
        <v>9332</v>
      </c>
    </row>
    <row r="113" spans="1:11" ht="14.45" customHeight="1" x14ac:dyDescent="0.2">
      <c r="A113" s="488" t="s">
        <v>298</v>
      </c>
      <c r="B113" s="489" t="s">
        <v>340</v>
      </c>
      <c r="C113" s="492" t="s">
        <v>349</v>
      </c>
      <c r="D113" s="532" t="s">
        <v>350</v>
      </c>
      <c r="E113" s="492" t="s">
        <v>530</v>
      </c>
      <c r="F113" s="532" t="s">
        <v>531</v>
      </c>
      <c r="G113" s="492" t="s">
        <v>536</v>
      </c>
      <c r="H113" s="492" t="s">
        <v>537</v>
      </c>
      <c r="I113" s="522">
        <v>7.0178947699697396</v>
      </c>
      <c r="J113" s="522">
        <v>850</v>
      </c>
      <c r="K113" s="523">
        <v>5965.4000244140625</v>
      </c>
    </row>
    <row r="114" spans="1:11" ht="14.45" customHeight="1" x14ac:dyDescent="0.2">
      <c r="A114" s="488" t="s">
        <v>298</v>
      </c>
      <c r="B114" s="489" t="s">
        <v>340</v>
      </c>
      <c r="C114" s="492" t="s">
        <v>349</v>
      </c>
      <c r="D114" s="532" t="s">
        <v>350</v>
      </c>
      <c r="E114" s="492" t="s">
        <v>530</v>
      </c>
      <c r="F114" s="532" t="s">
        <v>531</v>
      </c>
      <c r="G114" s="492" t="s">
        <v>538</v>
      </c>
      <c r="H114" s="492" t="s">
        <v>539</v>
      </c>
      <c r="I114" s="522">
        <v>7.0199999809265137</v>
      </c>
      <c r="J114" s="522">
        <v>250</v>
      </c>
      <c r="K114" s="523">
        <v>1755</v>
      </c>
    </row>
    <row r="115" spans="1:11" ht="14.45" customHeight="1" x14ac:dyDescent="0.2">
      <c r="A115" s="488" t="s">
        <v>298</v>
      </c>
      <c r="B115" s="489" t="s">
        <v>340</v>
      </c>
      <c r="C115" s="492" t="s">
        <v>349</v>
      </c>
      <c r="D115" s="532" t="s">
        <v>350</v>
      </c>
      <c r="E115" s="492" t="s">
        <v>530</v>
      </c>
      <c r="F115" s="532" t="s">
        <v>531</v>
      </c>
      <c r="G115" s="492" t="s">
        <v>532</v>
      </c>
      <c r="H115" s="492" t="s">
        <v>540</v>
      </c>
      <c r="I115" s="522">
        <v>7.0166667302449541</v>
      </c>
      <c r="J115" s="522">
        <v>180</v>
      </c>
      <c r="K115" s="523">
        <v>1263.0000305175781</v>
      </c>
    </row>
    <row r="116" spans="1:11" ht="14.45" customHeight="1" x14ac:dyDescent="0.2">
      <c r="A116" s="488" t="s">
        <v>298</v>
      </c>
      <c r="B116" s="489" t="s">
        <v>340</v>
      </c>
      <c r="C116" s="492" t="s">
        <v>349</v>
      </c>
      <c r="D116" s="532" t="s">
        <v>350</v>
      </c>
      <c r="E116" s="492" t="s">
        <v>530</v>
      </c>
      <c r="F116" s="532" t="s">
        <v>531</v>
      </c>
      <c r="G116" s="492" t="s">
        <v>534</v>
      </c>
      <c r="H116" s="492" t="s">
        <v>541</v>
      </c>
      <c r="I116" s="522">
        <v>7.0191228096945242</v>
      </c>
      <c r="J116" s="522">
        <v>2610</v>
      </c>
      <c r="K116" s="523">
        <v>18317.200172424316</v>
      </c>
    </row>
    <row r="117" spans="1:11" ht="14.45" customHeight="1" x14ac:dyDescent="0.2">
      <c r="A117" s="488" t="s">
        <v>298</v>
      </c>
      <c r="B117" s="489" t="s">
        <v>340</v>
      </c>
      <c r="C117" s="492" t="s">
        <v>349</v>
      </c>
      <c r="D117" s="532" t="s">
        <v>350</v>
      </c>
      <c r="E117" s="492" t="s">
        <v>530</v>
      </c>
      <c r="F117" s="532" t="s">
        <v>531</v>
      </c>
      <c r="G117" s="492" t="s">
        <v>536</v>
      </c>
      <c r="H117" s="492" t="s">
        <v>542</v>
      </c>
      <c r="I117" s="522">
        <v>7.0180000305175785</v>
      </c>
      <c r="J117" s="522">
        <v>540</v>
      </c>
      <c r="K117" s="523">
        <v>3789.7000579833984</v>
      </c>
    </row>
    <row r="118" spans="1:11" ht="14.45" customHeight="1" x14ac:dyDescent="0.2">
      <c r="A118" s="488" t="s">
        <v>298</v>
      </c>
      <c r="B118" s="489" t="s">
        <v>340</v>
      </c>
      <c r="C118" s="492" t="s">
        <v>349</v>
      </c>
      <c r="D118" s="532" t="s">
        <v>350</v>
      </c>
      <c r="E118" s="492" t="s">
        <v>530</v>
      </c>
      <c r="F118" s="532" t="s">
        <v>531</v>
      </c>
      <c r="G118" s="492" t="s">
        <v>538</v>
      </c>
      <c r="H118" s="492" t="s">
        <v>543</v>
      </c>
      <c r="I118" s="522">
        <v>7.0199999809265137</v>
      </c>
      <c r="J118" s="522">
        <v>330</v>
      </c>
      <c r="K118" s="523">
        <v>2316.6000366210938</v>
      </c>
    </row>
    <row r="119" spans="1:11" ht="14.45" customHeight="1" x14ac:dyDescent="0.2">
      <c r="A119" s="488" t="s">
        <v>298</v>
      </c>
      <c r="B119" s="489" t="s">
        <v>340</v>
      </c>
      <c r="C119" s="492" t="s">
        <v>349</v>
      </c>
      <c r="D119" s="532" t="s">
        <v>350</v>
      </c>
      <c r="E119" s="492" t="s">
        <v>530</v>
      </c>
      <c r="F119" s="532" t="s">
        <v>531</v>
      </c>
      <c r="G119" s="492" t="s">
        <v>544</v>
      </c>
      <c r="H119" s="492" t="s">
        <v>545</v>
      </c>
      <c r="I119" s="522">
        <v>0.62999999523162842</v>
      </c>
      <c r="J119" s="522">
        <v>800</v>
      </c>
      <c r="K119" s="523">
        <v>504</v>
      </c>
    </row>
    <row r="120" spans="1:11" ht="14.45" customHeight="1" x14ac:dyDescent="0.2">
      <c r="A120" s="488" t="s">
        <v>298</v>
      </c>
      <c r="B120" s="489" t="s">
        <v>340</v>
      </c>
      <c r="C120" s="492" t="s">
        <v>349</v>
      </c>
      <c r="D120" s="532" t="s">
        <v>350</v>
      </c>
      <c r="E120" s="492" t="s">
        <v>530</v>
      </c>
      <c r="F120" s="532" t="s">
        <v>531</v>
      </c>
      <c r="G120" s="492" t="s">
        <v>546</v>
      </c>
      <c r="H120" s="492" t="s">
        <v>547</v>
      </c>
      <c r="I120" s="522">
        <v>0.62930232147837795</v>
      </c>
      <c r="J120" s="522">
        <v>8600</v>
      </c>
      <c r="K120" s="523">
        <v>5412</v>
      </c>
    </row>
    <row r="121" spans="1:11" ht="14.45" customHeight="1" x14ac:dyDescent="0.2">
      <c r="A121" s="488" t="s">
        <v>298</v>
      </c>
      <c r="B121" s="489" t="s">
        <v>340</v>
      </c>
      <c r="C121" s="492" t="s">
        <v>349</v>
      </c>
      <c r="D121" s="532" t="s">
        <v>350</v>
      </c>
      <c r="E121" s="492" t="s">
        <v>530</v>
      </c>
      <c r="F121" s="532" t="s">
        <v>531</v>
      </c>
      <c r="G121" s="492" t="s">
        <v>544</v>
      </c>
      <c r="H121" s="492" t="s">
        <v>548</v>
      </c>
      <c r="I121" s="522">
        <v>0.62799999713897703</v>
      </c>
      <c r="J121" s="522">
        <v>1000</v>
      </c>
      <c r="K121" s="523">
        <v>628</v>
      </c>
    </row>
    <row r="122" spans="1:11" ht="14.45" customHeight="1" x14ac:dyDescent="0.2">
      <c r="A122" s="488" t="s">
        <v>298</v>
      </c>
      <c r="B122" s="489" t="s">
        <v>340</v>
      </c>
      <c r="C122" s="492" t="s">
        <v>349</v>
      </c>
      <c r="D122" s="532" t="s">
        <v>350</v>
      </c>
      <c r="E122" s="492" t="s">
        <v>530</v>
      </c>
      <c r="F122" s="532" t="s">
        <v>531</v>
      </c>
      <c r="G122" s="492" t="s">
        <v>546</v>
      </c>
      <c r="H122" s="492" t="s">
        <v>549</v>
      </c>
      <c r="I122" s="522">
        <v>0.62977777322133377</v>
      </c>
      <c r="J122" s="522">
        <v>9400</v>
      </c>
      <c r="K122" s="523">
        <v>5920</v>
      </c>
    </row>
    <row r="123" spans="1:11" ht="14.45" customHeight="1" thickBot="1" x14ac:dyDescent="0.25">
      <c r="A123" s="496" t="s">
        <v>298</v>
      </c>
      <c r="B123" s="497" t="s">
        <v>340</v>
      </c>
      <c r="C123" s="500" t="s">
        <v>349</v>
      </c>
      <c r="D123" s="533" t="s">
        <v>350</v>
      </c>
      <c r="E123" s="500" t="s">
        <v>550</v>
      </c>
      <c r="F123" s="533" t="s">
        <v>551</v>
      </c>
      <c r="G123" s="500" t="s">
        <v>552</v>
      </c>
      <c r="H123" s="500" t="s">
        <v>553</v>
      </c>
      <c r="I123" s="511">
        <v>93.150001525878906</v>
      </c>
      <c r="J123" s="511">
        <v>0</v>
      </c>
      <c r="K123" s="512">
        <v>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D2BA251-C6FA-4708-A326-2FADE5287992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62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383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2"/>
      <c r="B2" s="233"/>
    </row>
    <row r="3" spans="1:19" x14ac:dyDescent="0.25">
      <c r="A3" s="395" t="s">
        <v>168</v>
      </c>
      <c r="B3" s="396"/>
      <c r="C3" s="397" t="s">
        <v>157</v>
      </c>
      <c r="D3" s="398"/>
      <c r="E3" s="398"/>
      <c r="F3" s="399"/>
      <c r="G3" s="400" t="s">
        <v>158</v>
      </c>
      <c r="H3" s="401"/>
      <c r="I3" s="401"/>
      <c r="J3" s="402"/>
      <c r="K3" s="403" t="s">
        <v>167</v>
      </c>
      <c r="L3" s="404"/>
      <c r="M3" s="404"/>
      <c r="N3" s="404"/>
      <c r="O3" s="405"/>
      <c r="P3" s="401" t="s">
        <v>211</v>
      </c>
      <c r="Q3" s="401"/>
      <c r="R3" s="401"/>
      <c r="S3" s="402"/>
    </row>
    <row r="4" spans="1:19" ht="15.75" thickBot="1" x14ac:dyDescent="0.3">
      <c r="A4" s="375">
        <v>2019</v>
      </c>
      <c r="B4" s="376"/>
      <c r="C4" s="377" t="s">
        <v>210</v>
      </c>
      <c r="D4" s="379" t="s">
        <v>105</v>
      </c>
      <c r="E4" s="379" t="s">
        <v>73</v>
      </c>
      <c r="F4" s="381" t="s">
        <v>66</v>
      </c>
      <c r="G4" s="369" t="s">
        <v>159</v>
      </c>
      <c r="H4" s="371" t="s">
        <v>163</v>
      </c>
      <c r="I4" s="371" t="s">
        <v>209</v>
      </c>
      <c r="J4" s="373" t="s">
        <v>160</v>
      </c>
      <c r="K4" s="392" t="s">
        <v>208</v>
      </c>
      <c r="L4" s="393"/>
      <c r="M4" s="393"/>
      <c r="N4" s="394"/>
      <c r="O4" s="381" t="s">
        <v>207</v>
      </c>
      <c r="P4" s="384" t="s">
        <v>206</v>
      </c>
      <c r="Q4" s="384" t="s">
        <v>170</v>
      </c>
      <c r="R4" s="386" t="s">
        <v>73</v>
      </c>
      <c r="S4" s="388" t="s">
        <v>169</v>
      </c>
    </row>
    <row r="5" spans="1:19" s="297" customFormat="1" ht="19.149999999999999" customHeight="1" x14ac:dyDescent="0.25">
      <c r="A5" s="390" t="s">
        <v>205</v>
      </c>
      <c r="B5" s="391"/>
      <c r="C5" s="378"/>
      <c r="D5" s="380"/>
      <c r="E5" s="380"/>
      <c r="F5" s="382"/>
      <c r="G5" s="370"/>
      <c r="H5" s="372"/>
      <c r="I5" s="372"/>
      <c r="J5" s="374"/>
      <c r="K5" s="300" t="s">
        <v>161</v>
      </c>
      <c r="L5" s="299" t="s">
        <v>162</v>
      </c>
      <c r="M5" s="299" t="s">
        <v>204</v>
      </c>
      <c r="N5" s="298" t="s">
        <v>3</v>
      </c>
      <c r="O5" s="382"/>
      <c r="P5" s="385"/>
      <c r="Q5" s="385"/>
      <c r="R5" s="387"/>
      <c r="S5" s="389"/>
    </row>
    <row r="6" spans="1:19" ht="15.75" thickBot="1" x14ac:dyDescent="0.3">
      <c r="A6" s="367" t="s">
        <v>156</v>
      </c>
      <c r="B6" s="368"/>
      <c r="C6" s="296" t="e">
        <f ca="1">SUM(Tabulka[01 uv_sk])/2</f>
        <v>#REF!</v>
      </c>
      <c r="D6" s="294"/>
      <c r="E6" s="294"/>
      <c r="F6" s="293"/>
      <c r="G6" s="295" t="e">
        <f ca="1">SUM(Tabulka[05 h_vram])/2</f>
        <v>#REF!</v>
      </c>
      <c r="H6" s="294" t="e">
        <f ca="1">SUM(Tabulka[06 h_naduv])/2</f>
        <v>#REF!</v>
      </c>
      <c r="I6" s="294" t="e">
        <f ca="1">SUM(Tabulka[07 h_nadzk])/2</f>
        <v>#REF!</v>
      </c>
      <c r="J6" s="293" t="e">
        <f ca="1">SUM(Tabulka[08 h_oon])/2</f>
        <v>#REF!</v>
      </c>
      <c r="K6" s="295" t="e">
        <f ca="1">SUM(Tabulka[09 m_kl])/2</f>
        <v>#REF!</v>
      </c>
      <c r="L6" s="294" t="e">
        <f ca="1">SUM(Tabulka[10 m_gr])/2</f>
        <v>#REF!</v>
      </c>
      <c r="M6" s="294" t="e">
        <f ca="1">SUM(Tabulka[11 m_jo])/2</f>
        <v>#REF!</v>
      </c>
      <c r="N6" s="294" t="e">
        <f ca="1">SUM(Tabulka[12 m_oc])/2</f>
        <v>#REF!</v>
      </c>
      <c r="O6" s="293" t="e">
        <f ca="1">SUM(Tabulka[13 m_sk])/2</f>
        <v>#REF!</v>
      </c>
      <c r="P6" s="292" t="e">
        <f ca="1">SUM(Tabulka[14_vzsk])/2</f>
        <v>#REF!</v>
      </c>
      <c r="Q6" s="292" t="e">
        <f ca="1">SUM(Tabulka[15_vzpl])/2</f>
        <v>#REF!</v>
      </c>
      <c r="R6" s="291" t="e">
        <f ca="1">IF(Q6=0,0,P6/Q6)</f>
        <v>#REF!</v>
      </c>
      <c r="S6" s="290" t="e">
        <f ca="1">Q6-P6</f>
        <v>#REF!</v>
      </c>
    </row>
    <row r="7" spans="1:19" hidden="1" x14ac:dyDescent="0.25">
      <c r="A7" s="289" t="s">
        <v>203</v>
      </c>
      <c r="B7" s="288" t="s">
        <v>202</v>
      </c>
      <c r="C7" s="287" t="s">
        <v>201</v>
      </c>
      <c r="D7" s="286" t="s">
        <v>200</v>
      </c>
      <c r="E7" s="285" t="s">
        <v>199</v>
      </c>
      <c r="F7" s="284" t="s">
        <v>198</v>
      </c>
      <c r="G7" s="283" t="s">
        <v>197</v>
      </c>
      <c r="H7" s="281" t="s">
        <v>196</v>
      </c>
      <c r="I7" s="281" t="s">
        <v>195</v>
      </c>
      <c r="J7" s="280" t="s">
        <v>194</v>
      </c>
      <c r="K7" s="282" t="s">
        <v>193</v>
      </c>
      <c r="L7" s="281" t="s">
        <v>192</v>
      </c>
      <c r="M7" s="281" t="s">
        <v>191</v>
      </c>
      <c r="N7" s="280" t="s">
        <v>190</v>
      </c>
      <c r="O7" s="279" t="s">
        <v>189</v>
      </c>
      <c r="P7" s="278" t="s">
        <v>188</v>
      </c>
      <c r="Q7" s="277" t="s">
        <v>187</v>
      </c>
      <c r="R7" s="276" t="s">
        <v>186</v>
      </c>
      <c r="S7" s="275" t="s">
        <v>185</v>
      </c>
    </row>
    <row r="8" spans="1:19" x14ac:dyDescent="0.25">
      <c r="A8" s="272" t="s">
        <v>184</v>
      </c>
      <c r="B8" s="271"/>
      <c r="C8" s="265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70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4" t="e">
        <f ca="1">IF(Tabulka[[#This Row],[15_vzpl]]=0,"",Tabulka[[#This Row],[14_vzsk]]/Tabulka[[#This Row],[15_vzpl]])</f>
        <v>#REF!</v>
      </c>
      <c r="S8" s="273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212</v>
      </c>
    </row>
    <row r="10" spans="1:19" x14ac:dyDescent="0.25">
      <c r="A10" s="113" t="s">
        <v>152</v>
      </c>
    </row>
    <row r="11" spans="1:19" x14ac:dyDescent="0.25">
      <c r="A11" s="114" t="s">
        <v>183</v>
      </c>
    </row>
    <row r="12" spans="1:19" x14ac:dyDescent="0.25">
      <c r="A12" s="264" t="s">
        <v>182</v>
      </c>
    </row>
    <row r="13" spans="1:19" x14ac:dyDescent="0.25">
      <c r="A13" s="235" t="s">
        <v>166</v>
      </c>
    </row>
    <row r="14" spans="1:19" x14ac:dyDescent="0.25">
      <c r="A14" s="23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06" t="s">
        <v>557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124</v>
      </c>
      <c r="B3" s="221">
        <f>SUBTOTAL(9,B6:B1048576)/4</f>
        <v>1926730.9900000002</v>
      </c>
      <c r="C3" s="222">
        <f t="shared" ref="C3:Z3" si="0">SUBTOTAL(9,C6:C1048576)</f>
        <v>5</v>
      </c>
      <c r="D3" s="222"/>
      <c r="E3" s="222">
        <f>SUBTOTAL(9,E6:E1048576)/4</f>
        <v>1809336.3499999996</v>
      </c>
      <c r="F3" s="222"/>
      <c r="G3" s="222">
        <f t="shared" si="0"/>
        <v>4</v>
      </c>
      <c r="H3" s="222">
        <f>SUBTOTAL(9,H6:H1048576)/4</f>
        <v>3599768.33</v>
      </c>
      <c r="I3" s="225">
        <f>IF(B3&lt;&gt;0,H3/B3,"")</f>
        <v>1.8683294910827171</v>
      </c>
      <c r="J3" s="223">
        <f>IF(E3&lt;&gt;0,H3/E3,"")</f>
        <v>1.9895517657620712</v>
      </c>
      <c r="K3" s="224">
        <f t="shared" si="0"/>
        <v>5139.4000000000024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2242.6800000000003</v>
      </c>
      <c r="R3" s="225">
        <f>IF(K3&lt;&gt;0,Q3/K3,"")</f>
        <v>0.4363700042806552</v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34"/>
      <c r="B5" s="535">
        <v>2015</v>
      </c>
      <c r="C5" s="536"/>
      <c r="D5" s="536"/>
      <c r="E5" s="536">
        <v>2018</v>
      </c>
      <c r="F5" s="536"/>
      <c r="G5" s="536"/>
      <c r="H5" s="536">
        <v>2019</v>
      </c>
      <c r="I5" s="537" t="s">
        <v>177</v>
      </c>
      <c r="J5" s="538" t="s">
        <v>2</v>
      </c>
      <c r="K5" s="535">
        <v>2015</v>
      </c>
      <c r="L5" s="536"/>
      <c r="M5" s="536"/>
      <c r="N5" s="536">
        <v>2018</v>
      </c>
      <c r="O5" s="536"/>
      <c r="P5" s="536"/>
      <c r="Q5" s="536">
        <v>2019</v>
      </c>
      <c r="R5" s="537" t="s">
        <v>177</v>
      </c>
      <c r="S5" s="538" t="s">
        <v>2</v>
      </c>
      <c r="T5" s="535">
        <v>2015</v>
      </c>
      <c r="U5" s="536"/>
      <c r="V5" s="536"/>
      <c r="W5" s="536">
        <v>2018</v>
      </c>
      <c r="X5" s="536"/>
      <c r="Y5" s="536"/>
      <c r="Z5" s="536">
        <v>2019</v>
      </c>
      <c r="AA5" s="537" t="s">
        <v>177</v>
      </c>
      <c r="AB5" s="538" t="s">
        <v>2</v>
      </c>
    </row>
    <row r="6" spans="1:28" ht="14.45" customHeight="1" x14ac:dyDescent="0.25">
      <c r="A6" s="539" t="s">
        <v>555</v>
      </c>
      <c r="B6" s="540">
        <v>1926730.9900000002</v>
      </c>
      <c r="C6" s="541">
        <v>1</v>
      </c>
      <c r="D6" s="541">
        <v>1.0648827068554725</v>
      </c>
      <c r="E6" s="540">
        <v>1809336.3499999996</v>
      </c>
      <c r="F6" s="541">
        <v>0.93907056013045154</v>
      </c>
      <c r="G6" s="541">
        <v>1</v>
      </c>
      <c r="H6" s="540">
        <v>3599768.33</v>
      </c>
      <c r="I6" s="541">
        <v>1.8683294910827171</v>
      </c>
      <c r="J6" s="541">
        <v>1.9895517657620712</v>
      </c>
      <c r="K6" s="540">
        <v>2569.7000000000012</v>
      </c>
      <c r="L6" s="541">
        <v>1</v>
      </c>
      <c r="M6" s="541"/>
      <c r="N6" s="540"/>
      <c r="O6" s="541"/>
      <c r="P6" s="541"/>
      <c r="Q6" s="540">
        <v>1121.3400000000001</v>
      </c>
      <c r="R6" s="541">
        <v>0.4363700042806552</v>
      </c>
      <c r="S6" s="541"/>
      <c r="T6" s="540"/>
      <c r="U6" s="541"/>
      <c r="V6" s="541"/>
      <c r="W6" s="540"/>
      <c r="X6" s="541"/>
      <c r="Y6" s="541"/>
      <c r="Z6" s="540"/>
      <c r="AA6" s="541"/>
      <c r="AB6" s="542"/>
    </row>
    <row r="7" spans="1:28" ht="14.45" customHeight="1" thickBot="1" x14ac:dyDescent="0.3">
      <c r="A7" s="546" t="s">
        <v>556</v>
      </c>
      <c r="B7" s="543">
        <v>1926730.9900000002</v>
      </c>
      <c r="C7" s="544">
        <v>1</v>
      </c>
      <c r="D7" s="544">
        <v>1.0648827068554725</v>
      </c>
      <c r="E7" s="543">
        <v>1809336.3499999996</v>
      </c>
      <c r="F7" s="544">
        <v>0.93907056013045154</v>
      </c>
      <c r="G7" s="544">
        <v>1</v>
      </c>
      <c r="H7" s="543">
        <v>3599768.33</v>
      </c>
      <c r="I7" s="544">
        <v>1.8683294910827171</v>
      </c>
      <c r="J7" s="544">
        <v>1.9895517657620712</v>
      </c>
      <c r="K7" s="543">
        <v>2569.7000000000012</v>
      </c>
      <c r="L7" s="544">
        <v>1</v>
      </c>
      <c r="M7" s="544"/>
      <c r="N7" s="543"/>
      <c r="O7" s="544"/>
      <c r="P7" s="544"/>
      <c r="Q7" s="543">
        <v>1121.3400000000001</v>
      </c>
      <c r="R7" s="544">
        <v>0.4363700042806552</v>
      </c>
      <c r="S7" s="544"/>
      <c r="T7" s="543"/>
      <c r="U7" s="544"/>
      <c r="V7" s="544"/>
      <c r="W7" s="543"/>
      <c r="X7" s="544"/>
      <c r="Y7" s="544"/>
      <c r="Z7" s="543"/>
      <c r="AA7" s="544"/>
      <c r="AB7" s="545"/>
    </row>
    <row r="8" spans="1:28" ht="14.45" customHeight="1" thickBot="1" x14ac:dyDescent="0.25"/>
    <row r="9" spans="1:28" ht="14.45" customHeight="1" x14ac:dyDescent="0.25">
      <c r="A9" s="539" t="s">
        <v>349</v>
      </c>
      <c r="B9" s="540">
        <v>1926730.9900000002</v>
      </c>
      <c r="C9" s="541">
        <v>1</v>
      </c>
      <c r="D9" s="541">
        <v>1.0648827068554725</v>
      </c>
      <c r="E9" s="540">
        <v>1809336.3499999996</v>
      </c>
      <c r="F9" s="541">
        <v>0.93907056013045154</v>
      </c>
      <c r="G9" s="541">
        <v>1</v>
      </c>
      <c r="H9" s="540">
        <v>3599768.33</v>
      </c>
      <c r="I9" s="541">
        <v>1.8683294910827171</v>
      </c>
      <c r="J9" s="542">
        <v>1.9895517657620712</v>
      </c>
    </row>
    <row r="10" spans="1:28" ht="14.45" customHeight="1" x14ac:dyDescent="0.25">
      <c r="A10" s="550" t="s">
        <v>558</v>
      </c>
      <c r="B10" s="547">
        <v>14344</v>
      </c>
      <c r="C10" s="548">
        <v>1</v>
      </c>
      <c r="D10" s="548"/>
      <c r="E10" s="547"/>
      <c r="F10" s="548"/>
      <c r="G10" s="548"/>
      <c r="H10" s="547"/>
      <c r="I10" s="548"/>
      <c r="J10" s="549"/>
    </row>
    <row r="11" spans="1:28" ht="14.45" customHeight="1" thickBot="1" x14ac:dyDescent="0.3">
      <c r="A11" s="546" t="s">
        <v>559</v>
      </c>
      <c r="B11" s="543">
        <v>1912386.9900000002</v>
      </c>
      <c r="C11" s="544">
        <v>1</v>
      </c>
      <c r="D11" s="544">
        <v>1.0569549382015127</v>
      </c>
      <c r="E11" s="543">
        <v>1809336.3499999996</v>
      </c>
      <c r="F11" s="544">
        <v>0.94611412829157526</v>
      </c>
      <c r="G11" s="544">
        <v>1</v>
      </c>
      <c r="H11" s="543">
        <v>3599768.33</v>
      </c>
      <c r="I11" s="544">
        <v>1.8823430345549463</v>
      </c>
      <c r="J11" s="545">
        <v>1.9895517657620712</v>
      </c>
    </row>
    <row r="12" spans="1:28" ht="14.45" customHeight="1" x14ac:dyDescent="0.2">
      <c r="A12" s="459" t="s">
        <v>212</v>
      </c>
    </row>
    <row r="13" spans="1:28" ht="14.45" customHeight="1" x14ac:dyDescent="0.2">
      <c r="A13" s="460" t="s">
        <v>306</v>
      </c>
    </row>
    <row r="14" spans="1:28" ht="14.45" customHeight="1" x14ac:dyDescent="0.2">
      <c r="A14" s="459" t="s">
        <v>560</v>
      </c>
    </row>
    <row r="15" spans="1:28" ht="14.45" customHeight="1" x14ac:dyDescent="0.2">
      <c r="A15" s="459" t="s">
        <v>561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2E67970-E244-409C-B441-7099BC99A96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580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232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1" t="s">
        <v>124</v>
      </c>
      <c r="B3" s="248">
        <f t="shared" ref="B3:G3" si="0">SUBTOTAL(9,B6:B1048576)</f>
        <v>2774</v>
      </c>
      <c r="C3" s="249">
        <f t="shared" si="0"/>
        <v>2363</v>
      </c>
      <c r="D3" s="260">
        <f t="shared" si="0"/>
        <v>4340</v>
      </c>
      <c r="E3" s="224">
        <f t="shared" si="0"/>
        <v>1926730.9900000002</v>
      </c>
      <c r="F3" s="222">
        <f t="shared" si="0"/>
        <v>1809336.3499999996</v>
      </c>
      <c r="G3" s="250">
        <f t="shared" si="0"/>
        <v>3599768.33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34"/>
      <c r="B5" s="535">
        <v>2015</v>
      </c>
      <c r="C5" s="536">
        <v>2018</v>
      </c>
      <c r="D5" s="551">
        <v>2019</v>
      </c>
      <c r="E5" s="535">
        <v>2015</v>
      </c>
      <c r="F5" s="536">
        <v>2018</v>
      </c>
      <c r="G5" s="551">
        <v>2019</v>
      </c>
    </row>
    <row r="6" spans="1:7" ht="14.45" customHeight="1" x14ac:dyDescent="0.2">
      <c r="A6" s="558" t="s">
        <v>562</v>
      </c>
      <c r="B6" s="116">
        <v>4</v>
      </c>
      <c r="C6" s="116">
        <v>19</v>
      </c>
      <c r="D6" s="116">
        <v>65</v>
      </c>
      <c r="E6" s="552">
        <v>214</v>
      </c>
      <c r="F6" s="552">
        <v>747</v>
      </c>
      <c r="G6" s="553">
        <v>3717</v>
      </c>
    </row>
    <row r="7" spans="1:7" ht="14.45" customHeight="1" x14ac:dyDescent="0.2">
      <c r="A7" s="559" t="s">
        <v>563</v>
      </c>
      <c r="B7" s="522"/>
      <c r="C7" s="522"/>
      <c r="D7" s="522">
        <v>1</v>
      </c>
      <c r="E7" s="554"/>
      <c r="F7" s="554"/>
      <c r="G7" s="555">
        <v>38</v>
      </c>
    </row>
    <row r="8" spans="1:7" ht="14.45" customHeight="1" x14ac:dyDescent="0.2">
      <c r="A8" s="559" t="s">
        <v>564</v>
      </c>
      <c r="B8" s="522">
        <v>13</v>
      </c>
      <c r="C8" s="522">
        <v>15</v>
      </c>
      <c r="D8" s="522"/>
      <c r="E8" s="554">
        <v>635</v>
      </c>
      <c r="F8" s="554">
        <v>599</v>
      </c>
      <c r="G8" s="555"/>
    </row>
    <row r="9" spans="1:7" ht="14.45" customHeight="1" x14ac:dyDescent="0.2">
      <c r="A9" s="559" t="s">
        <v>558</v>
      </c>
      <c r="B9" s="522">
        <v>4</v>
      </c>
      <c r="C9" s="522"/>
      <c r="D9" s="522"/>
      <c r="E9" s="554">
        <v>14344</v>
      </c>
      <c r="F9" s="554"/>
      <c r="G9" s="555"/>
    </row>
    <row r="10" spans="1:7" ht="14.45" customHeight="1" x14ac:dyDescent="0.2">
      <c r="A10" s="559" t="s">
        <v>565</v>
      </c>
      <c r="B10" s="522"/>
      <c r="C10" s="522"/>
      <c r="D10" s="522">
        <v>337</v>
      </c>
      <c r="E10" s="554"/>
      <c r="F10" s="554"/>
      <c r="G10" s="555">
        <v>74370</v>
      </c>
    </row>
    <row r="11" spans="1:7" ht="14.45" customHeight="1" x14ac:dyDescent="0.2">
      <c r="A11" s="559" t="s">
        <v>566</v>
      </c>
      <c r="B11" s="522">
        <v>1</v>
      </c>
      <c r="C11" s="522"/>
      <c r="D11" s="522"/>
      <c r="E11" s="554">
        <v>59</v>
      </c>
      <c r="F11" s="554"/>
      <c r="G11" s="555"/>
    </row>
    <row r="12" spans="1:7" ht="14.45" customHeight="1" x14ac:dyDescent="0.2">
      <c r="A12" s="559" t="s">
        <v>567</v>
      </c>
      <c r="B12" s="522">
        <v>1</v>
      </c>
      <c r="C12" s="522"/>
      <c r="D12" s="522"/>
      <c r="E12" s="554">
        <v>37</v>
      </c>
      <c r="F12" s="554"/>
      <c r="G12" s="555"/>
    </row>
    <row r="13" spans="1:7" ht="14.45" customHeight="1" x14ac:dyDescent="0.2">
      <c r="A13" s="559" t="s">
        <v>568</v>
      </c>
      <c r="B13" s="522">
        <v>1</v>
      </c>
      <c r="C13" s="522"/>
      <c r="D13" s="522"/>
      <c r="E13" s="554">
        <v>37</v>
      </c>
      <c r="F13" s="554"/>
      <c r="G13" s="555"/>
    </row>
    <row r="14" spans="1:7" ht="14.45" customHeight="1" x14ac:dyDescent="0.2">
      <c r="A14" s="559" t="s">
        <v>569</v>
      </c>
      <c r="B14" s="522">
        <v>1</v>
      </c>
      <c r="C14" s="522"/>
      <c r="D14" s="522"/>
      <c r="E14" s="554">
        <v>147</v>
      </c>
      <c r="F14" s="554"/>
      <c r="G14" s="555"/>
    </row>
    <row r="15" spans="1:7" ht="14.45" customHeight="1" x14ac:dyDescent="0.2">
      <c r="A15" s="559" t="s">
        <v>570</v>
      </c>
      <c r="B15" s="522">
        <v>7</v>
      </c>
      <c r="C15" s="522">
        <v>8</v>
      </c>
      <c r="D15" s="522">
        <v>1</v>
      </c>
      <c r="E15" s="554">
        <v>369</v>
      </c>
      <c r="F15" s="554">
        <v>20948</v>
      </c>
      <c r="G15" s="555">
        <v>151</v>
      </c>
    </row>
    <row r="16" spans="1:7" ht="14.45" customHeight="1" x14ac:dyDescent="0.2">
      <c r="A16" s="559" t="s">
        <v>571</v>
      </c>
      <c r="B16" s="522">
        <v>6</v>
      </c>
      <c r="C16" s="522"/>
      <c r="D16" s="522">
        <v>1</v>
      </c>
      <c r="E16" s="554">
        <v>398</v>
      </c>
      <c r="F16" s="554"/>
      <c r="G16" s="555">
        <v>61</v>
      </c>
    </row>
    <row r="17" spans="1:7" ht="14.45" customHeight="1" x14ac:dyDescent="0.2">
      <c r="A17" s="559" t="s">
        <v>572</v>
      </c>
      <c r="B17" s="522">
        <v>1</v>
      </c>
      <c r="C17" s="522"/>
      <c r="D17" s="522"/>
      <c r="E17" s="554">
        <v>37</v>
      </c>
      <c r="F17" s="554"/>
      <c r="G17" s="555"/>
    </row>
    <row r="18" spans="1:7" ht="14.45" customHeight="1" x14ac:dyDescent="0.2">
      <c r="A18" s="559" t="s">
        <v>573</v>
      </c>
      <c r="B18" s="522">
        <v>2</v>
      </c>
      <c r="C18" s="522"/>
      <c r="D18" s="522"/>
      <c r="E18" s="554">
        <v>294</v>
      </c>
      <c r="F18" s="554"/>
      <c r="G18" s="555"/>
    </row>
    <row r="19" spans="1:7" ht="14.45" customHeight="1" x14ac:dyDescent="0.2">
      <c r="A19" s="559" t="s">
        <v>574</v>
      </c>
      <c r="B19" s="522">
        <v>1</v>
      </c>
      <c r="C19" s="522"/>
      <c r="D19" s="522"/>
      <c r="E19" s="554">
        <v>147</v>
      </c>
      <c r="F19" s="554"/>
      <c r="G19" s="555"/>
    </row>
    <row r="20" spans="1:7" ht="14.45" customHeight="1" x14ac:dyDescent="0.2">
      <c r="A20" s="559" t="s">
        <v>575</v>
      </c>
      <c r="B20" s="522"/>
      <c r="C20" s="522">
        <v>4</v>
      </c>
      <c r="D20" s="522">
        <v>1</v>
      </c>
      <c r="E20" s="554"/>
      <c r="F20" s="554">
        <v>148</v>
      </c>
      <c r="G20" s="555">
        <v>38</v>
      </c>
    </row>
    <row r="21" spans="1:7" ht="14.45" customHeight="1" x14ac:dyDescent="0.2">
      <c r="A21" s="559" t="s">
        <v>576</v>
      </c>
      <c r="B21" s="522"/>
      <c r="C21" s="522"/>
      <c r="D21" s="522">
        <v>1</v>
      </c>
      <c r="E21" s="554"/>
      <c r="F21" s="554"/>
      <c r="G21" s="555">
        <v>38</v>
      </c>
    </row>
    <row r="22" spans="1:7" ht="14.45" customHeight="1" x14ac:dyDescent="0.2">
      <c r="A22" s="559" t="s">
        <v>577</v>
      </c>
      <c r="B22" s="522">
        <v>2728</v>
      </c>
      <c r="C22" s="522">
        <v>2317</v>
      </c>
      <c r="D22" s="522">
        <v>3932</v>
      </c>
      <c r="E22" s="554">
        <v>1909754.9900000002</v>
      </c>
      <c r="F22" s="554">
        <v>1786894.3499999996</v>
      </c>
      <c r="G22" s="555">
        <v>3521317.33</v>
      </c>
    </row>
    <row r="23" spans="1:7" ht="14.45" customHeight="1" x14ac:dyDescent="0.2">
      <c r="A23" s="559" t="s">
        <v>578</v>
      </c>
      <c r="B23" s="522"/>
      <c r="C23" s="522"/>
      <c r="D23" s="522">
        <v>1</v>
      </c>
      <c r="E23" s="554"/>
      <c r="F23" s="554"/>
      <c r="G23" s="555">
        <v>38</v>
      </c>
    </row>
    <row r="24" spans="1:7" ht="14.45" customHeight="1" thickBot="1" x14ac:dyDescent="0.25">
      <c r="A24" s="560" t="s">
        <v>579</v>
      </c>
      <c r="B24" s="511">
        <v>4</v>
      </c>
      <c r="C24" s="511"/>
      <c r="D24" s="511"/>
      <c r="E24" s="556">
        <v>258</v>
      </c>
      <c r="F24" s="556"/>
      <c r="G24" s="557"/>
    </row>
    <row r="25" spans="1:7" ht="14.45" customHeight="1" x14ac:dyDescent="0.2">
      <c r="A25" s="459" t="s">
        <v>212</v>
      </c>
    </row>
    <row r="26" spans="1:7" ht="14.45" customHeight="1" x14ac:dyDescent="0.2">
      <c r="A26" s="460" t="s">
        <v>306</v>
      </c>
    </row>
    <row r="27" spans="1:7" ht="14.45" customHeight="1" x14ac:dyDescent="0.2">
      <c r="A27" s="459" t="s">
        <v>560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D53B5FA-7BD6-4F1D-A593-155C8D875AB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05" t="s">
        <v>630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232" t="s">
        <v>235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124</v>
      </c>
      <c r="G3" s="102">
        <f t="shared" ref="G3:P3" si="0">SUBTOTAL(9,G6:G1048576)</f>
        <v>2787.9</v>
      </c>
      <c r="H3" s="103">
        <f t="shared" si="0"/>
        <v>1929300.69</v>
      </c>
      <c r="I3" s="74"/>
      <c r="J3" s="74"/>
      <c r="K3" s="103">
        <f t="shared" si="0"/>
        <v>2363</v>
      </c>
      <c r="L3" s="103">
        <f t="shared" si="0"/>
        <v>1809336.35</v>
      </c>
      <c r="M3" s="74"/>
      <c r="N3" s="74"/>
      <c r="O3" s="103">
        <f t="shared" si="0"/>
        <v>4342</v>
      </c>
      <c r="P3" s="103">
        <f t="shared" si="0"/>
        <v>3600889.67</v>
      </c>
      <c r="Q3" s="75">
        <f>IF(L3=0,0,P3/L3)</f>
        <v>1.9901715178606785</v>
      </c>
      <c r="R3" s="104">
        <f>IF(O3=0,0,P3/O3)</f>
        <v>829.31590741593732</v>
      </c>
    </row>
    <row r="4" spans="1:18" ht="14.45" customHeight="1" x14ac:dyDescent="0.2">
      <c r="A4" s="414" t="s">
        <v>178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2015</v>
      </c>
      <c r="H4" s="419"/>
      <c r="I4" s="101"/>
      <c r="J4" s="101"/>
      <c r="K4" s="418">
        <v>2018</v>
      </c>
      <c r="L4" s="419"/>
      <c r="M4" s="101"/>
      <c r="N4" s="101"/>
      <c r="O4" s="418">
        <v>2019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61"/>
      <c r="B5" s="561"/>
      <c r="C5" s="562"/>
      <c r="D5" s="563"/>
      <c r="E5" s="564"/>
      <c r="F5" s="565"/>
      <c r="G5" s="566" t="s">
        <v>70</v>
      </c>
      <c r="H5" s="567" t="s">
        <v>13</v>
      </c>
      <c r="I5" s="568"/>
      <c r="J5" s="568"/>
      <c r="K5" s="566" t="s">
        <v>70</v>
      </c>
      <c r="L5" s="567" t="s">
        <v>13</v>
      </c>
      <c r="M5" s="568"/>
      <c r="N5" s="568"/>
      <c r="O5" s="566" t="s">
        <v>70</v>
      </c>
      <c r="P5" s="567" t="s">
        <v>13</v>
      </c>
      <c r="Q5" s="569"/>
      <c r="R5" s="570"/>
    </row>
    <row r="6" spans="1:18" ht="14.45" customHeight="1" x14ac:dyDescent="0.2">
      <c r="A6" s="481" t="s">
        <v>581</v>
      </c>
      <c r="B6" s="482" t="s">
        <v>582</v>
      </c>
      <c r="C6" s="482" t="s">
        <v>349</v>
      </c>
      <c r="D6" s="482" t="s">
        <v>583</v>
      </c>
      <c r="E6" s="482" t="s">
        <v>584</v>
      </c>
      <c r="F6" s="482" t="s">
        <v>585</v>
      </c>
      <c r="G6" s="116">
        <v>0.2</v>
      </c>
      <c r="H6" s="116">
        <v>10.82</v>
      </c>
      <c r="I6" s="482"/>
      <c r="J6" s="482">
        <v>54.1</v>
      </c>
      <c r="K6" s="116"/>
      <c r="L6" s="116"/>
      <c r="M6" s="482"/>
      <c r="N6" s="482"/>
      <c r="O6" s="116"/>
      <c r="P6" s="116"/>
      <c r="Q6" s="487"/>
      <c r="R6" s="510"/>
    </row>
    <row r="7" spans="1:18" ht="14.45" customHeight="1" x14ac:dyDescent="0.2">
      <c r="A7" s="488" t="s">
        <v>581</v>
      </c>
      <c r="B7" s="489" t="s">
        <v>582</v>
      </c>
      <c r="C7" s="489" t="s">
        <v>349</v>
      </c>
      <c r="D7" s="489" t="s">
        <v>583</v>
      </c>
      <c r="E7" s="489" t="s">
        <v>586</v>
      </c>
      <c r="F7" s="489" t="s">
        <v>587</v>
      </c>
      <c r="G7" s="522">
        <v>0.2</v>
      </c>
      <c r="H7" s="522">
        <v>2.57</v>
      </c>
      <c r="I7" s="489"/>
      <c r="J7" s="489">
        <v>12.849999999999998</v>
      </c>
      <c r="K7" s="522"/>
      <c r="L7" s="522"/>
      <c r="M7" s="489"/>
      <c r="N7" s="489"/>
      <c r="O7" s="522"/>
      <c r="P7" s="522"/>
      <c r="Q7" s="494"/>
      <c r="R7" s="523"/>
    </row>
    <row r="8" spans="1:18" ht="14.45" customHeight="1" x14ac:dyDescent="0.2">
      <c r="A8" s="488" t="s">
        <v>581</v>
      </c>
      <c r="B8" s="489" t="s">
        <v>582</v>
      </c>
      <c r="C8" s="489" t="s">
        <v>349</v>
      </c>
      <c r="D8" s="489" t="s">
        <v>583</v>
      </c>
      <c r="E8" s="489" t="s">
        <v>588</v>
      </c>
      <c r="F8" s="489" t="s">
        <v>589</v>
      </c>
      <c r="G8" s="522">
        <v>0.1</v>
      </c>
      <c r="H8" s="522">
        <v>6.14</v>
      </c>
      <c r="I8" s="489"/>
      <c r="J8" s="489">
        <v>61.399999999999991</v>
      </c>
      <c r="K8" s="522"/>
      <c r="L8" s="522"/>
      <c r="M8" s="489"/>
      <c r="N8" s="489"/>
      <c r="O8" s="522"/>
      <c r="P8" s="522"/>
      <c r="Q8" s="494"/>
      <c r="R8" s="523"/>
    </row>
    <row r="9" spans="1:18" ht="14.45" customHeight="1" x14ac:dyDescent="0.2">
      <c r="A9" s="488" t="s">
        <v>581</v>
      </c>
      <c r="B9" s="489" t="s">
        <v>582</v>
      </c>
      <c r="C9" s="489" t="s">
        <v>349</v>
      </c>
      <c r="D9" s="489" t="s">
        <v>583</v>
      </c>
      <c r="E9" s="489" t="s">
        <v>590</v>
      </c>
      <c r="F9" s="489" t="s">
        <v>591</v>
      </c>
      <c r="G9" s="522">
        <v>0.2</v>
      </c>
      <c r="H9" s="522">
        <v>54.34</v>
      </c>
      <c r="I9" s="489"/>
      <c r="J9" s="489">
        <v>271.7</v>
      </c>
      <c r="K9" s="522"/>
      <c r="L9" s="522"/>
      <c r="M9" s="489"/>
      <c r="N9" s="489"/>
      <c r="O9" s="522"/>
      <c r="P9" s="522"/>
      <c r="Q9" s="494"/>
      <c r="R9" s="523"/>
    </row>
    <row r="10" spans="1:18" ht="14.45" customHeight="1" x14ac:dyDescent="0.2">
      <c r="A10" s="488" t="s">
        <v>581</v>
      </c>
      <c r="B10" s="489" t="s">
        <v>582</v>
      </c>
      <c r="C10" s="489" t="s">
        <v>349</v>
      </c>
      <c r="D10" s="489" t="s">
        <v>583</v>
      </c>
      <c r="E10" s="489" t="s">
        <v>592</v>
      </c>
      <c r="F10" s="489" t="s">
        <v>593</v>
      </c>
      <c r="G10" s="522">
        <v>2</v>
      </c>
      <c r="H10" s="522">
        <v>24.36</v>
      </c>
      <c r="I10" s="489"/>
      <c r="J10" s="489">
        <v>12.18</v>
      </c>
      <c r="K10" s="522"/>
      <c r="L10" s="522"/>
      <c r="M10" s="489"/>
      <c r="N10" s="489"/>
      <c r="O10" s="522"/>
      <c r="P10" s="522"/>
      <c r="Q10" s="494"/>
      <c r="R10" s="523"/>
    </row>
    <row r="11" spans="1:18" ht="14.45" customHeight="1" x14ac:dyDescent="0.2">
      <c r="A11" s="488" t="s">
        <v>581</v>
      </c>
      <c r="B11" s="489" t="s">
        <v>582</v>
      </c>
      <c r="C11" s="489" t="s">
        <v>349</v>
      </c>
      <c r="D11" s="489" t="s">
        <v>583</v>
      </c>
      <c r="E11" s="489" t="s">
        <v>594</v>
      </c>
      <c r="F11" s="489" t="s">
        <v>593</v>
      </c>
      <c r="G11" s="522">
        <v>5</v>
      </c>
      <c r="H11" s="522">
        <v>12.2</v>
      </c>
      <c r="I11" s="489"/>
      <c r="J11" s="489">
        <v>2.44</v>
      </c>
      <c r="K11" s="522"/>
      <c r="L11" s="522"/>
      <c r="M11" s="489"/>
      <c r="N11" s="489"/>
      <c r="O11" s="522">
        <v>1</v>
      </c>
      <c r="P11" s="522">
        <v>2.44</v>
      </c>
      <c r="Q11" s="494"/>
      <c r="R11" s="523">
        <v>2.44</v>
      </c>
    </row>
    <row r="12" spans="1:18" ht="14.45" customHeight="1" x14ac:dyDescent="0.2">
      <c r="A12" s="488" t="s">
        <v>581</v>
      </c>
      <c r="B12" s="489" t="s">
        <v>582</v>
      </c>
      <c r="C12" s="489" t="s">
        <v>349</v>
      </c>
      <c r="D12" s="489" t="s">
        <v>583</v>
      </c>
      <c r="E12" s="489" t="s">
        <v>595</v>
      </c>
      <c r="F12" s="489" t="s">
        <v>593</v>
      </c>
      <c r="G12" s="522">
        <v>2</v>
      </c>
      <c r="H12" s="522">
        <v>12.18</v>
      </c>
      <c r="I12" s="489"/>
      <c r="J12" s="489">
        <v>6.09</v>
      </c>
      <c r="K12" s="522"/>
      <c r="L12" s="522"/>
      <c r="M12" s="489"/>
      <c r="N12" s="489"/>
      <c r="O12" s="522"/>
      <c r="P12" s="522"/>
      <c r="Q12" s="494"/>
      <c r="R12" s="523"/>
    </row>
    <row r="13" spans="1:18" ht="14.45" customHeight="1" x14ac:dyDescent="0.2">
      <c r="A13" s="488" t="s">
        <v>581</v>
      </c>
      <c r="B13" s="489" t="s">
        <v>582</v>
      </c>
      <c r="C13" s="489" t="s">
        <v>349</v>
      </c>
      <c r="D13" s="489" t="s">
        <v>583</v>
      </c>
      <c r="E13" s="489" t="s">
        <v>596</v>
      </c>
      <c r="F13" s="489" t="s">
        <v>597</v>
      </c>
      <c r="G13" s="522">
        <v>2</v>
      </c>
      <c r="H13" s="522">
        <v>2237.8000000000002</v>
      </c>
      <c r="I13" s="489"/>
      <c r="J13" s="489">
        <v>1118.9000000000001</v>
      </c>
      <c r="K13" s="522"/>
      <c r="L13" s="522"/>
      <c r="M13" s="489"/>
      <c r="N13" s="489"/>
      <c r="O13" s="522">
        <v>1</v>
      </c>
      <c r="P13" s="522">
        <v>1118.9000000000001</v>
      </c>
      <c r="Q13" s="494"/>
      <c r="R13" s="523">
        <v>1118.9000000000001</v>
      </c>
    </row>
    <row r="14" spans="1:18" ht="14.45" customHeight="1" x14ac:dyDescent="0.2">
      <c r="A14" s="488" t="s">
        <v>581</v>
      </c>
      <c r="B14" s="489" t="s">
        <v>582</v>
      </c>
      <c r="C14" s="489" t="s">
        <v>349</v>
      </c>
      <c r="D14" s="489" t="s">
        <v>583</v>
      </c>
      <c r="E14" s="489" t="s">
        <v>598</v>
      </c>
      <c r="F14" s="489" t="s">
        <v>599</v>
      </c>
      <c r="G14" s="522">
        <v>0.1</v>
      </c>
      <c r="H14" s="522">
        <v>16.78</v>
      </c>
      <c r="I14" s="489"/>
      <c r="J14" s="489">
        <v>167.8</v>
      </c>
      <c r="K14" s="522"/>
      <c r="L14" s="522"/>
      <c r="M14" s="489"/>
      <c r="N14" s="489"/>
      <c r="O14" s="522"/>
      <c r="P14" s="522"/>
      <c r="Q14" s="494"/>
      <c r="R14" s="523"/>
    </row>
    <row r="15" spans="1:18" ht="14.45" customHeight="1" x14ac:dyDescent="0.2">
      <c r="A15" s="488" t="s">
        <v>581</v>
      </c>
      <c r="B15" s="489" t="s">
        <v>582</v>
      </c>
      <c r="C15" s="489" t="s">
        <v>349</v>
      </c>
      <c r="D15" s="489" t="s">
        <v>583</v>
      </c>
      <c r="E15" s="489" t="s">
        <v>600</v>
      </c>
      <c r="F15" s="489" t="s">
        <v>601</v>
      </c>
      <c r="G15" s="522">
        <v>0.1</v>
      </c>
      <c r="H15" s="522">
        <v>28.63</v>
      </c>
      <c r="I15" s="489"/>
      <c r="J15" s="489">
        <v>286.29999999999995</v>
      </c>
      <c r="K15" s="522"/>
      <c r="L15" s="522"/>
      <c r="M15" s="489"/>
      <c r="N15" s="489"/>
      <c r="O15" s="522"/>
      <c r="P15" s="522"/>
      <c r="Q15" s="494"/>
      <c r="R15" s="523"/>
    </row>
    <row r="16" spans="1:18" ht="14.45" customHeight="1" x14ac:dyDescent="0.2">
      <c r="A16" s="488" t="s">
        <v>581</v>
      </c>
      <c r="B16" s="489" t="s">
        <v>582</v>
      </c>
      <c r="C16" s="489" t="s">
        <v>349</v>
      </c>
      <c r="D16" s="489" t="s">
        <v>583</v>
      </c>
      <c r="E16" s="489" t="s">
        <v>602</v>
      </c>
      <c r="F16" s="489" t="s">
        <v>603</v>
      </c>
      <c r="G16" s="522">
        <v>2</v>
      </c>
      <c r="H16" s="522">
        <v>163.88</v>
      </c>
      <c r="I16" s="489"/>
      <c r="J16" s="489">
        <v>81.94</v>
      </c>
      <c r="K16" s="522"/>
      <c r="L16" s="522"/>
      <c r="M16" s="489"/>
      <c r="N16" s="489"/>
      <c r="O16" s="522"/>
      <c r="P16" s="522"/>
      <c r="Q16" s="494"/>
      <c r="R16" s="523"/>
    </row>
    <row r="17" spans="1:18" ht="14.45" customHeight="1" x14ac:dyDescent="0.2">
      <c r="A17" s="488" t="s">
        <v>581</v>
      </c>
      <c r="B17" s="489" t="s">
        <v>582</v>
      </c>
      <c r="C17" s="489" t="s">
        <v>349</v>
      </c>
      <c r="D17" s="489" t="s">
        <v>583</v>
      </c>
      <c r="E17" s="489" t="s">
        <v>604</v>
      </c>
      <c r="F17" s="489" t="s">
        <v>605</v>
      </c>
      <c r="G17" s="522"/>
      <c r="H17" s="522"/>
      <c r="I17" s="489"/>
      <c r="J17" s="489"/>
      <c r="K17" s="522"/>
      <c r="L17" s="522"/>
      <c r="M17" s="489"/>
      <c r="N17" s="489"/>
      <c r="O17" s="522">
        <v>0</v>
      </c>
      <c r="P17" s="522">
        <v>0</v>
      </c>
      <c r="Q17" s="494"/>
      <c r="R17" s="523"/>
    </row>
    <row r="18" spans="1:18" ht="14.45" customHeight="1" x14ac:dyDescent="0.2">
      <c r="A18" s="488" t="s">
        <v>581</v>
      </c>
      <c r="B18" s="489" t="s">
        <v>582</v>
      </c>
      <c r="C18" s="489" t="s">
        <v>349</v>
      </c>
      <c r="D18" s="489" t="s">
        <v>606</v>
      </c>
      <c r="E18" s="489" t="s">
        <v>607</v>
      </c>
      <c r="F18" s="489" t="s">
        <v>608</v>
      </c>
      <c r="G18" s="522">
        <v>8</v>
      </c>
      <c r="H18" s="522">
        <v>1176</v>
      </c>
      <c r="I18" s="489"/>
      <c r="J18" s="489">
        <v>147</v>
      </c>
      <c r="K18" s="522"/>
      <c r="L18" s="522"/>
      <c r="M18" s="489"/>
      <c r="N18" s="489"/>
      <c r="O18" s="522">
        <v>1</v>
      </c>
      <c r="P18" s="522">
        <v>151</v>
      </c>
      <c r="Q18" s="494"/>
      <c r="R18" s="523">
        <v>151</v>
      </c>
    </row>
    <row r="19" spans="1:18" ht="14.45" customHeight="1" x14ac:dyDescent="0.2">
      <c r="A19" s="488" t="s">
        <v>581</v>
      </c>
      <c r="B19" s="489" t="s">
        <v>582</v>
      </c>
      <c r="C19" s="489" t="s">
        <v>349</v>
      </c>
      <c r="D19" s="489" t="s">
        <v>606</v>
      </c>
      <c r="E19" s="489" t="s">
        <v>609</v>
      </c>
      <c r="F19" s="489" t="s">
        <v>610</v>
      </c>
      <c r="G19" s="522">
        <v>257</v>
      </c>
      <c r="H19" s="522">
        <v>9509</v>
      </c>
      <c r="I19" s="489">
        <v>1.2065727699530517</v>
      </c>
      <c r="J19" s="489">
        <v>37</v>
      </c>
      <c r="K19" s="522">
        <v>213</v>
      </c>
      <c r="L19" s="522">
        <v>7881</v>
      </c>
      <c r="M19" s="489">
        <v>1</v>
      </c>
      <c r="N19" s="489">
        <v>37</v>
      </c>
      <c r="O19" s="522">
        <v>255</v>
      </c>
      <c r="P19" s="522">
        <v>9690</v>
      </c>
      <c r="Q19" s="494">
        <v>1.229539398553483</v>
      </c>
      <c r="R19" s="523">
        <v>38</v>
      </c>
    </row>
    <row r="20" spans="1:18" ht="14.45" customHeight="1" x14ac:dyDescent="0.2">
      <c r="A20" s="488" t="s">
        <v>581</v>
      </c>
      <c r="B20" s="489" t="s">
        <v>582</v>
      </c>
      <c r="C20" s="489" t="s">
        <v>349</v>
      </c>
      <c r="D20" s="489" t="s">
        <v>606</v>
      </c>
      <c r="E20" s="489" t="s">
        <v>611</v>
      </c>
      <c r="F20" s="489" t="s">
        <v>612</v>
      </c>
      <c r="G20" s="522"/>
      <c r="H20" s="522"/>
      <c r="I20" s="489"/>
      <c r="J20" s="489"/>
      <c r="K20" s="522"/>
      <c r="L20" s="522"/>
      <c r="M20" s="489"/>
      <c r="N20" s="489"/>
      <c r="O20" s="522">
        <v>0</v>
      </c>
      <c r="P20" s="522">
        <v>0</v>
      </c>
      <c r="Q20" s="494"/>
      <c r="R20" s="523"/>
    </row>
    <row r="21" spans="1:18" ht="14.45" customHeight="1" x14ac:dyDescent="0.2">
      <c r="A21" s="488" t="s">
        <v>581</v>
      </c>
      <c r="B21" s="489" t="s">
        <v>582</v>
      </c>
      <c r="C21" s="489" t="s">
        <v>349</v>
      </c>
      <c r="D21" s="489" t="s">
        <v>606</v>
      </c>
      <c r="E21" s="489" t="s">
        <v>613</v>
      </c>
      <c r="F21" s="489" t="s">
        <v>614</v>
      </c>
      <c r="G21" s="522">
        <v>114</v>
      </c>
      <c r="H21" s="522">
        <v>53580</v>
      </c>
      <c r="I21" s="489">
        <v>0.87506124448799605</v>
      </c>
      <c r="J21" s="489">
        <v>470</v>
      </c>
      <c r="K21" s="522">
        <v>130</v>
      </c>
      <c r="L21" s="522">
        <v>61230</v>
      </c>
      <c r="M21" s="489">
        <v>1</v>
      </c>
      <c r="N21" s="489">
        <v>471</v>
      </c>
      <c r="O21" s="522">
        <v>379</v>
      </c>
      <c r="P21" s="522">
        <v>179646</v>
      </c>
      <c r="Q21" s="494">
        <v>2.9339539441450269</v>
      </c>
      <c r="R21" s="523">
        <v>474</v>
      </c>
    </row>
    <row r="22" spans="1:18" ht="14.45" customHeight="1" x14ac:dyDescent="0.2">
      <c r="A22" s="488" t="s">
        <v>581</v>
      </c>
      <c r="B22" s="489" t="s">
        <v>582</v>
      </c>
      <c r="C22" s="489" t="s">
        <v>349</v>
      </c>
      <c r="D22" s="489" t="s">
        <v>606</v>
      </c>
      <c r="E22" s="489" t="s">
        <v>615</v>
      </c>
      <c r="F22" s="489" t="s">
        <v>616</v>
      </c>
      <c r="G22" s="522">
        <v>129</v>
      </c>
      <c r="H22" s="522">
        <v>4299.99</v>
      </c>
      <c r="I22" s="489">
        <v>1.1217316446450232</v>
      </c>
      <c r="J22" s="489">
        <v>33.333255813953485</v>
      </c>
      <c r="K22" s="522">
        <v>115</v>
      </c>
      <c r="L22" s="522">
        <v>3833.3500000000004</v>
      </c>
      <c r="M22" s="489">
        <v>1</v>
      </c>
      <c r="N22" s="489">
        <v>33.333478260869569</v>
      </c>
      <c r="O22" s="522">
        <v>334</v>
      </c>
      <c r="P22" s="522">
        <v>11133.33</v>
      </c>
      <c r="Q22" s="494">
        <v>2.9043343289811778</v>
      </c>
      <c r="R22" s="523">
        <v>33.333323353293416</v>
      </c>
    </row>
    <row r="23" spans="1:18" ht="14.45" customHeight="1" x14ac:dyDescent="0.2">
      <c r="A23" s="488" t="s">
        <v>581</v>
      </c>
      <c r="B23" s="489" t="s">
        <v>582</v>
      </c>
      <c r="C23" s="489" t="s">
        <v>349</v>
      </c>
      <c r="D23" s="489" t="s">
        <v>606</v>
      </c>
      <c r="E23" s="489" t="s">
        <v>617</v>
      </c>
      <c r="F23" s="489" t="s">
        <v>618</v>
      </c>
      <c r="G23" s="522">
        <v>27</v>
      </c>
      <c r="H23" s="522">
        <v>999</v>
      </c>
      <c r="I23" s="489">
        <v>0.71052631578947367</v>
      </c>
      <c r="J23" s="489">
        <v>37</v>
      </c>
      <c r="K23" s="522">
        <v>38</v>
      </c>
      <c r="L23" s="522">
        <v>1406</v>
      </c>
      <c r="M23" s="489">
        <v>1</v>
      </c>
      <c r="N23" s="489">
        <v>37</v>
      </c>
      <c r="O23" s="522">
        <v>43</v>
      </c>
      <c r="P23" s="522">
        <v>1634</v>
      </c>
      <c r="Q23" s="494">
        <v>1.1621621621621621</v>
      </c>
      <c r="R23" s="523">
        <v>38</v>
      </c>
    </row>
    <row r="24" spans="1:18" ht="14.45" customHeight="1" x14ac:dyDescent="0.2">
      <c r="A24" s="488" t="s">
        <v>581</v>
      </c>
      <c r="B24" s="489" t="s">
        <v>582</v>
      </c>
      <c r="C24" s="489" t="s">
        <v>349</v>
      </c>
      <c r="D24" s="489" t="s">
        <v>606</v>
      </c>
      <c r="E24" s="489" t="s">
        <v>619</v>
      </c>
      <c r="F24" s="489" t="s">
        <v>620</v>
      </c>
      <c r="G24" s="522"/>
      <c r="H24" s="522"/>
      <c r="I24" s="489"/>
      <c r="J24" s="489"/>
      <c r="K24" s="522"/>
      <c r="L24" s="522"/>
      <c r="M24" s="489"/>
      <c r="N24" s="489"/>
      <c r="O24" s="522">
        <v>7</v>
      </c>
      <c r="P24" s="522">
        <v>938</v>
      </c>
      <c r="Q24" s="494"/>
      <c r="R24" s="523">
        <v>134</v>
      </c>
    </row>
    <row r="25" spans="1:18" ht="14.45" customHeight="1" x14ac:dyDescent="0.2">
      <c r="A25" s="488" t="s">
        <v>581</v>
      </c>
      <c r="B25" s="489" t="s">
        <v>582</v>
      </c>
      <c r="C25" s="489" t="s">
        <v>349</v>
      </c>
      <c r="D25" s="489" t="s">
        <v>606</v>
      </c>
      <c r="E25" s="489" t="s">
        <v>621</v>
      </c>
      <c r="F25" s="489" t="s">
        <v>622</v>
      </c>
      <c r="G25" s="522">
        <v>19</v>
      </c>
      <c r="H25" s="522">
        <v>4465</v>
      </c>
      <c r="I25" s="489">
        <v>0.70072190834902703</v>
      </c>
      <c r="J25" s="489">
        <v>235</v>
      </c>
      <c r="K25" s="522">
        <v>27</v>
      </c>
      <c r="L25" s="522">
        <v>6372</v>
      </c>
      <c r="M25" s="489">
        <v>1</v>
      </c>
      <c r="N25" s="489">
        <v>236</v>
      </c>
      <c r="O25" s="522">
        <v>15</v>
      </c>
      <c r="P25" s="522">
        <v>3555</v>
      </c>
      <c r="Q25" s="494">
        <v>0.55790960451977401</v>
      </c>
      <c r="R25" s="523">
        <v>237</v>
      </c>
    </row>
    <row r="26" spans="1:18" ht="14.45" customHeight="1" x14ac:dyDescent="0.2">
      <c r="A26" s="488" t="s">
        <v>581</v>
      </c>
      <c r="B26" s="489" t="s">
        <v>582</v>
      </c>
      <c r="C26" s="489" t="s">
        <v>349</v>
      </c>
      <c r="D26" s="489" t="s">
        <v>606</v>
      </c>
      <c r="E26" s="489" t="s">
        <v>623</v>
      </c>
      <c r="F26" s="489" t="s">
        <v>624</v>
      </c>
      <c r="G26" s="522">
        <v>10</v>
      </c>
      <c r="H26" s="522">
        <v>590</v>
      </c>
      <c r="I26" s="489">
        <v>2.5</v>
      </c>
      <c r="J26" s="489">
        <v>59</v>
      </c>
      <c r="K26" s="522">
        <v>4</v>
      </c>
      <c r="L26" s="522">
        <v>236</v>
      </c>
      <c r="M26" s="489">
        <v>1</v>
      </c>
      <c r="N26" s="489">
        <v>59</v>
      </c>
      <c r="O26" s="522">
        <v>29</v>
      </c>
      <c r="P26" s="522">
        <v>1769</v>
      </c>
      <c r="Q26" s="494">
        <v>7.4957627118644066</v>
      </c>
      <c r="R26" s="523">
        <v>61</v>
      </c>
    </row>
    <row r="27" spans="1:18" ht="14.45" customHeight="1" x14ac:dyDescent="0.2">
      <c r="A27" s="488" t="s">
        <v>581</v>
      </c>
      <c r="B27" s="489" t="s">
        <v>582</v>
      </c>
      <c r="C27" s="489" t="s">
        <v>349</v>
      </c>
      <c r="D27" s="489" t="s">
        <v>606</v>
      </c>
      <c r="E27" s="489" t="s">
        <v>625</v>
      </c>
      <c r="F27" s="489" t="s">
        <v>626</v>
      </c>
      <c r="G27" s="522">
        <v>1827</v>
      </c>
      <c r="H27" s="522">
        <v>478674</v>
      </c>
      <c r="I27" s="489">
        <v>1.2437031994554117</v>
      </c>
      <c r="J27" s="489">
        <v>262</v>
      </c>
      <c r="K27" s="522">
        <v>1469</v>
      </c>
      <c r="L27" s="522">
        <v>384878</v>
      </c>
      <c r="M27" s="489">
        <v>1</v>
      </c>
      <c r="N27" s="489">
        <v>262</v>
      </c>
      <c r="O27" s="522">
        <v>2534</v>
      </c>
      <c r="P27" s="522">
        <v>663908</v>
      </c>
      <c r="Q27" s="494">
        <v>1.7249829816201498</v>
      </c>
      <c r="R27" s="523">
        <v>262</v>
      </c>
    </row>
    <row r="28" spans="1:18" ht="14.45" customHeight="1" x14ac:dyDescent="0.2">
      <c r="A28" s="488" t="s">
        <v>581</v>
      </c>
      <c r="B28" s="489" t="s">
        <v>582</v>
      </c>
      <c r="C28" s="489" t="s">
        <v>349</v>
      </c>
      <c r="D28" s="489" t="s">
        <v>606</v>
      </c>
      <c r="E28" s="489" t="s">
        <v>627</v>
      </c>
      <c r="F28" s="489" t="s">
        <v>628</v>
      </c>
      <c r="G28" s="522">
        <v>383</v>
      </c>
      <c r="H28" s="522">
        <v>1373438</v>
      </c>
      <c r="I28" s="489">
        <v>1.0942857142857143</v>
      </c>
      <c r="J28" s="489">
        <v>3586</v>
      </c>
      <c r="K28" s="522">
        <v>350</v>
      </c>
      <c r="L28" s="522">
        <v>1255100</v>
      </c>
      <c r="M28" s="489">
        <v>1</v>
      </c>
      <c r="N28" s="489">
        <v>3586</v>
      </c>
      <c r="O28" s="522">
        <v>704</v>
      </c>
      <c r="P28" s="522">
        <v>2524544</v>
      </c>
      <c r="Q28" s="494">
        <v>2.0114285714285716</v>
      </c>
      <c r="R28" s="523">
        <v>3586</v>
      </c>
    </row>
    <row r="29" spans="1:18" ht="14.45" customHeight="1" thickBot="1" x14ac:dyDescent="0.25">
      <c r="A29" s="496" t="s">
        <v>581</v>
      </c>
      <c r="B29" s="497" t="s">
        <v>582</v>
      </c>
      <c r="C29" s="497" t="s">
        <v>349</v>
      </c>
      <c r="D29" s="497" t="s">
        <v>606</v>
      </c>
      <c r="E29" s="497" t="s">
        <v>629</v>
      </c>
      <c r="F29" s="497" t="s">
        <v>628</v>
      </c>
      <c r="G29" s="511"/>
      <c r="H29" s="511"/>
      <c r="I29" s="497"/>
      <c r="J29" s="497"/>
      <c r="K29" s="511">
        <v>17</v>
      </c>
      <c r="L29" s="511">
        <v>88400</v>
      </c>
      <c r="M29" s="497">
        <v>1</v>
      </c>
      <c r="N29" s="497">
        <v>5200</v>
      </c>
      <c r="O29" s="511">
        <v>39</v>
      </c>
      <c r="P29" s="511">
        <v>202800</v>
      </c>
      <c r="Q29" s="502">
        <v>2.2941176470588234</v>
      </c>
      <c r="R29" s="512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83146D7-2332-49A4-910F-C8C187B3F14C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05" t="s">
        <v>631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232" t="s">
        <v>235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124</v>
      </c>
      <c r="H3" s="102">
        <f t="shared" ref="H3:Q3" si="0">SUBTOTAL(9,H6:H1048576)</f>
        <v>2787.9</v>
      </c>
      <c r="I3" s="103">
        <f t="shared" si="0"/>
        <v>1929300.69</v>
      </c>
      <c r="J3" s="74"/>
      <c r="K3" s="74"/>
      <c r="L3" s="103">
        <f t="shared" si="0"/>
        <v>2363</v>
      </c>
      <c r="M3" s="103">
        <f t="shared" si="0"/>
        <v>1809336.35</v>
      </c>
      <c r="N3" s="74"/>
      <c r="O3" s="74"/>
      <c r="P3" s="103">
        <f t="shared" si="0"/>
        <v>4342</v>
      </c>
      <c r="Q3" s="103">
        <f t="shared" si="0"/>
        <v>3600889.67</v>
      </c>
      <c r="R3" s="75">
        <f>IF(M3=0,0,Q3/M3)</f>
        <v>1.9901715178606785</v>
      </c>
      <c r="S3" s="104">
        <f>IF(P3=0,0,Q3/P3)</f>
        <v>829.31590741593732</v>
      </c>
    </row>
    <row r="4" spans="1:19" ht="14.45" customHeight="1" x14ac:dyDescent="0.2">
      <c r="A4" s="414" t="s">
        <v>178</v>
      </c>
      <c r="B4" s="414" t="s">
        <v>93</v>
      </c>
      <c r="C4" s="422" t="s">
        <v>0</v>
      </c>
      <c r="D4" s="255" t="s">
        <v>131</v>
      </c>
      <c r="E4" s="416" t="s">
        <v>94</v>
      </c>
      <c r="F4" s="421" t="s">
        <v>69</v>
      </c>
      <c r="G4" s="417" t="s">
        <v>68</v>
      </c>
      <c r="H4" s="418">
        <v>2015</v>
      </c>
      <c r="I4" s="419"/>
      <c r="J4" s="101"/>
      <c r="K4" s="101"/>
      <c r="L4" s="418">
        <v>2018</v>
      </c>
      <c r="M4" s="419"/>
      <c r="N4" s="101"/>
      <c r="O4" s="101"/>
      <c r="P4" s="418">
        <v>2019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61"/>
      <c r="B5" s="561"/>
      <c r="C5" s="562"/>
      <c r="D5" s="571"/>
      <c r="E5" s="563"/>
      <c r="F5" s="564"/>
      <c r="G5" s="565"/>
      <c r="H5" s="566" t="s">
        <v>70</v>
      </c>
      <c r="I5" s="567" t="s">
        <v>13</v>
      </c>
      <c r="J5" s="568"/>
      <c r="K5" s="568"/>
      <c r="L5" s="566" t="s">
        <v>70</v>
      </c>
      <c r="M5" s="567" t="s">
        <v>13</v>
      </c>
      <c r="N5" s="568"/>
      <c r="O5" s="568"/>
      <c r="P5" s="566" t="s">
        <v>70</v>
      </c>
      <c r="Q5" s="567" t="s">
        <v>13</v>
      </c>
      <c r="R5" s="569"/>
      <c r="S5" s="570"/>
    </row>
    <row r="6" spans="1:19" ht="14.45" customHeight="1" x14ac:dyDescent="0.2">
      <c r="A6" s="481" t="s">
        <v>581</v>
      </c>
      <c r="B6" s="482" t="s">
        <v>582</v>
      </c>
      <c r="C6" s="482" t="s">
        <v>349</v>
      </c>
      <c r="D6" s="482" t="s">
        <v>562</v>
      </c>
      <c r="E6" s="482" t="s">
        <v>583</v>
      </c>
      <c r="F6" s="482" t="s">
        <v>604</v>
      </c>
      <c r="G6" s="482" t="s">
        <v>605</v>
      </c>
      <c r="H6" s="116"/>
      <c r="I6" s="116"/>
      <c r="J6" s="482"/>
      <c r="K6" s="482"/>
      <c r="L6" s="116"/>
      <c r="M6" s="116"/>
      <c r="N6" s="482"/>
      <c r="O6" s="482"/>
      <c r="P6" s="116">
        <v>0</v>
      </c>
      <c r="Q6" s="116">
        <v>0</v>
      </c>
      <c r="R6" s="487"/>
      <c r="S6" s="510"/>
    </row>
    <row r="7" spans="1:19" ht="14.45" customHeight="1" x14ac:dyDescent="0.2">
      <c r="A7" s="488" t="s">
        <v>581</v>
      </c>
      <c r="B7" s="489" t="s">
        <v>582</v>
      </c>
      <c r="C7" s="489" t="s">
        <v>349</v>
      </c>
      <c r="D7" s="489" t="s">
        <v>562</v>
      </c>
      <c r="E7" s="489" t="s">
        <v>606</v>
      </c>
      <c r="F7" s="489" t="s">
        <v>611</v>
      </c>
      <c r="G7" s="489" t="s">
        <v>612</v>
      </c>
      <c r="H7" s="522"/>
      <c r="I7" s="522"/>
      <c r="J7" s="489"/>
      <c r="K7" s="489"/>
      <c r="L7" s="522"/>
      <c r="M7" s="522"/>
      <c r="N7" s="489"/>
      <c r="O7" s="489"/>
      <c r="P7" s="522">
        <v>0</v>
      </c>
      <c r="Q7" s="522">
        <v>0</v>
      </c>
      <c r="R7" s="494"/>
      <c r="S7" s="523"/>
    </row>
    <row r="8" spans="1:19" ht="14.45" customHeight="1" x14ac:dyDescent="0.2">
      <c r="A8" s="488" t="s">
        <v>581</v>
      </c>
      <c r="B8" s="489" t="s">
        <v>582</v>
      </c>
      <c r="C8" s="489" t="s">
        <v>349</v>
      </c>
      <c r="D8" s="489" t="s">
        <v>562</v>
      </c>
      <c r="E8" s="489" t="s">
        <v>606</v>
      </c>
      <c r="F8" s="489" t="s">
        <v>617</v>
      </c>
      <c r="G8" s="489" t="s">
        <v>618</v>
      </c>
      <c r="H8" s="522">
        <v>1</v>
      </c>
      <c r="I8" s="522">
        <v>37</v>
      </c>
      <c r="J8" s="489">
        <v>5.8823529411764705E-2</v>
      </c>
      <c r="K8" s="489">
        <v>37</v>
      </c>
      <c r="L8" s="522">
        <v>17</v>
      </c>
      <c r="M8" s="522">
        <v>629</v>
      </c>
      <c r="N8" s="489">
        <v>1</v>
      </c>
      <c r="O8" s="489">
        <v>37</v>
      </c>
      <c r="P8" s="522">
        <v>33</v>
      </c>
      <c r="Q8" s="522">
        <v>1254</v>
      </c>
      <c r="R8" s="494">
        <v>1.9936406995230525</v>
      </c>
      <c r="S8" s="523">
        <v>38</v>
      </c>
    </row>
    <row r="9" spans="1:19" ht="14.45" customHeight="1" x14ac:dyDescent="0.2">
      <c r="A9" s="488" t="s">
        <v>581</v>
      </c>
      <c r="B9" s="489" t="s">
        <v>582</v>
      </c>
      <c r="C9" s="489" t="s">
        <v>349</v>
      </c>
      <c r="D9" s="489" t="s">
        <v>562</v>
      </c>
      <c r="E9" s="489" t="s">
        <v>606</v>
      </c>
      <c r="F9" s="489" t="s">
        <v>619</v>
      </c>
      <c r="G9" s="489" t="s">
        <v>620</v>
      </c>
      <c r="H9" s="522"/>
      <c r="I9" s="522"/>
      <c r="J9" s="489"/>
      <c r="K9" s="489"/>
      <c r="L9" s="522"/>
      <c r="M9" s="522"/>
      <c r="N9" s="489"/>
      <c r="O9" s="489"/>
      <c r="P9" s="522">
        <v>7</v>
      </c>
      <c r="Q9" s="522">
        <v>938</v>
      </c>
      <c r="R9" s="494"/>
      <c r="S9" s="523">
        <v>134</v>
      </c>
    </row>
    <row r="10" spans="1:19" ht="14.45" customHeight="1" x14ac:dyDescent="0.2">
      <c r="A10" s="488" t="s">
        <v>581</v>
      </c>
      <c r="B10" s="489" t="s">
        <v>582</v>
      </c>
      <c r="C10" s="489" t="s">
        <v>349</v>
      </c>
      <c r="D10" s="489" t="s">
        <v>562</v>
      </c>
      <c r="E10" s="489" t="s">
        <v>606</v>
      </c>
      <c r="F10" s="489" t="s">
        <v>623</v>
      </c>
      <c r="G10" s="489" t="s">
        <v>624</v>
      </c>
      <c r="H10" s="522">
        <v>3</v>
      </c>
      <c r="I10" s="522">
        <v>177</v>
      </c>
      <c r="J10" s="489">
        <v>1.5</v>
      </c>
      <c r="K10" s="489">
        <v>59</v>
      </c>
      <c r="L10" s="522">
        <v>2</v>
      </c>
      <c r="M10" s="522">
        <v>118</v>
      </c>
      <c r="N10" s="489">
        <v>1</v>
      </c>
      <c r="O10" s="489">
        <v>59</v>
      </c>
      <c r="P10" s="522">
        <v>25</v>
      </c>
      <c r="Q10" s="522">
        <v>1525</v>
      </c>
      <c r="R10" s="494">
        <v>12.923728813559322</v>
      </c>
      <c r="S10" s="523">
        <v>61</v>
      </c>
    </row>
    <row r="11" spans="1:19" ht="14.45" customHeight="1" x14ac:dyDescent="0.2">
      <c r="A11" s="488" t="s">
        <v>581</v>
      </c>
      <c r="B11" s="489" t="s">
        <v>582</v>
      </c>
      <c r="C11" s="489" t="s">
        <v>349</v>
      </c>
      <c r="D11" s="489" t="s">
        <v>564</v>
      </c>
      <c r="E11" s="489" t="s">
        <v>583</v>
      </c>
      <c r="F11" s="489" t="s">
        <v>588</v>
      </c>
      <c r="G11" s="489" t="s">
        <v>589</v>
      </c>
      <c r="H11" s="522">
        <v>0.1</v>
      </c>
      <c r="I11" s="522">
        <v>6.14</v>
      </c>
      <c r="J11" s="489"/>
      <c r="K11" s="489">
        <v>61.399999999999991</v>
      </c>
      <c r="L11" s="522"/>
      <c r="M11" s="522"/>
      <c r="N11" s="489"/>
      <c r="O11" s="489"/>
      <c r="P11" s="522"/>
      <c r="Q11" s="522"/>
      <c r="R11" s="494"/>
      <c r="S11" s="523"/>
    </row>
    <row r="12" spans="1:19" ht="14.45" customHeight="1" x14ac:dyDescent="0.2">
      <c r="A12" s="488" t="s">
        <v>581</v>
      </c>
      <c r="B12" s="489" t="s">
        <v>582</v>
      </c>
      <c r="C12" s="489" t="s">
        <v>349</v>
      </c>
      <c r="D12" s="489" t="s">
        <v>564</v>
      </c>
      <c r="E12" s="489" t="s">
        <v>583</v>
      </c>
      <c r="F12" s="489" t="s">
        <v>594</v>
      </c>
      <c r="G12" s="489" t="s">
        <v>593</v>
      </c>
      <c r="H12" s="522">
        <v>2</v>
      </c>
      <c r="I12" s="522">
        <v>4.88</v>
      </c>
      <c r="J12" s="489"/>
      <c r="K12" s="489">
        <v>2.44</v>
      </c>
      <c r="L12" s="522"/>
      <c r="M12" s="522"/>
      <c r="N12" s="489"/>
      <c r="O12" s="489"/>
      <c r="P12" s="522"/>
      <c r="Q12" s="522"/>
      <c r="R12" s="494"/>
      <c r="S12" s="523"/>
    </row>
    <row r="13" spans="1:19" ht="14.45" customHeight="1" x14ac:dyDescent="0.2">
      <c r="A13" s="488" t="s">
        <v>581</v>
      </c>
      <c r="B13" s="489" t="s">
        <v>582</v>
      </c>
      <c r="C13" s="489" t="s">
        <v>349</v>
      </c>
      <c r="D13" s="489" t="s">
        <v>564</v>
      </c>
      <c r="E13" s="489" t="s">
        <v>583</v>
      </c>
      <c r="F13" s="489" t="s">
        <v>598</v>
      </c>
      <c r="G13" s="489" t="s">
        <v>599</v>
      </c>
      <c r="H13" s="522">
        <v>0.1</v>
      </c>
      <c r="I13" s="522">
        <v>16.78</v>
      </c>
      <c r="J13" s="489"/>
      <c r="K13" s="489">
        <v>167.8</v>
      </c>
      <c r="L13" s="522"/>
      <c r="M13" s="522"/>
      <c r="N13" s="489"/>
      <c r="O13" s="489"/>
      <c r="P13" s="522"/>
      <c r="Q13" s="522"/>
      <c r="R13" s="494"/>
      <c r="S13" s="523"/>
    </row>
    <row r="14" spans="1:19" ht="14.45" customHeight="1" x14ac:dyDescent="0.2">
      <c r="A14" s="488" t="s">
        <v>581</v>
      </c>
      <c r="B14" s="489" t="s">
        <v>582</v>
      </c>
      <c r="C14" s="489" t="s">
        <v>349</v>
      </c>
      <c r="D14" s="489" t="s">
        <v>564</v>
      </c>
      <c r="E14" s="489" t="s">
        <v>583</v>
      </c>
      <c r="F14" s="489" t="s">
        <v>602</v>
      </c>
      <c r="G14" s="489" t="s">
        <v>603</v>
      </c>
      <c r="H14" s="522">
        <v>1</v>
      </c>
      <c r="I14" s="522">
        <v>81.94</v>
      </c>
      <c r="J14" s="489"/>
      <c r="K14" s="489">
        <v>81.94</v>
      </c>
      <c r="L14" s="522"/>
      <c r="M14" s="522"/>
      <c r="N14" s="489"/>
      <c r="O14" s="489"/>
      <c r="P14" s="522"/>
      <c r="Q14" s="522"/>
      <c r="R14" s="494"/>
      <c r="S14" s="523"/>
    </row>
    <row r="15" spans="1:19" ht="14.45" customHeight="1" x14ac:dyDescent="0.2">
      <c r="A15" s="488" t="s">
        <v>581</v>
      </c>
      <c r="B15" s="489" t="s">
        <v>582</v>
      </c>
      <c r="C15" s="489" t="s">
        <v>349</v>
      </c>
      <c r="D15" s="489" t="s">
        <v>564</v>
      </c>
      <c r="E15" s="489" t="s">
        <v>606</v>
      </c>
      <c r="F15" s="489" t="s">
        <v>607</v>
      </c>
      <c r="G15" s="489" t="s">
        <v>608</v>
      </c>
      <c r="H15" s="522">
        <v>1</v>
      </c>
      <c r="I15" s="522">
        <v>147</v>
      </c>
      <c r="J15" s="489"/>
      <c r="K15" s="489">
        <v>147</v>
      </c>
      <c r="L15" s="522"/>
      <c r="M15" s="522"/>
      <c r="N15" s="489"/>
      <c r="O15" s="489"/>
      <c r="P15" s="522"/>
      <c r="Q15" s="522"/>
      <c r="R15" s="494"/>
      <c r="S15" s="523"/>
    </row>
    <row r="16" spans="1:19" ht="14.45" customHeight="1" x14ac:dyDescent="0.2">
      <c r="A16" s="488" t="s">
        <v>581</v>
      </c>
      <c r="B16" s="489" t="s">
        <v>582</v>
      </c>
      <c r="C16" s="489" t="s">
        <v>349</v>
      </c>
      <c r="D16" s="489" t="s">
        <v>564</v>
      </c>
      <c r="E16" s="489" t="s">
        <v>606</v>
      </c>
      <c r="F16" s="489" t="s">
        <v>617</v>
      </c>
      <c r="G16" s="489" t="s">
        <v>618</v>
      </c>
      <c r="H16" s="522">
        <v>10</v>
      </c>
      <c r="I16" s="522">
        <v>370</v>
      </c>
      <c r="J16" s="489">
        <v>0.76923076923076927</v>
      </c>
      <c r="K16" s="489">
        <v>37</v>
      </c>
      <c r="L16" s="522">
        <v>13</v>
      </c>
      <c r="M16" s="522">
        <v>481</v>
      </c>
      <c r="N16" s="489">
        <v>1</v>
      </c>
      <c r="O16" s="489">
        <v>37</v>
      </c>
      <c r="P16" s="522"/>
      <c r="Q16" s="522"/>
      <c r="R16" s="494"/>
      <c r="S16" s="523"/>
    </row>
    <row r="17" spans="1:19" ht="14.45" customHeight="1" x14ac:dyDescent="0.2">
      <c r="A17" s="488" t="s">
        <v>581</v>
      </c>
      <c r="B17" s="489" t="s">
        <v>582</v>
      </c>
      <c r="C17" s="489" t="s">
        <v>349</v>
      </c>
      <c r="D17" s="489" t="s">
        <v>564</v>
      </c>
      <c r="E17" s="489" t="s">
        <v>606</v>
      </c>
      <c r="F17" s="489" t="s">
        <v>623</v>
      </c>
      <c r="G17" s="489" t="s">
        <v>624</v>
      </c>
      <c r="H17" s="522">
        <v>2</v>
      </c>
      <c r="I17" s="522">
        <v>118</v>
      </c>
      <c r="J17" s="489">
        <v>1</v>
      </c>
      <c r="K17" s="489">
        <v>59</v>
      </c>
      <c r="L17" s="522">
        <v>2</v>
      </c>
      <c r="M17" s="522">
        <v>118</v>
      </c>
      <c r="N17" s="489">
        <v>1</v>
      </c>
      <c r="O17" s="489">
        <v>59</v>
      </c>
      <c r="P17" s="522"/>
      <c r="Q17" s="522"/>
      <c r="R17" s="494"/>
      <c r="S17" s="523"/>
    </row>
    <row r="18" spans="1:19" ht="14.45" customHeight="1" x14ac:dyDescent="0.2">
      <c r="A18" s="488" t="s">
        <v>581</v>
      </c>
      <c r="B18" s="489" t="s">
        <v>582</v>
      </c>
      <c r="C18" s="489" t="s">
        <v>349</v>
      </c>
      <c r="D18" s="489" t="s">
        <v>558</v>
      </c>
      <c r="E18" s="489" t="s">
        <v>606</v>
      </c>
      <c r="F18" s="489" t="s">
        <v>627</v>
      </c>
      <c r="G18" s="489" t="s">
        <v>628</v>
      </c>
      <c r="H18" s="522">
        <v>4</v>
      </c>
      <c r="I18" s="522">
        <v>14344</v>
      </c>
      <c r="J18" s="489"/>
      <c r="K18" s="489">
        <v>3586</v>
      </c>
      <c r="L18" s="522"/>
      <c r="M18" s="522"/>
      <c r="N18" s="489"/>
      <c r="O18" s="489"/>
      <c r="P18" s="522"/>
      <c r="Q18" s="522"/>
      <c r="R18" s="494"/>
      <c r="S18" s="523"/>
    </row>
    <row r="19" spans="1:19" ht="14.45" customHeight="1" x14ac:dyDescent="0.2">
      <c r="A19" s="488" t="s">
        <v>581</v>
      </c>
      <c r="B19" s="489" t="s">
        <v>582</v>
      </c>
      <c r="C19" s="489" t="s">
        <v>349</v>
      </c>
      <c r="D19" s="489" t="s">
        <v>565</v>
      </c>
      <c r="E19" s="489" t="s">
        <v>606</v>
      </c>
      <c r="F19" s="489" t="s">
        <v>609</v>
      </c>
      <c r="G19" s="489" t="s">
        <v>610</v>
      </c>
      <c r="H19" s="522"/>
      <c r="I19" s="522"/>
      <c r="J19" s="489"/>
      <c r="K19" s="489"/>
      <c r="L19" s="522"/>
      <c r="M19" s="522"/>
      <c r="N19" s="489"/>
      <c r="O19" s="489"/>
      <c r="P19" s="522">
        <v>74</v>
      </c>
      <c r="Q19" s="522">
        <v>2812</v>
      </c>
      <c r="R19" s="494"/>
      <c r="S19" s="523">
        <v>38</v>
      </c>
    </row>
    <row r="20" spans="1:19" ht="14.45" customHeight="1" x14ac:dyDescent="0.2">
      <c r="A20" s="488" t="s">
        <v>581</v>
      </c>
      <c r="B20" s="489" t="s">
        <v>582</v>
      </c>
      <c r="C20" s="489" t="s">
        <v>349</v>
      </c>
      <c r="D20" s="489" t="s">
        <v>565</v>
      </c>
      <c r="E20" s="489" t="s">
        <v>606</v>
      </c>
      <c r="F20" s="489" t="s">
        <v>613</v>
      </c>
      <c r="G20" s="489" t="s">
        <v>614</v>
      </c>
      <c r="H20" s="522"/>
      <c r="I20" s="522"/>
      <c r="J20" s="489"/>
      <c r="K20" s="489"/>
      <c r="L20" s="522"/>
      <c r="M20" s="522"/>
      <c r="N20" s="489"/>
      <c r="O20" s="489"/>
      <c r="P20" s="522">
        <v>141</v>
      </c>
      <c r="Q20" s="522">
        <v>66834</v>
      </c>
      <c r="R20" s="494"/>
      <c r="S20" s="523">
        <v>474</v>
      </c>
    </row>
    <row r="21" spans="1:19" ht="14.45" customHeight="1" x14ac:dyDescent="0.2">
      <c r="A21" s="488" t="s">
        <v>581</v>
      </c>
      <c r="B21" s="489" t="s">
        <v>582</v>
      </c>
      <c r="C21" s="489" t="s">
        <v>349</v>
      </c>
      <c r="D21" s="489" t="s">
        <v>565</v>
      </c>
      <c r="E21" s="489" t="s">
        <v>606</v>
      </c>
      <c r="F21" s="489" t="s">
        <v>615</v>
      </c>
      <c r="G21" s="489" t="s">
        <v>616</v>
      </c>
      <c r="H21" s="522"/>
      <c r="I21" s="522"/>
      <c r="J21" s="489"/>
      <c r="K21" s="489"/>
      <c r="L21" s="522"/>
      <c r="M21" s="522"/>
      <c r="N21" s="489"/>
      <c r="O21" s="489"/>
      <c r="P21" s="522">
        <v>114</v>
      </c>
      <c r="Q21" s="522">
        <v>3800</v>
      </c>
      <c r="R21" s="494"/>
      <c r="S21" s="523">
        <v>33.333333333333336</v>
      </c>
    </row>
    <row r="22" spans="1:19" ht="14.45" customHeight="1" x14ac:dyDescent="0.2">
      <c r="A22" s="488" t="s">
        <v>581</v>
      </c>
      <c r="B22" s="489" t="s">
        <v>582</v>
      </c>
      <c r="C22" s="489" t="s">
        <v>349</v>
      </c>
      <c r="D22" s="489" t="s">
        <v>565</v>
      </c>
      <c r="E22" s="489" t="s">
        <v>606</v>
      </c>
      <c r="F22" s="489" t="s">
        <v>617</v>
      </c>
      <c r="G22" s="489" t="s">
        <v>618</v>
      </c>
      <c r="H22" s="522"/>
      <c r="I22" s="522"/>
      <c r="J22" s="489"/>
      <c r="K22" s="489"/>
      <c r="L22" s="522"/>
      <c r="M22" s="522"/>
      <c r="N22" s="489"/>
      <c r="O22" s="489"/>
      <c r="P22" s="522">
        <v>4</v>
      </c>
      <c r="Q22" s="522">
        <v>152</v>
      </c>
      <c r="R22" s="494"/>
      <c r="S22" s="523">
        <v>38</v>
      </c>
    </row>
    <row r="23" spans="1:19" ht="14.45" customHeight="1" x14ac:dyDescent="0.2">
      <c r="A23" s="488" t="s">
        <v>581</v>
      </c>
      <c r="B23" s="489" t="s">
        <v>582</v>
      </c>
      <c r="C23" s="489" t="s">
        <v>349</v>
      </c>
      <c r="D23" s="489" t="s">
        <v>565</v>
      </c>
      <c r="E23" s="489" t="s">
        <v>606</v>
      </c>
      <c r="F23" s="489" t="s">
        <v>621</v>
      </c>
      <c r="G23" s="489" t="s">
        <v>622</v>
      </c>
      <c r="H23" s="522"/>
      <c r="I23" s="522"/>
      <c r="J23" s="489"/>
      <c r="K23" s="489"/>
      <c r="L23" s="522"/>
      <c r="M23" s="522"/>
      <c r="N23" s="489"/>
      <c r="O23" s="489"/>
      <c r="P23" s="522">
        <v>3</v>
      </c>
      <c r="Q23" s="522">
        <v>711</v>
      </c>
      <c r="R23" s="494"/>
      <c r="S23" s="523">
        <v>237</v>
      </c>
    </row>
    <row r="24" spans="1:19" ht="14.45" customHeight="1" x14ac:dyDescent="0.2">
      <c r="A24" s="488" t="s">
        <v>581</v>
      </c>
      <c r="B24" s="489" t="s">
        <v>582</v>
      </c>
      <c r="C24" s="489" t="s">
        <v>349</v>
      </c>
      <c r="D24" s="489" t="s">
        <v>565</v>
      </c>
      <c r="E24" s="489" t="s">
        <v>606</v>
      </c>
      <c r="F24" s="489" t="s">
        <v>623</v>
      </c>
      <c r="G24" s="489" t="s">
        <v>624</v>
      </c>
      <c r="H24" s="522"/>
      <c r="I24" s="522"/>
      <c r="J24" s="489"/>
      <c r="K24" s="489"/>
      <c r="L24" s="522"/>
      <c r="M24" s="522"/>
      <c r="N24" s="489"/>
      <c r="O24" s="489"/>
      <c r="P24" s="522">
        <v>1</v>
      </c>
      <c r="Q24" s="522">
        <v>61</v>
      </c>
      <c r="R24" s="494"/>
      <c r="S24" s="523">
        <v>61</v>
      </c>
    </row>
    <row r="25" spans="1:19" ht="14.45" customHeight="1" x14ac:dyDescent="0.2">
      <c r="A25" s="488" t="s">
        <v>581</v>
      </c>
      <c r="B25" s="489" t="s">
        <v>582</v>
      </c>
      <c r="C25" s="489" t="s">
        <v>349</v>
      </c>
      <c r="D25" s="489" t="s">
        <v>566</v>
      </c>
      <c r="E25" s="489" t="s">
        <v>606</v>
      </c>
      <c r="F25" s="489" t="s">
        <v>623</v>
      </c>
      <c r="G25" s="489" t="s">
        <v>624</v>
      </c>
      <c r="H25" s="522">
        <v>1</v>
      </c>
      <c r="I25" s="522">
        <v>59</v>
      </c>
      <c r="J25" s="489"/>
      <c r="K25" s="489">
        <v>59</v>
      </c>
      <c r="L25" s="522"/>
      <c r="M25" s="522"/>
      <c r="N25" s="489"/>
      <c r="O25" s="489"/>
      <c r="P25" s="522"/>
      <c r="Q25" s="522"/>
      <c r="R25" s="494"/>
      <c r="S25" s="523"/>
    </row>
    <row r="26" spans="1:19" ht="14.45" customHeight="1" x14ac:dyDescent="0.2">
      <c r="A26" s="488" t="s">
        <v>581</v>
      </c>
      <c r="B26" s="489" t="s">
        <v>582</v>
      </c>
      <c r="C26" s="489" t="s">
        <v>349</v>
      </c>
      <c r="D26" s="489" t="s">
        <v>567</v>
      </c>
      <c r="E26" s="489" t="s">
        <v>606</v>
      </c>
      <c r="F26" s="489" t="s">
        <v>617</v>
      </c>
      <c r="G26" s="489" t="s">
        <v>618</v>
      </c>
      <c r="H26" s="522">
        <v>1</v>
      </c>
      <c r="I26" s="522">
        <v>37</v>
      </c>
      <c r="J26" s="489"/>
      <c r="K26" s="489">
        <v>37</v>
      </c>
      <c r="L26" s="522"/>
      <c r="M26" s="522"/>
      <c r="N26" s="489"/>
      <c r="O26" s="489"/>
      <c r="P26" s="522"/>
      <c r="Q26" s="522"/>
      <c r="R26" s="494"/>
      <c r="S26" s="523"/>
    </row>
    <row r="27" spans="1:19" ht="14.45" customHeight="1" x14ac:dyDescent="0.2">
      <c r="A27" s="488" t="s">
        <v>581</v>
      </c>
      <c r="B27" s="489" t="s">
        <v>582</v>
      </c>
      <c r="C27" s="489" t="s">
        <v>349</v>
      </c>
      <c r="D27" s="489" t="s">
        <v>569</v>
      </c>
      <c r="E27" s="489" t="s">
        <v>583</v>
      </c>
      <c r="F27" s="489" t="s">
        <v>594</v>
      </c>
      <c r="G27" s="489" t="s">
        <v>593</v>
      </c>
      <c r="H27" s="522">
        <v>1</v>
      </c>
      <c r="I27" s="522">
        <v>2.44</v>
      </c>
      <c r="J27" s="489"/>
      <c r="K27" s="489">
        <v>2.44</v>
      </c>
      <c r="L27" s="522"/>
      <c r="M27" s="522"/>
      <c r="N27" s="489"/>
      <c r="O27" s="489"/>
      <c r="P27" s="522"/>
      <c r="Q27" s="522"/>
      <c r="R27" s="494"/>
      <c r="S27" s="523"/>
    </row>
    <row r="28" spans="1:19" ht="14.45" customHeight="1" x14ac:dyDescent="0.2">
      <c r="A28" s="488" t="s">
        <v>581</v>
      </c>
      <c r="B28" s="489" t="s">
        <v>582</v>
      </c>
      <c r="C28" s="489" t="s">
        <v>349</v>
      </c>
      <c r="D28" s="489" t="s">
        <v>569</v>
      </c>
      <c r="E28" s="489" t="s">
        <v>606</v>
      </c>
      <c r="F28" s="489" t="s">
        <v>607</v>
      </c>
      <c r="G28" s="489" t="s">
        <v>608</v>
      </c>
      <c r="H28" s="522">
        <v>1</v>
      </c>
      <c r="I28" s="522">
        <v>147</v>
      </c>
      <c r="J28" s="489"/>
      <c r="K28" s="489">
        <v>147</v>
      </c>
      <c r="L28" s="522"/>
      <c r="M28" s="522"/>
      <c r="N28" s="489"/>
      <c r="O28" s="489"/>
      <c r="P28" s="522"/>
      <c r="Q28" s="522"/>
      <c r="R28" s="494"/>
      <c r="S28" s="523"/>
    </row>
    <row r="29" spans="1:19" ht="14.45" customHeight="1" x14ac:dyDescent="0.2">
      <c r="A29" s="488" t="s">
        <v>581</v>
      </c>
      <c r="B29" s="489" t="s">
        <v>582</v>
      </c>
      <c r="C29" s="489" t="s">
        <v>349</v>
      </c>
      <c r="D29" s="489" t="s">
        <v>570</v>
      </c>
      <c r="E29" s="489" t="s">
        <v>583</v>
      </c>
      <c r="F29" s="489" t="s">
        <v>594</v>
      </c>
      <c r="G29" s="489" t="s">
        <v>593</v>
      </c>
      <c r="H29" s="522"/>
      <c r="I29" s="522"/>
      <c r="J29" s="489"/>
      <c r="K29" s="489"/>
      <c r="L29" s="522"/>
      <c r="M29" s="522"/>
      <c r="N29" s="489"/>
      <c r="O29" s="489"/>
      <c r="P29" s="522">
        <v>1</v>
      </c>
      <c r="Q29" s="522">
        <v>2.44</v>
      </c>
      <c r="R29" s="494"/>
      <c r="S29" s="523">
        <v>2.44</v>
      </c>
    </row>
    <row r="30" spans="1:19" ht="14.45" customHeight="1" x14ac:dyDescent="0.2">
      <c r="A30" s="488" t="s">
        <v>581</v>
      </c>
      <c r="B30" s="489" t="s">
        <v>582</v>
      </c>
      <c r="C30" s="489" t="s">
        <v>349</v>
      </c>
      <c r="D30" s="489" t="s">
        <v>570</v>
      </c>
      <c r="E30" s="489" t="s">
        <v>583</v>
      </c>
      <c r="F30" s="489" t="s">
        <v>595</v>
      </c>
      <c r="G30" s="489" t="s">
        <v>593</v>
      </c>
      <c r="H30" s="522">
        <v>1</v>
      </c>
      <c r="I30" s="522">
        <v>6.09</v>
      </c>
      <c r="J30" s="489"/>
      <c r="K30" s="489">
        <v>6.09</v>
      </c>
      <c r="L30" s="522"/>
      <c r="M30" s="522"/>
      <c r="N30" s="489"/>
      <c r="O30" s="489"/>
      <c r="P30" s="522"/>
      <c r="Q30" s="522"/>
      <c r="R30" s="494"/>
      <c r="S30" s="523"/>
    </row>
    <row r="31" spans="1:19" ht="14.45" customHeight="1" x14ac:dyDescent="0.2">
      <c r="A31" s="488" t="s">
        <v>581</v>
      </c>
      <c r="B31" s="489" t="s">
        <v>582</v>
      </c>
      <c r="C31" s="489" t="s">
        <v>349</v>
      </c>
      <c r="D31" s="489" t="s">
        <v>570</v>
      </c>
      <c r="E31" s="489" t="s">
        <v>583</v>
      </c>
      <c r="F31" s="489" t="s">
        <v>596</v>
      </c>
      <c r="G31" s="489" t="s">
        <v>597</v>
      </c>
      <c r="H31" s="522">
        <v>1</v>
      </c>
      <c r="I31" s="522">
        <v>1118.9000000000001</v>
      </c>
      <c r="J31" s="489"/>
      <c r="K31" s="489">
        <v>1118.9000000000001</v>
      </c>
      <c r="L31" s="522"/>
      <c r="M31" s="522"/>
      <c r="N31" s="489"/>
      <c r="O31" s="489"/>
      <c r="P31" s="522">
        <v>1</v>
      </c>
      <c r="Q31" s="522">
        <v>1118.9000000000001</v>
      </c>
      <c r="R31" s="494"/>
      <c r="S31" s="523">
        <v>1118.9000000000001</v>
      </c>
    </row>
    <row r="32" spans="1:19" ht="14.45" customHeight="1" x14ac:dyDescent="0.2">
      <c r="A32" s="488" t="s">
        <v>581</v>
      </c>
      <c r="B32" s="489" t="s">
        <v>582</v>
      </c>
      <c r="C32" s="489" t="s">
        <v>349</v>
      </c>
      <c r="D32" s="489" t="s">
        <v>570</v>
      </c>
      <c r="E32" s="489" t="s">
        <v>606</v>
      </c>
      <c r="F32" s="489" t="s">
        <v>607</v>
      </c>
      <c r="G32" s="489" t="s">
        <v>608</v>
      </c>
      <c r="H32" s="522">
        <v>1</v>
      </c>
      <c r="I32" s="522">
        <v>147</v>
      </c>
      <c r="J32" s="489"/>
      <c r="K32" s="489">
        <v>147</v>
      </c>
      <c r="L32" s="522"/>
      <c r="M32" s="522"/>
      <c r="N32" s="489"/>
      <c r="O32" s="489"/>
      <c r="P32" s="522">
        <v>1</v>
      </c>
      <c r="Q32" s="522">
        <v>151</v>
      </c>
      <c r="R32" s="494"/>
      <c r="S32" s="523">
        <v>151</v>
      </c>
    </row>
    <row r="33" spans="1:19" ht="14.45" customHeight="1" x14ac:dyDescent="0.2">
      <c r="A33" s="488" t="s">
        <v>581</v>
      </c>
      <c r="B33" s="489" t="s">
        <v>582</v>
      </c>
      <c r="C33" s="489" t="s">
        <v>349</v>
      </c>
      <c r="D33" s="489" t="s">
        <v>570</v>
      </c>
      <c r="E33" s="489" t="s">
        <v>606</v>
      </c>
      <c r="F33" s="489" t="s">
        <v>617</v>
      </c>
      <c r="G33" s="489" t="s">
        <v>618</v>
      </c>
      <c r="H33" s="522">
        <v>6</v>
      </c>
      <c r="I33" s="522">
        <v>222</v>
      </c>
      <c r="J33" s="489">
        <v>1.5</v>
      </c>
      <c r="K33" s="489">
        <v>37</v>
      </c>
      <c r="L33" s="522">
        <v>4</v>
      </c>
      <c r="M33" s="522">
        <v>148</v>
      </c>
      <c r="N33" s="489">
        <v>1</v>
      </c>
      <c r="O33" s="489">
        <v>37</v>
      </c>
      <c r="P33" s="522"/>
      <c r="Q33" s="522"/>
      <c r="R33" s="494"/>
      <c r="S33" s="523"/>
    </row>
    <row r="34" spans="1:19" ht="14.45" customHeight="1" x14ac:dyDescent="0.2">
      <c r="A34" s="488" t="s">
        <v>581</v>
      </c>
      <c r="B34" s="489" t="s">
        <v>582</v>
      </c>
      <c r="C34" s="489" t="s">
        <v>349</v>
      </c>
      <c r="D34" s="489" t="s">
        <v>570</v>
      </c>
      <c r="E34" s="489" t="s">
        <v>606</v>
      </c>
      <c r="F34" s="489" t="s">
        <v>629</v>
      </c>
      <c r="G34" s="489" t="s">
        <v>628</v>
      </c>
      <c r="H34" s="522"/>
      <c r="I34" s="522"/>
      <c r="J34" s="489"/>
      <c r="K34" s="489"/>
      <c r="L34" s="522">
        <v>4</v>
      </c>
      <c r="M34" s="522">
        <v>20800</v>
      </c>
      <c r="N34" s="489">
        <v>1</v>
      </c>
      <c r="O34" s="489">
        <v>5200</v>
      </c>
      <c r="P34" s="522"/>
      <c r="Q34" s="522"/>
      <c r="R34" s="494"/>
      <c r="S34" s="523"/>
    </row>
    <row r="35" spans="1:19" ht="14.45" customHeight="1" x14ac:dyDescent="0.2">
      <c r="A35" s="488" t="s">
        <v>581</v>
      </c>
      <c r="B35" s="489" t="s">
        <v>582</v>
      </c>
      <c r="C35" s="489" t="s">
        <v>349</v>
      </c>
      <c r="D35" s="489" t="s">
        <v>571</v>
      </c>
      <c r="E35" s="489" t="s">
        <v>583</v>
      </c>
      <c r="F35" s="489" t="s">
        <v>590</v>
      </c>
      <c r="G35" s="489" t="s">
        <v>591</v>
      </c>
      <c r="H35" s="522">
        <v>0.2</v>
      </c>
      <c r="I35" s="522">
        <v>54.34</v>
      </c>
      <c r="J35" s="489"/>
      <c r="K35" s="489">
        <v>271.7</v>
      </c>
      <c r="L35" s="522"/>
      <c r="M35" s="522"/>
      <c r="N35" s="489"/>
      <c r="O35" s="489"/>
      <c r="P35" s="522"/>
      <c r="Q35" s="522"/>
      <c r="R35" s="494"/>
      <c r="S35" s="523"/>
    </row>
    <row r="36" spans="1:19" ht="14.45" customHeight="1" x14ac:dyDescent="0.2">
      <c r="A36" s="488" t="s">
        <v>581</v>
      </c>
      <c r="B36" s="489" t="s">
        <v>582</v>
      </c>
      <c r="C36" s="489" t="s">
        <v>349</v>
      </c>
      <c r="D36" s="489" t="s">
        <v>571</v>
      </c>
      <c r="E36" s="489" t="s">
        <v>583</v>
      </c>
      <c r="F36" s="489" t="s">
        <v>594</v>
      </c>
      <c r="G36" s="489" t="s">
        <v>593</v>
      </c>
      <c r="H36" s="522">
        <v>1</v>
      </c>
      <c r="I36" s="522">
        <v>2.44</v>
      </c>
      <c r="J36" s="489"/>
      <c r="K36" s="489">
        <v>2.44</v>
      </c>
      <c r="L36" s="522"/>
      <c r="M36" s="522"/>
      <c r="N36" s="489"/>
      <c r="O36" s="489"/>
      <c r="P36" s="522"/>
      <c r="Q36" s="522"/>
      <c r="R36" s="494"/>
      <c r="S36" s="523"/>
    </row>
    <row r="37" spans="1:19" ht="14.45" customHeight="1" x14ac:dyDescent="0.2">
      <c r="A37" s="488" t="s">
        <v>581</v>
      </c>
      <c r="B37" s="489" t="s">
        <v>582</v>
      </c>
      <c r="C37" s="489" t="s">
        <v>349</v>
      </c>
      <c r="D37" s="489" t="s">
        <v>571</v>
      </c>
      <c r="E37" s="489" t="s">
        <v>606</v>
      </c>
      <c r="F37" s="489" t="s">
        <v>607</v>
      </c>
      <c r="G37" s="489" t="s">
        <v>608</v>
      </c>
      <c r="H37" s="522">
        <v>1</v>
      </c>
      <c r="I37" s="522">
        <v>147</v>
      </c>
      <c r="J37" s="489"/>
      <c r="K37" s="489">
        <v>147</v>
      </c>
      <c r="L37" s="522"/>
      <c r="M37" s="522"/>
      <c r="N37" s="489"/>
      <c r="O37" s="489"/>
      <c r="P37" s="522"/>
      <c r="Q37" s="522"/>
      <c r="R37" s="494"/>
      <c r="S37" s="523"/>
    </row>
    <row r="38" spans="1:19" ht="14.45" customHeight="1" x14ac:dyDescent="0.2">
      <c r="A38" s="488" t="s">
        <v>581</v>
      </c>
      <c r="B38" s="489" t="s">
        <v>582</v>
      </c>
      <c r="C38" s="489" t="s">
        <v>349</v>
      </c>
      <c r="D38" s="489" t="s">
        <v>571</v>
      </c>
      <c r="E38" s="489" t="s">
        <v>606</v>
      </c>
      <c r="F38" s="489" t="s">
        <v>617</v>
      </c>
      <c r="G38" s="489" t="s">
        <v>618</v>
      </c>
      <c r="H38" s="522">
        <v>2</v>
      </c>
      <c r="I38" s="522">
        <v>74</v>
      </c>
      <c r="J38" s="489"/>
      <c r="K38" s="489">
        <v>37</v>
      </c>
      <c r="L38" s="522"/>
      <c r="M38" s="522"/>
      <c r="N38" s="489"/>
      <c r="O38" s="489"/>
      <c r="P38" s="522"/>
      <c r="Q38" s="522"/>
      <c r="R38" s="494"/>
      <c r="S38" s="523"/>
    </row>
    <row r="39" spans="1:19" ht="14.45" customHeight="1" x14ac:dyDescent="0.2">
      <c r="A39" s="488" t="s">
        <v>581</v>
      </c>
      <c r="B39" s="489" t="s">
        <v>582</v>
      </c>
      <c r="C39" s="489" t="s">
        <v>349</v>
      </c>
      <c r="D39" s="489" t="s">
        <v>571</v>
      </c>
      <c r="E39" s="489" t="s">
        <v>606</v>
      </c>
      <c r="F39" s="489" t="s">
        <v>623</v>
      </c>
      <c r="G39" s="489" t="s">
        <v>624</v>
      </c>
      <c r="H39" s="522">
        <v>3</v>
      </c>
      <c r="I39" s="522">
        <v>177</v>
      </c>
      <c r="J39" s="489"/>
      <c r="K39" s="489">
        <v>59</v>
      </c>
      <c r="L39" s="522"/>
      <c r="M39" s="522"/>
      <c r="N39" s="489"/>
      <c r="O39" s="489"/>
      <c r="P39" s="522">
        <v>1</v>
      </c>
      <c r="Q39" s="522">
        <v>61</v>
      </c>
      <c r="R39" s="494"/>
      <c r="S39" s="523">
        <v>61</v>
      </c>
    </row>
    <row r="40" spans="1:19" ht="14.45" customHeight="1" x14ac:dyDescent="0.2">
      <c r="A40" s="488" t="s">
        <v>581</v>
      </c>
      <c r="B40" s="489" t="s">
        <v>582</v>
      </c>
      <c r="C40" s="489" t="s">
        <v>349</v>
      </c>
      <c r="D40" s="489" t="s">
        <v>572</v>
      </c>
      <c r="E40" s="489" t="s">
        <v>606</v>
      </c>
      <c r="F40" s="489" t="s">
        <v>617</v>
      </c>
      <c r="G40" s="489" t="s">
        <v>618</v>
      </c>
      <c r="H40" s="522">
        <v>1</v>
      </c>
      <c r="I40" s="522">
        <v>37</v>
      </c>
      <c r="J40" s="489"/>
      <c r="K40" s="489">
        <v>37</v>
      </c>
      <c r="L40" s="522"/>
      <c r="M40" s="522"/>
      <c r="N40" s="489"/>
      <c r="O40" s="489"/>
      <c r="P40" s="522"/>
      <c r="Q40" s="522"/>
      <c r="R40" s="494"/>
      <c r="S40" s="523"/>
    </row>
    <row r="41" spans="1:19" ht="14.45" customHeight="1" x14ac:dyDescent="0.2">
      <c r="A41" s="488" t="s">
        <v>581</v>
      </c>
      <c r="B41" s="489" t="s">
        <v>582</v>
      </c>
      <c r="C41" s="489" t="s">
        <v>349</v>
      </c>
      <c r="D41" s="489" t="s">
        <v>573</v>
      </c>
      <c r="E41" s="489" t="s">
        <v>583</v>
      </c>
      <c r="F41" s="489" t="s">
        <v>586</v>
      </c>
      <c r="G41" s="489" t="s">
        <v>587</v>
      </c>
      <c r="H41" s="522">
        <v>0.2</v>
      </c>
      <c r="I41" s="522">
        <v>2.57</v>
      </c>
      <c r="J41" s="489"/>
      <c r="K41" s="489">
        <v>12.849999999999998</v>
      </c>
      <c r="L41" s="522"/>
      <c r="M41" s="522"/>
      <c r="N41" s="489"/>
      <c r="O41" s="489"/>
      <c r="P41" s="522"/>
      <c r="Q41" s="522"/>
      <c r="R41" s="494"/>
      <c r="S41" s="523"/>
    </row>
    <row r="42" spans="1:19" ht="14.45" customHeight="1" x14ac:dyDescent="0.2">
      <c r="A42" s="488" t="s">
        <v>581</v>
      </c>
      <c r="B42" s="489" t="s">
        <v>582</v>
      </c>
      <c r="C42" s="489" t="s">
        <v>349</v>
      </c>
      <c r="D42" s="489" t="s">
        <v>573</v>
      </c>
      <c r="E42" s="489" t="s">
        <v>583</v>
      </c>
      <c r="F42" s="489" t="s">
        <v>592</v>
      </c>
      <c r="G42" s="489" t="s">
        <v>593</v>
      </c>
      <c r="H42" s="522">
        <v>1</v>
      </c>
      <c r="I42" s="522">
        <v>12.18</v>
      </c>
      <c r="J42" s="489"/>
      <c r="K42" s="489">
        <v>12.18</v>
      </c>
      <c r="L42" s="522"/>
      <c r="M42" s="522"/>
      <c r="N42" s="489"/>
      <c r="O42" s="489"/>
      <c r="P42" s="522"/>
      <c r="Q42" s="522"/>
      <c r="R42" s="494"/>
      <c r="S42" s="523"/>
    </row>
    <row r="43" spans="1:19" ht="14.45" customHeight="1" x14ac:dyDescent="0.2">
      <c r="A43" s="488" t="s">
        <v>581</v>
      </c>
      <c r="B43" s="489" t="s">
        <v>582</v>
      </c>
      <c r="C43" s="489" t="s">
        <v>349</v>
      </c>
      <c r="D43" s="489" t="s">
        <v>573</v>
      </c>
      <c r="E43" s="489" t="s">
        <v>583</v>
      </c>
      <c r="F43" s="489" t="s">
        <v>594</v>
      </c>
      <c r="G43" s="489" t="s">
        <v>593</v>
      </c>
      <c r="H43" s="522">
        <v>1</v>
      </c>
      <c r="I43" s="522">
        <v>2.44</v>
      </c>
      <c r="J43" s="489"/>
      <c r="K43" s="489">
        <v>2.44</v>
      </c>
      <c r="L43" s="522"/>
      <c r="M43" s="522"/>
      <c r="N43" s="489"/>
      <c r="O43" s="489"/>
      <c r="P43" s="522"/>
      <c r="Q43" s="522"/>
      <c r="R43" s="494"/>
      <c r="S43" s="523"/>
    </row>
    <row r="44" spans="1:19" ht="14.45" customHeight="1" x14ac:dyDescent="0.2">
      <c r="A44" s="488" t="s">
        <v>581</v>
      </c>
      <c r="B44" s="489" t="s">
        <v>582</v>
      </c>
      <c r="C44" s="489" t="s">
        <v>349</v>
      </c>
      <c r="D44" s="489" t="s">
        <v>573</v>
      </c>
      <c r="E44" s="489" t="s">
        <v>583</v>
      </c>
      <c r="F44" s="489" t="s">
        <v>600</v>
      </c>
      <c r="G44" s="489" t="s">
        <v>601</v>
      </c>
      <c r="H44" s="522">
        <v>0.1</v>
      </c>
      <c r="I44" s="522">
        <v>28.63</v>
      </c>
      <c r="J44" s="489"/>
      <c r="K44" s="489">
        <v>286.29999999999995</v>
      </c>
      <c r="L44" s="522"/>
      <c r="M44" s="522"/>
      <c r="N44" s="489"/>
      <c r="O44" s="489"/>
      <c r="P44" s="522"/>
      <c r="Q44" s="522"/>
      <c r="R44" s="494"/>
      <c r="S44" s="523"/>
    </row>
    <row r="45" spans="1:19" ht="14.45" customHeight="1" x14ac:dyDescent="0.2">
      <c r="A45" s="488" t="s">
        <v>581</v>
      </c>
      <c r="B45" s="489" t="s">
        <v>582</v>
      </c>
      <c r="C45" s="489" t="s">
        <v>349</v>
      </c>
      <c r="D45" s="489" t="s">
        <v>573</v>
      </c>
      <c r="E45" s="489" t="s">
        <v>583</v>
      </c>
      <c r="F45" s="489" t="s">
        <v>602</v>
      </c>
      <c r="G45" s="489" t="s">
        <v>603</v>
      </c>
      <c r="H45" s="522">
        <v>1</v>
      </c>
      <c r="I45" s="522">
        <v>81.94</v>
      </c>
      <c r="J45" s="489"/>
      <c r="K45" s="489">
        <v>81.94</v>
      </c>
      <c r="L45" s="522"/>
      <c r="M45" s="522"/>
      <c r="N45" s="489"/>
      <c r="O45" s="489"/>
      <c r="P45" s="522"/>
      <c r="Q45" s="522"/>
      <c r="R45" s="494"/>
      <c r="S45" s="523"/>
    </row>
    <row r="46" spans="1:19" ht="14.45" customHeight="1" x14ac:dyDescent="0.2">
      <c r="A46" s="488" t="s">
        <v>581</v>
      </c>
      <c r="B46" s="489" t="s">
        <v>582</v>
      </c>
      <c r="C46" s="489" t="s">
        <v>349</v>
      </c>
      <c r="D46" s="489" t="s">
        <v>573</v>
      </c>
      <c r="E46" s="489" t="s">
        <v>606</v>
      </c>
      <c r="F46" s="489" t="s">
        <v>607</v>
      </c>
      <c r="G46" s="489" t="s">
        <v>608</v>
      </c>
      <c r="H46" s="522">
        <v>2</v>
      </c>
      <c r="I46" s="522">
        <v>294</v>
      </c>
      <c r="J46" s="489"/>
      <c r="K46" s="489">
        <v>147</v>
      </c>
      <c r="L46" s="522"/>
      <c r="M46" s="522"/>
      <c r="N46" s="489"/>
      <c r="O46" s="489"/>
      <c r="P46" s="522"/>
      <c r="Q46" s="522"/>
      <c r="R46" s="494"/>
      <c r="S46" s="523"/>
    </row>
    <row r="47" spans="1:19" ht="14.45" customHeight="1" x14ac:dyDescent="0.2">
      <c r="A47" s="488" t="s">
        <v>581</v>
      </c>
      <c r="B47" s="489" t="s">
        <v>582</v>
      </c>
      <c r="C47" s="489" t="s">
        <v>349</v>
      </c>
      <c r="D47" s="489" t="s">
        <v>574</v>
      </c>
      <c r="E47" s="489" t="s">
        <v>583</v>
      </c>
      <c r="F47" s="489" t="s">
        <v>584</v>
      </c>
      <c r="G47" s="489" t="s">
        <v>585</v>
      </c>
      <c r="H47" s="522">
        <v>0.2</v>
      </c>
      <c r="I47" s="522">
        <v>10.82</v>
      </c>
      <c r="J47" s="489"/>
      <c r="K47" s="489">
        <v>54.1</v>
      </c>
      <c r="L47" s="522"/>
      <c r="M47" s="522"/>
      <c r="N47" s="489"/>
      <c r="O47" s="489"/>
      <c r="P47" s="522"/>
      <c r="Q47" s="522"/>
      <c r="R47" s="494"/>
      <c r="S47" s="523"/>
    </row>
    <row r="48" spans="1:19" ht="14.45" customHeight="1" x14ac:dyDescent="0.2">
      <c r="A48" s="488" t="s">
        <v>581</v>
      </c>
      <c r="B48" s="489" t="s">
        <v>582</v>
      </c>
      <c r="C48" s="489" t="s">
        <v>349</v>
      </c>
      <c r="D48" s="489" t="s">
        <v>574</v>
      </c>
      <c r="E48" s="489" t="s">
        <v>583</v>
      </c>
      <c r="F48" s="489" t="s">
        <v>592</v>
      </c>
      <c r="G48" s="489" t="s">
        <v>593</v>
      </c>
      <c r="H48" s="522">
        <v>1</v>
      </c>
      <c r="I48" s="522">
        <v>12.18</v>
      </c>
      <c r="J48" s="489"/>
      <c r="K48" s="489">
        <v>12.18</v>
      </c>
      <c r="L48" s="522"/>
      <c r="M48" s="522"/>
      <c r="N48" s="489"/>
      <c r="O48" s="489"/>
      <c r="P48" s="522"/>
      <c r="Q48" s="522"/>
      <c r="R48" s="494"/>
      <c r="S48" s="523"/>
    </row>
    <row r="49" spans="1:19" ht="14.45" customHeight="1" x14ac:dyDescent="0.2">
      <c r="A49" s="488" t="s">
        <v>581</v>
      </c>
      <c r="B49" s="489" t="s">
        <v>582</v>
      </c>
      <c r="C49" s="489" t="s">
        <v>349</v>
      </c>
      <c r="D49" s="489" t="s">
        <v>574</v>
      </c>
      <c r="E49" s="489" t="s">
        <v>606</v>
      </c>
      <c r="F49" s="489" t="s">
        <v>607</v>
      </c>
      <c r="G49" s="489" t="s">
        <v>608</v>
      </c>
      <c r="H49" s="522">
        <v>1</v>
      </c>
      <c r="I49" s="522">
        <v>147</v>
      </c>
      <c r="J49" s="489"/>
      <c r="K49" s="489">
        <v>147</v>
      </c>
      <c r="L49" s="522"/>
      <c r="M49" s="522"/>
      <c r="N49" s="489"/>
      <c r="O49" s="489"/>
      <c r="P49" s="522"/>
      <c r="Q49" s="522"/>
      <c r="R49" s="494"/>
      <c r="S49" s="523"/>
    </row>
    <row r="50" spans="1:19" ht="14.45" customHeight="1" x14ac:dyDescent="0.2">
      <c r="A50" s="488" t="s">
        <v>581</v>
      </c>
      <c r="B50" s="489" t="s">
        <v>582</v>
      </c>
      <c r="C50" s="489" t="s">
        <v>349</v>
      </c>
      <c r="D50" s="489" t="s">
        <v>576</v>
      </c>
      <c r="E50" s="489" t="s">
        <v>606</v>
      </c>
      <c r="F50" s="489" t="s">
        <v>617</v>
      </c>
      <c r="G50" s="489" t="s">
        <v>618</v>
      </c>
      <c r="H50" s="522"/>
      <c r="I50" s="522"/>
      <c r="J50" s="489"/>
      <c r="K50" s="489"/>
      <c r="L50" s="522"/>
      <c r="M50" s="522"/>
      <c r="N50" s="489"/>
      <c r="O50" s="489"/>
      <c r="P50" s="522">
        <v>1</v>
      </c>
      <c r="Q50" s="522">
        <v>38</v>
      </c>
      <c r="R50" s="494"/>
      <c r="S50" s="523">
        <v>38</v>
      </c>
    </row>
    <row r="51" spans="1:19" ht="14.45" customHeight="1" x14ac:dyDescent="0.2">
      <c r="A51" s="488" t="s">
        <v>581</v>
      </c>
      <c r="B51" s="489" t="s">
        <v>582</v>
      </c>
      <c r="C51" s="489" t="s">
        <v>349</v>
      </c>
      <c r="D51" s="489" t="s">
        <v>577</v>
      </c>
      <c r="E51" s="489" t="s">
        <v>606</v>
      </c>
      <c r="F51" s="489" t="s">
        <v>609</v>
      </c>
      <c r="G51" s="489" t="s">
        <v>610</v>
      </c>
      <c r="H51" s="522">
        <v>257</v>
      </c>
      <c r="I51" s="522">
        <v>9509</v>
      </c>
      <c r="J51" s="489">
        <v>1.2065727699530517</v>
      </c>
      <c r="K51" s="489">
        <v>37</v>
      </c>
      <c r="L51" s="522">
        <v>213</v>
      </c>
      <c r="M51" s="522">
        <v>7881</v>
      </c>
      <c r="N51" s="489">
        <v>1</v>
      </c>
      <c r="O51" s="489">
        <v>37</v>
      </c>
      <c r="P51" s="522">
        <v>181</v>
      </c>
      <c r="Q51" s="522">
        <v>6878</v>
      </c>
      <c r="R51" s="494">
        <v>0.87273188681639391</v>
      </c>
      <c r="S51" s="523">
        <v>38</v>
      </c>
    </row>
    <row r="52" spans="1:19" ht="14.45" customHeight="1" x14ac:dyDescent="0.2">
      <c r="A52" s="488" t="s">
        <v>581</v>
      </c>
      <c r="B52" s="489" t="s">
        <v>582</v>
      </c>
      <c r="C52" s="489" t="s">
        <v>349</v>
      </c>
      <c r="D52" s="489" t="s">
        <v>577</v>
      </c>
      <c r="E52" s="489" t="s">
        <v>606</v>
      </c>
      <c r="F52" s="489" t="s">
        <v>613</v>
      </c>
      <c r="G52" s="489" t="s">
        <v>614</v>
      </c>
      <c r="H52" s="522">
        <v>114</v>
      </c>
      <c r="I52" s="522">
        <v>53580</v>
      </c>
      <c r="J52" s="489">
        <v>0.87506124448799605</v>
      </c>
      <c r="K52" s="489">
        <v>470</v>
      </c>
      <c r="L52" s="522">
        <v>130</v>
      </c>
      <c r="M52" s="522">
        <v>61230</v>
      </c>
      <c r="N52" s="489">
        <v>1</v>
      </c>
      <c r="O52" s="489">
        <v>471</v>
      </c>
      <c r="P52" s="522">
        <v>238</v>
      </c>
      <c r="Q52" s="522">
        <v>112812</v>
      </c>
      <c r="R52" s="494">
        <v>1.8424301812836845</v>
      </c>
      <c r="S52" s="523">
        <v>474</v>
      </c>
    </row>
    <row r="53" spans="1:19" ht="14.45" customHeight="1" x14ac:dyDescent="0.2">
      <c r="A53" s="488" t="s">
        <v>581</v>
      </c>
      <c r="B53" s="489" t="s">
        <v>582</v>
      </c>
      <c r="C53" s="489" t="s">
        <v>349</v>
      </c>
      <c r="D53" s="489" t="s">
        <v>577</v>
      </c>
      <c r="E53" s="489" t="s">
        <v>606</v>
      </c>
      <c r="F53" s="489" t="s">
        <v>615</v>
      </c>
      <c r="G53" s="489" t="s">
        <v>616</v>
      </c>
      <c r="H53" s="522">
        <v>129</v>
      </c>
      <c r="I53" s="522">
        <v>4299.99</v>
      </c>
      <c r="J53" s="489">
        <v>1.1217316446450232</v>
      </c>
      <c r="K53" s="489">
        <v>33.333255813953485</v>
      </c>
      <c r="L53" s="522">
        <v>115</v>
      </c>
      <c r="M53" s="522">
        <v>3833.3500000000004</v>
      </c>
      <c r="N53" s="489">
        <v>1</v>
      </c>
      <c r="O53" s="489">
        <v>33.333478260869569</v>
      </c>
      <c r="P53" s="522">
        <v>220</v>
      </c>
      <c r="Q53" s="522">
        <v>7333.33</v>
      </c>
      <c r="R53" s="494">
        <v>1.9130342911552556</v>
      </c>
      <c r="S53" s="523">
        <v>33.333318181818179</v>
      </c>
    </row>
    <row r="54" spans="1:19" ht="14.45" customHeight="1" x14ac:dyDescent="0.2">
      <c r="A54" s="488" t="s">
        <v>581</v>
      </c>
      <c r="B54" s="489" t="s">
        <v>582</v>
      </c>
      <c r="C54" s="489" t="s">
        <v>349</v>
      </c>
      <c r="D54" s="489" t="s">
        <v>577</v>
      </c>
      <c r="E54" s="489" t="s">
        <v>606</v>
      </c>
      <c r="F54" s="489" t="s">
        <v>617</v>
      </c>
      <c r="G54" s="489" t="s">
        <v>618</v>
      </c>
      <c r="H54" s="522">
        <v>2</v>
      </c>
      <c r="I54" s="522">
        <v>74</v>
      </c>
      <c r="J54" s="489"/>
      <c r="K54" s="489">
        <v>37</v>
      </c>
      <c r="L54" s="522"/>
      <c r="M54" s="522"/>
      <c r="N54" s="489"/>
      <c r="O54" s="489"/>
      <c r="P54" s="522">
        <v>2</v>
      </c>
      <c r="Q54" s="522">
        <v>76</v>
      </c>
      <c r="R54" s="494"/>
      <c r="S54" s="523">
        <v>38</v>
      </c>
    </row>
    <row r="55" spans="1:19" ht="14.45" customHeight="1" x14ac:dyDescent="0.2">
      <c r="A55" s="488" t="s">
        <v>581</v>
      </c>
      <c r="B55" s="489" t="s">
        <v>582</v>
      </c>
      <c r="C55" s="489" t="s">
        <v>349</v>
      </c>
      <c r="D55" s="489" t="s">
        <v>577</v>
      </c>
      <c r="E55" s="489" t="s">
        <v>606</v>
      </c>
      <c r="F55" s="489" t="s">
        <v>621</v>
      </c>
      <c r="G55" s="489" t="s">
        <v>622</v>
      </c>
      <c r="H55" s="522">
        <v>19</v>
      </c>
      <c r="I55" s="522">
        <v>4465</v>
      </c>
      <c r="J55" s="489">
        <v>0.70072190834902703</v>
      </c>
      <c r="K55" s="489">
        <v>235</v>
      </c>
      <c r="L55" s="522">
        <v>27</v>
      </c>
      <c r="M55" s="522">
        <v>6372</v>
      </c>
      <c r="N55" s="489">
        <v>1</v>
      </c>
      <c r="O55" s="489">
        <v>236</v>
      </c>
      <c r="P55" s="522">
        <v>12</v>
      </c>
      <c r="Q55" s="522">
        <v>2844</v>
      </c>
      <c r="R55" s="494">
        <v>0.4463276836158192</v>
      </c>
      <c r="S55" s="523">
        <v>237</v>
      </c>
    </row>
    <row r="56" spans="1:19" ht="14.45" customHeight="1" x14ac:dyDescent="0.2">
      <c r="A56" s="488" t="s">
        <v>581</v>
      </c>
      <c r="B56" s="489" t="s">
        <v>582</v>
      </c>
      <c r="C56" s="489" t="s">
        <v>349</v>
      </c>
      <c r="D56" s="489" t="s">
        <v>577</v>
      </c>
      <c r="E56" s="489" t="s">
        <v>606</v>
      </c>
      <c r="F56" s="489" t="s">
        <v>623</v>
      </c>
      <c r="G56" s="489" t="s">
        <v>624</v>
      </c>
      <c r="H56" s="522">
        <v>1</v>
      </c>
      <c r="I56" s="522">
        <v>59</v>
      </c>
      <c r="J56" s="489"/>
      <c r="K56" s="489">
        <v>59</v>
      </c>
      <c r="L56" s="522"/>
      <c r="M56" s="522"/>
      <c r="N56" s="489"/>
      <c r="O56" s="489"/>
      <c r="P56" s="522">
        <v>2</v>
      </c>
      <c r="Q56" s="522">
        <v>122</v>
      </c>
      <c r="R56" s="494"/>
      <c r="S56" s="523">
        <v>61</v>
      </c>
    </row>
    <row r="57" spans="1:19" ht="14.45" customHeight="1" x14ac:dyDescent="0.2">
      <c r="A57" s="488" t="s">
        <v>581</v>
      </c>
      <c r="B57" s="489" t="s">
        <v>582</v>
      </c>
      <c r="C57" s="489" t="s">
        <v>349</v>
      </c>
      <c r="D57" s="489" t="s">
        <v>577</v>
      </c>
      <c r="E57" s="489" t="s">
        <v>606</v>
      </c>
      <c r="F57" s="489" t="s">
        <v>625</v>
      </c>
      <c r="G57" s="489" t="s">
        <v>626</v>
      </c>
      <c r="H57" s="522">
        <v>1827</v>
      </c>
      <c r="I57" s="522">
        <v>478674</v>
      </c>
      <c r="J57" s="489">
        <v>1.2437031994554117</v>
      </c>
      <c r="K57" s="489">
        <v>262</v>
      </c>
      <c r="L57" s="522">
        <v>1469</v>
      </c>
      <c r="M57" s="522">
        <v>384878</v>
      </c>
      <c r="N57" s="489">
        <v>1</v>
      </c>
      <c r="O57" s="489">
        <v>262</v>
      </c>
      <c r="P57" s="522">
        <v>2534</v>
      </c>
      <c r="Q57" s="522">
        <v>663908</v>
      </c>
      <c r="R57" s="494">
        <v>1.7249829816201498</v>
      </c>
      <c r="S57" s="523">
        <v>262</v>
      </c>
    </row>
    <row r="58" spans="1:19" ht="14.45" customHeight="1" x14ac:dyDescent="0.2">
      <c r="A58" s="488" t="s">
        <v>581</v>
      </c>
      <c r="B58" s="489" t="s">
        <v>582</v>
      </c>
      <c r="C58" s="489" t="s">
        <v>349</v>
      </c>
      <c r="D58" s="489" t="s">
        <v>577</v>
      </c>
      <c r="E58" s="489" t="s">
        <v>606</v>
      </c>
      <c r="F58" s="489" t="s">
        <v>627</v>
      </c>
      <c r="G58" s="489" t="s">
        <v>628</v>
      </c>
      <c r="H58" s="522">
        <v>379</v>
      </c>
      <c r="I58" s="522">
        <v>1359094</v>
      </c>
      <c r="J58" s="489">
        <v>1.082857142857143</v>
      </c>
      <c r="K58" s="489">
        <v>3586</v>
      </c>
      <c r="L58" s="522">
        <v>350</v>
      </c>
      <c r="M58" s="522">
        <v>1255100</v>
      </c>
      <c r="N58" s="489">
        <v>1</v>
      </c>
      <c r="O58" s="489">
        <v>3586</v>
      </c>
      <c r="P58" s="522">
        <v>704</v>
      </c>
      <c r="Q58" s="522">
        <v>2524544</v>
      </c>
      <c r="R58" s="494">
        <v>2.0114285714285716</v>
      </c>
      <c r="S58" s="523">
        <v>3586</v>
      </c>
    </row>
    <row r="59" spans="1:19" ht="14.45" customHeight="1" x14ac:dyDescent="0.2">
      <c r="A59" s="488" t="s">
        <v>581</v>
      </c>
      <c r="B59" s="489" t="s">
        <v>582</v>
      </c>
      <c r="C59" s="489" t="s">
        <v>349</v>
      </c>
      <c r="D59" s="489" t="s">
        <v>577</v>
      </c>
      <c r="E59" s="489" t="s">
        <v>606</v>
      </c>
      <c r="F59" s="489" t="s">
        <v>629</v>
      </c>
      <c r="G59" s="489" t="s">
        <v>628</v>
      </c>
      <c r="H59" s="522"/>
      <c r="I59" s="522"/>
      <c r="J59" s="489"/>
      <c r="K59" s="489"/>
      <c r="L59" s="522">
        <v>13</v>
      </c>
      <c r="M59" s="522">
        <v>67600</v>
      </c>
      <c r="N59" s="489">
        <v>1</v>
      </c>
      <c r="O59" s="489">
        <v>5200</v>
      </c>
      <c r="P59" s="522">
        <v>39</v>
      </c>
      <c r="Q59" s="522">
        <v>202800</v>
      </c>
      <c r="R59" s="494">
        <v>3</v>
      </c>
      <c r="S59" s="523">
        <v>5200</v>
      </c>
    </row>
    <row r="60" spans="1:19" ht="14.45" customHeight="1" x14ac:dyDescent="0.2">
      <c r="A60" s="488" t="s">
        <v>581</v>
      </c>
      <c r="B60" s="489" t="s">
        <v>582</v>
      </c>
      <c r="C60" s="489" t="s">
        <v>349</v>
      </c>
      <c r="D60" s="489" t="s">
        <v>578</v>
      </c>
      <c r="E60" s="489" t="s">
        <v>606</v>
      </c>
      <c r="F60" s="489" t="s">
        <v>617</v>
      </c>
      <c r="G60" s="489" t="s">
        <v>618</v>
      </c>
      <c r="H60" s="522"/>
      <c r="I60" s="522"/>
      <c r="J60" s="489"/>
      <c r="K60" s="489"/>
      <c r="L60" s="522"/>
      <c r="M60" s="522"/>
      <c r="N60" s="489"/>
      <c r="O60" s="489"/>
      <c r="P60" s="522">
        <v>1</v>
      </c>
      <c r="Q60" s="522">
        <v>38</v>
      </c>
      <c r="R60" s="494"/>
      <c r="S60" s="523">
        <v>38</v>
      </c>
    </row>
    <row r="61" spans="1:19" ht="14.45" customHeight="1" x14ac:dyDescent="0.2">
      <c r="A61" s="488" t="s">
        <v>581</v>
      </c>
      <c r="B61" s="489" t="s">
        <v>582</v>
      </c>
      <c r="C61" s="489" t="s">
        <v>349</v>
      </c>
      <c r="D61" s="489" t="s">
        <v>579</v>
      </c>
      <c r="E61" s="489" t="s">
        <v>583</v>
      </c>
      <c r="F61" s="489" t="s">
        <v>595</v>
      </c>
      <c r="G61" s="489" t="s">
        <v>593</v>
      </c>
      <c r="H61" s="522">
        <v>1</v>
      </c>
      <c r="I61" s="522">
        <v>6.09</v>
      </c>
      <c r="J61" s="489"/>
      <c r="K61" s="489">
        <v>6.09</v>
      </c>
      <c r="L61" s="522"/>
      <c r="M61" s="522"/>
      <c r="N61" s="489"/>
      <c r="O61" s="489"/>
      <c r="P61" s="522"/>
      <c r="Q61" s="522"/>
      <c r="R61" s="494"/>
      <c r="S61" s="523"/>
    </row>
    <row r="62" spans="1:19" ht="14.45" customHeight="1" x14ac:dyDescent="0.2">
      <c r="A62" s="488" t="s">
        <v>581</v>
      </c>
      <c r="B62" s="489" t="s">
        <v>582</v>
      </c>
      <c r="C62" s="489" t="s">
        <v>349</v>
      </c>
      <c r="D62" s="489" t="s">
        <v>579</v>
      </c>
      <c r="E62" s="489" t="s">
        <v>583</v>
      </c>
      <c r="F62" s="489" t="s">
        <v>596</v>
      </c>
      <c r="G62" s="489" t="s">
        <v>597</v>
      </c>
      <c r="H62" s="522">
        <v>1</v>
      </c>
      <c r="I62" s="522">
        <v>1118.9000000000001</v>
      </c>
      <c r="J62" s="489"/>
      <c r="K62" s="489">
        <v>1118.9000000000001</v>
      </c>
      <c r="L62" s="522"/>
      <c r="M62" s="522"/>
      <c r="N62" s="489"/>
      <c r="O62" s="489"/>
      <c r="P62" s="522"/>
      <c r="Q62" s="522"/>
      <c r="R62" s="494"/>
      <c r="S62" s="523"/>
    </row>
    <row r="63" spans="1:19" ht="14.45" customHeight="1" x14ac:dyDescent="0.2">
      <c r="A63" s="488" t="s">
        <v>581</v>
      </c>
      <c r="B63" s="489" t="s">
        <v>582</v>
      </c>
      <c r="C63" s="489" t="s">
        <v>349</v>
      </c>
      <c r="D63" s="489" t="s">
        <v>579</v>
      </c>
      <c r="E63" s="489" t="s">
        <v>606</v>
      </c>
      <c r="F63" s="489" t="s">
        <v>607</v>
      </c>
      <c r="G63" s="489" t="s">
        <v>608</v>
      </c>
      <c r="H63" s="522">
        <v>1</v>
      </c>
      <c r="I63" s="522">
        <v>147</v>
      </c>
      <c r="J63" s="489"/>
      <c r="K63" s="489">
        <v>147</v>
      </c>
      <c r="L63" s="522"/>
      <c r="M63" s="522"/>
      <c r="N63" s="489"/>
      <c r="O63" s="489"/>
      <c r="P63" s="522"/>
      <c r="Q63" s="522"/>
      <c r="R63" s="494"/>
      <c r="S63" s="523"/>
    </row>
    <row r="64" spans="1:19" ht="14.45" customHeight="1" x14ac:dyDescent="0.2">
      <c r="A64" s="488" t="s">
        <v>581</v>
      </c>
      <c r="B64" s="489" t="s">
        <v>582</v>
      </c>
      <c r="C64" s="489" t="s">
        <v>349</v>
      </c>
      <c r="D64" s="489" t="s">
        <v>579</v>
      </c>
      <c r="E64" s="489" t="s">
        <v>606</v>
      </c>
      <c r="F64" s="489" t="s">
        <v>617</v>
      </c>
      <c r="G64" s="489" t="s">
        <v>618</v>
      </c>
      <c r="H64" s="522">
        <v>3</v>
      </c>
      <c r="I64" s="522">
        <v>111</v>
      </c>
      <c r="J64" s="489"/>
      <c r="K64" s="489">
        <v>37</v>
      </c>
      <c r="L64" s="522"/>
      <c r="M64" s="522"/>
      <c r="N64" s="489"/>
      <c r="O64" s="489"/>
      <c r="P64" s="522"/>
      <c r="Q64" s="522"/>
      <c r="R64" s="494"/>
      <c r="S64" s="523"/>
    </row>
    <row r="65" spans="1:19" ht="14.45" customHeight="1" x14ac:dyDescent="0.2">
      <c r="A65" s="488" t="s">
        <v>581</v>
      </c>
      <c r="B65" s="489" t="s">
        <v>582</v>
      </c>
      <c r="C65" s="489" t="s">
        <v>349</v>
      </c>
      <c r="D65" s="489" t="s">
        <v>563</v>
      </c>
      <c r="E65" s="489" t="s">
        <v>606</v>
      </c>
      <c r="F65" s="489" t="s">
        <v>617</v>
      </c>
      <c r="G65" s="489" t="s">
        <v>618</v>
      </c>
      <c r="H65" s="522"/>
      <c r="I65" s="522"/>
      <c r="J65" s="489"/>
      <c r="K65" s="489"/>
      <c r="L65" s="522"/>
      <c r="M65" s="522"/>
      <c r="N65" s="489"/>
      <c r="O65" s="489"/>
      <c r="P65" s="522">
        <v>1</v>
      </c>
      <c r="Q65" s="522">
        <v>38</v>
      </c>
      <c r="R65" s="494"/>
      <c r="S65" s="523">
        <v>38</v>
      </c>
    </row>
    <row r="66" spans="1:19" ht="14.45" customHeight="1" x14ac:dyDescent="0.2">
      <c r="A66" s="488" t="s">
        <v>581</v>
      </c>
      <c r="B66" s="489" t="s">
        <v>582</v>
      </c>
      <c r="C66" s="489" t="s">
        <v>349</v>
      </c>
      <c r="D66" s="489" t="s">
        <v>575</v>
      </c>
      <c r="E66" s="489" t="s">
        <v>606</v>
      </c>
      <c r="F66" s="489" t="s">
        <v>617</v>
      </c>
      <c r="G66" s="489" t="s">
        <v>618</v>
      </c>
      <c r="H66" s="522"/>
      <c r="I66" s="522"/>
      <c r="J66" s="489"/>
      <c r="K66" s="489"/>
      <c r="L66" s="522">
        <v>4</v>
      </c>
      <c r="M66" s="522">
        <v>148</v>
      </c>
      <c r="N66" s="489">
        <v>1</v>
      </c>
      <c r="O66" s="489">
        <v>37</v>
      </c>
      <c r="P66" s="522">
        <v>1</v>
      </c>
      <c r="Q66" s="522">
        <v>38</v>
      </c>
      <c r="R66" s="494">
        <v>0.25675675675675674</v>
      </c>
      <c r="S66" s="523">
        <v>38</v>
      </c>
    </row>
    <row r="67" spans="1:19" ht="14.45" customHeight="1" thickBot="1" x14ac:dyDescent="0.25">
      <c r="A67" s="496" t="s">
        <v>581</v>
      </c>
      <c r="B67" s="497" t="s">
        <v>582</v>
      </c>
      <c r="C67" s="497" t="s">
        <v>349</v>
      </c>
      <c r="D67" s="497" t="s">
        <v>568</v>
      </c>
      <c r="E67" s="497" t="s">
        <v>606</v>
      </c>
      <c r="F67" s="497" t="s">
        <v>617</v>
      </c>
      <c r="G67" s="497" t="s">
        <v>618</v>
      </c>
      <c r="H67" s="511">
        <v>1</v>
      </c>
      <c r="I67" s="511">
        <v>37</v>
      </c>
      <c r="J67" s="497"/>
      <c r="K67" s="497">
        <v>37</v>
      </c>
      <c r="L67" s="511"/>
      <c r="M67" s="511"/>
      <c r="N67" s="497"/>
      <c r="O67" s="497"/>
      <c r="P67" s="511"/>
      <c r="Q67" s="511"/>
      <c r="R67" s="502"/>
      <c r="S67" s="512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B7CFF62-FAFF-4316-B7A3-3634C29D83A0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232" t="s">
        <v>235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124</v>
      </c>
      <c r="B3" s="221">
        <f>SUBTOTAL(9,B6:B1048576)</f>
        <v>5197.66</v>
      </c>
      <c r="C3" s="222">
        <f t="shared" ref="C3:R3" si="0">SUBTOTAL(9,C6:C1048576)</f>
        <v>20.292663973217977</v>
      </c>
      <c r="D3" s="222">
        <f t="shared" si="0"/>
        <v>4049.33</v>
      </c>
      <c r="E3" s="222">
        <f t="shared" si="0"/>
        <v>8</v>
      </c>
      <c r="F3" s="222">
        <f t="shared" si="0"/>
        <v>20000</v>
      </c>
      <c r="G3" s="225">
        <f>IF(D3&lt;&gt;0,F3/D3,"")</f>
        <v>4.9390886887460397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34"/>
      <c r="B5" s="535">
        <v>2015</v>
      </c>
      <c r="C5" s="536"/>
      <c r="D5" s="536">
        <v>2018</v>
      </c>
      <c r="E5" s="536"/>
      <c r="F5" s="536">
        <v>2019</v>
      </c>
      <c r="G5" s="572" t="s">
        <v>2</v>
      </c>
      <c r="H5" s="535">
        <v>2015</v>
      </c>
      <c r="I5" s="536"/>
      <c r="J5" s="536">
        <v>2018</v>
      </c>
      <c r="K5" s="536"/>
      <c r="L5" s="536">
        <v>2019</v>
      </c>
      <c r="M5" s="572" t="s">
        <v>2</v>
      </c>
      <c r="N5" s="535">
        <v>2015</v>
      </c>
      <c r="O5" s="536"/>
      <c r="P5" s="536">
        <v>2018</v>
      </c>
      <c r="Q5" s="536"/>
      <c r="R5" s="536">
        <v>2019</v>
      </c>
      <c r="S5" s="572" t="s">
        <v>2</v>
      </c>
    </row>
    <row r="6" spans="1:19" ht="14.45" customHeight="1" x14ac:dyDescent="0.2">
      <c r="A6" s="558" t="s">
        <v>632</v>
      </c>
      <c r="B6" s="552">
        <v>37</v>
      </c>
      <c r="C6" s="482">
        <v>6.7765567765567761E-2</v>
      </c>
      <c r="D6" s="552">
        <v>546</v>
      </c>
      <c r="E6" s="482">
        <v>1</v>
      </c>
      <c r="F6" s="552"/>
      <c r="G6" s="487"/>
      <c r="H6" s="552"/>
      <c r="I6" s="482"/>
      <c r="J6" s="552"/>
      <c r="K6" s="482"/>
      <c r="L6" s="552"/>
      <c r="M6" s="487"/>
      <c r="N6" s="552"/>
      <c r="O6" s="482"/>
      <c r="P6" s="552"/>
      <c r="Q6" s="482"/>
      <c r="R6" s="552"/>
      <c r="S6" s="122"/>
    </row>
    <row r="7" spans="1:19" ht="14.45" customHeight="1" x14ac:dyDescent="0.2">
      <c r="A7" s="559" t="s">
        <v>633</v>
      </c>
      <c r="B7" s="554">
        <v>2329.66</v>
      </c>
      <c r="C7" s="489">
        <v>2.144523303231983</v>
      </c>
      <c r="D7" s="554">
        <v>1086.33</v>
      </c>
      <c r="E7" s="489">
        <v>1</v>
      </c>
      <c r="F7" s="554">
        <v>8035</v>
      </c>
      <c r="G7" s="494">
        <v>7.3964633214584889</v>
      </c>
      <c r="H7" s="554"/>
      <c r="I7" s="489"/>
      <c r="J7" s="554"/>
      <c r="K7" s="489"/>
      <c r="L7" s="554"/>
      <c r="M7" s="494"/>
      <c r="N7" s="554"/>
      <c r="O7" s="489"/>
      <c r="P7" s="554"/>
      <c r="Q7" s="489"/>
      <c r="R7" s="554"/>
      <c r="S7" s="495"/>
    </row>
    <row r="8" spans="1:19" ht="14.45" customHeight="1" x14ac:dyDescent="0.2">
      <c r="A8" s="559" t="s">
        <v>634</v>
      </c>
      <c r="B8" s="554">
        <v>111</v>
      </c>
      <c r="C8" s="489">
        <v>0.19072164948453607</v>
      </c>
      <c r="D8" s="554">
        <v>582</v>
      </c>
      <c r="E8" s="489">
        <v>1</v>
      </c>
      <c r="F8" s="554">
        <v>512</v>
      </c>
      <c r="G8" s="494">
        <v>0.8797250859106529</v>
      </c>
      <c r="H8" s="554"/>
      <c r="I8" s="489"/>
      <c r="J8" s="554"/>
      <c r="K8" s="489"/>
      <c r="L8" s="554"/>
      <c r="M8" s="494"/>
      <c r="N8" s="554"/>
      <c r="O8" s="489"/>
      <c r="P8" s="554"/>
      <c r="Q8" s="489"/>
      <c r="R8" s="554"/>
      <c r="S8" s="495"/>
    </row>
    <row r="9" spans="1:19" ht="14.45" customHeight="1" x14ac:dyDescent="0.2">
      <c r="A9" s="559" t="s">
        <v>635</v>
      </c>
      <c r="B9" s="554">
        <v>581</v>
      </c>
      <c r="C9" s="489">
        <v>1.8741935483870968</v>
      </c>
      <c r="D9" s="554">
        <v>310</v>
      </c>
      <c r="E9" s="489">
        <v>1</v>
      </c>
      <c r="F9" s="554">
        <v>5883</v>
      </c>
      <c r="G9" s="494">
        <v>18.977419354838709</v>
      </c>
      <c r="H9" s="554"/>
      <c r="I9" s="489"/>
      <c r="J9" s="554"/>
      <c r="K9" s="489"/>
      <c r="L9" s="554"/>
      <c r="M9" s="494"/>
      <c r="N9" s="554"/>
      <c r="O9" s="489"/>
      <c r="P9" s="554"/>
      <c r="Q9" s="489"/>
      <c r="R9" s="554"/>
      <c r="S9" s="495"/>
    </row>
    <row r="10" spans="1:19" ht="14.45" customHeight="1" x14ac:dyDescent="0.2">
      <c r="A10" s="559" t="s">
        <v>636</v>
      </c>
      <c r="B10" s="554"/>
      <c r="C10" s="489"/>
      <c r="D10" s="554"/>
      <c r="E10" s="489"/>
      <c r="F10" s="554">
        <v>38</v>
      </c>
      <c r="G10" s="494"/>
      <c r="H10" s="554"/>
      <c r="I10" s="489"/>
      <c r="J10" s="554"/>
      <c r="K10" s="489"/>
      <c r="L10" s="554"/>
      <c r="M10" s="494"/>
      <c r="N10" s="554"/>
      <c r="O10" s="489"/>
      <c r="P10" s="554"/>
      <c r="Q10" s="489"/>
      <c r="R10" s="554"/>
      <c r="S10" s="495"/>
    </row>
    <row r="11" spans="1:19" ht="14.45" customHeight="1" x14ac:dyDescent="0.2">
      <c r="A11" s="559" t="s">
        <v>637</v>
      </c>
      <c r="B11" s="554"/>
      <c r="C11" s="489"/>
      <c r="D11" s="554">
        <v>236</v>
      </c>
      <c r="E11" s="489">
        <v>1</v>
      </c>
      <c r="F11" s="554">
        <v>190</v>
      </c>
      <c r="G11" s="494">
        <v>0.80508474576271183</v>
      </c>
      <c r="H11" s="554"/>
      <c r="I11" s="489"/>
      <c r="J11" s="554"/>
      <c r="K11" s="489"/>
      <c r="L11" s="554"/>
      <c r="M11" s="494"/>
      <c r="N11" s="554"/>
      <c r="O11" s="489"/>
      <c r="P11" s="554"/>
      <c r="Q11" s="489"/>
      <c r="R11" s="554"/>
      <c r="S11" s="495"/>
    </row>
    <row r="12" spans="1:19" ht="14.45" customHeight="1" x14ac:dyDescent="0.2">
      <c r="A12" s="559" t="s">
        <v>638</v>
      </c>
      <c r="B12" s="554">
        <v>1595</v>
      </c>
      <c r="C12" s="489">
        <v>1.3127572016460904</v>
      </c>
      <c r="D12" s="554">
        <v>1215</v>
      </c>
      <c r="E12" s="489">
        <v>1</v>
      </c>
      <c r="F12" s="554">
        <v>973</v>
      </c>
      <c r="G12" s="494">
        <v>0.80082304526748971</v>
      </c>
      <c r="H12" s="554"/>
      <c r="I12" s="489"/>
      <c r="J12" s="554"/>
      <c r="K12" s="489"/>
      <c r="L12" s="554"/>
      <c r="M12" s="494"/>
      <c r="N12" s="554"/>
      <c r="O12" s="489"/>
      <c r="P12" s="554"/>
      <c r="Q12" s="489"/>
      <c r="R12" s="554"/>
      <c r="S12" s="495"/>
    </row>
    <row r="13" spans="1:19" ht="14.45" customHeight="1" x14ac:dyDescent="0.2">
      <c r="A13" s="559" t="s">
        <v>639</v>
      </c>
      <c r="B13" s="554">
        <v>37</v>
      </c>
      <c r="C13" s="489">
        <v>1</v>
      </c>
      <c r="D13" s="554">
        <v>37</v>
      </c>
      <c r="E13" s="489">
        <v>1</v>
      </c>
      <c r="F13" s="554"/>
      <c r="G13" s="494"/>
      <c r="H13" s="554"/>
      <c r="I13" s="489"/>
      <c r="J13" s="554"/>
      <c r="K13" s="489"/>
      <c r="L13" s="554"/>
      <c r="M13" s="494"/>
      <c r="N13" s="554"/>
      <c r="O13" s="489"/>
      <c r="P13" s="554"/>
      <c r="Q13" s="489"/>
      <c r="R13" s="554"/>
      <c r="S13" s="495"/>
    </row>
    <row r="14" spans="1:19" ht="14.45" customHeight="1" x14ac:dyDescent="0.2">
      <c r="A14" s="559" t="s">
        <v>640</v>
      </c>
      <c r="B14" s="554">
        <v>507</v>
      </c>
      <c r="C14" s="489">
        <v>13.702702702702704</v>
      </c>
      <c r="D14" s="554">
        <v>37</v>
      </c>
      <c r="E14" s="489">
        <v>1</v>
      </c>
      <c r="F14" s="554">
        <v>3662</v>
      </c>
      <c r="G14" s="494">
        <v>98.972972972972968</v>
      </c>
      <c r="H14" s="554"/>
      <c r="I14" s="489"/>
      <c r="J14" s="554"/>
      <c r="K14" s="489"/>
      <c r="L14" s="554"/>
      <c r="M14" s="494"/>
      <c r="N14" s="554"/>
      <c r="O14" s="489"/>
      <c r="P14" s="554"/>
      <c r="Q14" s="489"/>
      <c r="R14" s="554"/>
      <c r="S14" s="495"/>
    </row>
    <row r="15" spans="1:19" ht="14.45" customHeight="1" thickBot="1" x14ac:dyDescent="0.25">
      <c r="A15" s="560" t="s">
        <v>641</v>
      </c>
      <c r="B15" s="556"/>
      <c r="C15" s="497"/>
      <c r="D15" s="556"/>
      <c r="E15" s="497"/>
      <c r="F15" s="556">
        <v>707</v>
      </c>
      <c r="G15" s="502"/>
      <c r="H15" s="556"/>
      <c r="I15" s="497"/>
      <c r="J15" s="556"/>
      <c r="K15" s="497"/>
      <c r="L15" s="556"/>
      <c r="M15" s="502"/>
      <c r="N15" s="556"/>
      <c r="O15" s="497"/>
      <c r="P15" s="556"/>
      <c r="Q15" s="497"/>
      <c r="R15" s="556"/>
      <c r="S15" s="50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B2CA736-1A3E-4084-B943-3352312DEE7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232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1345.3265339455604</v>
      </c>
      <c r="D4" s="160">
        <f ca="1">IF(ISERROR(VLOOKUP("Náklady celkem",INDIRECT("HI!$A:$G"),5,0)),0,VLOOKUP("Náklady celkem",INDIRECT("HI!$A:$G"),5,0))</f>
        <v>1332.1709200000003</v>
      </c>
      <c r="E4" s="161">
        <f ca="1">IF(C4=0,0,D4/C4)</f>
        <v>0.99022124843774728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7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0.82066717628572639</v>
      </c>
      <c r="E9" s="165">
        <f t="shared" si="0"/>
        <v>1.3677786271428773</v>
      </c>
    </row>
    <row r="10" spans="1:5" ht="14.45" customHeight="1" x14ac:dyDescent="0.25">
      <c r="A10" s="247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0.70777294721210693</v>
      </c>
      <c r="E10" s="165">
        <f t="shared" si="0"/>
        <v>0.88471618401513363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1247.1398867187499</v>
      </c>
      <c r="D13" s="168">
        <f>IF(ISERROR(HI!E6),"",HI!E6)</f>
        <v>1162.7547400000003</v>
      </c>
      <c r="E13" s="165">
        <f t="shared" si="0"/>
        <v>0.93233706369478031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1809.3363499999996</v>
      </c>
      <c r="D16" s="183">
        <f ca="1">IF(ISERROR(VLOOKUP("Výnosy celkem",INDIRECT("HI!$A:$G"),5,0)),0,VLOOKUP("Výnosy celkem",INDIRECT("HI!$A:$G"),5,0))</f>
        <v>3599.7683299999999</v>
      </c>
      <c r="E16" s="184">
        <f t="shared" ref="E16:E21" ca="1" si="1">IF(C16=0,0,D16/C16)</f>
        <v>1.9895517657620712</v>
      </c>
    </row>
    <row r="17" spans="1:5" ht="14.45" customHeight="1" x14ac:dyDescent="0.2">
      <c r="A17" s="185" t="str">
        <f>HYPERLINK("#HI!A1","Ambulance (body za výkony + Kč za ZUM a ZULP)")</f>
        <v>Ambulance (body za výkony + Kč za ZUM a ZULP)</v>
      </c>
      <c r="B17" s="163"/>
      <c r="C17" s="164">
        <f ca="1">IF(ISERROR(VLOOKUP("Ambulance *",INDIRECT("HI!$A:$G"),6,0)),0,VLOOKUP("Ambulance *",INDIRECT("HI!$A:$G"),6,0))</f>
        <v>1809.3363499999996</v>
      </c>
      <c r="D17" s="164">
        <f ca="1">IF(ISERROR(VLOOKUP("Ambulance *",INDIRECT("HI!$A:$G"),5,0)),0,VLOOKUP("Ambulance *",INDIRECT("HI!$A:$G"),5,0))</f>
        <v>3599.7683299999999</v>
      </c>
      <c r="E17" s="165">
        <f t="shared" ca="1" si="1"/>
        <v>1.9895517657620712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119</v>
      </c>
      <c r="C18" s="169">
        <v>1</v>
      </c>
      <c r="D18" s="169">
        <f>IF(ISERROR(VLOOKUP("Celkem:",'ZV Vykáz.-A'!$A:$AB,10,0)),"",VLOOKUP("Celkem:",'ZV Vykáz.-A'!$A:$AB,10,0))</f>
        <v>1.9895517657620712</v>
      </c>
      <c r="E18" s="165">
        <f t="shared" si="1"/>
        <v>1.9895517657620712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119</v>
      </c>
      <c r="C19" s="169">
        <v>1</v>
      </c>
      <c r="D19" s="246">
        <f>IF(ISERROR(VLOOKUP("Specializovaná ambulantní péče",'ZV Vykáz.-A'!$A:$AB,10,0)),"",VLOOKUP("Specializovaná ambulantní péče",'ZV Vykáz.-A'!$A:$AB,10,0))</f>
        <v>1.9895517657620712</v>
      </c>
      <c r="E19" s="165">
        <f t="shared" si="1"/>
        <v>1.9895517657620712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119</v>
      </c>
      <c r="C20" s="169">
        <v>1</v>
      </c>
      <c r="D20" s="246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6" t="str">
        <f>HYPERLINK("#'ZV Vykáz.-H'!A1","Zdravotní výkony vykázané u hospitalizovaných pacientů (max. 85 %)")</f>
        <v>Zdravotní výkony vykázané u hospitalizovaných pacientů (max. 85 %)</v>
      </c>
      <c r="B21" s="254" t="s">
        <v>121</v>
      </c>
      <c r="C21" s="169">
        <v>0.85</v>
      </c>
      <c r="D21" s="169">
        <f>IF(ISERROR(VLOOKUP("Celkem:",'ZV Vykáz.-H'!$A:$S,7,0)),"",VLOOKUP("Celkem:",'ZV Vykáz.-H'!$A:$S,7,0))</f>
        <v>4.9390886887460397</v>
      </c>
      <c r="E21" s="165">
        <f t="shared" si="1"/>
        <v>5.8106925749953406</v>
      </c>
    </row>
    <row r="22" spans="1:5" ht="14.45" customHeight="1" x14ac:dyDescent="0.2">
      <c r="A22" s="187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8" t="s">
        <v>147</v>
      </c>
      <c r="B23" s="174"/>
      <c r="C23" s="175"/>
      <c r="D23" s="175"/>
      <c r="E23" s="176"/>
    </row>
    <row r="24" spans="1:5" ht="14.45" customHeight="1" thickBot="1" x14ac:dyDescent="0.25">
      <c r="A24" s="189"/>
      <c r="B24" s="190"/>
      <c r="C24" s="191"/>
      <c r="D24" s="191"/>
      <c r="E24" s="192"/>
    </row>
    <row r="25" spans="1:5" ht="14.45" customHeight="1" thickBot="1" x14ac:dyDescent="0.25">
      <c r="A25" s="193" t="s">
        <v>148</v>
      </c>
      <c r="B25" s="194"/>
      <c r="C25" s="195"/>
      <c r="D25" s="195"/>
      <c r="E25" s="196"/>
    </row>
  </sheetData>
  <mergeCells count="1">
    <mergeCell ref="A1:E1"/>
  </mergeCells>
  <conditionalFormatting sqref="E5">
    <cfRule type="cellIs" dxfId="4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4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DD31C1F-D595-4B8D-A97C-E31EEBD02BA0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05" t="s">
        <v>654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232" t="s">
        <v>235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124</v>
      </c>
      <c r="F3" s="102">
        <f t="shared" ref="F3:O3" si="0">SUBTOTAL(9,F6:F1048576)</f>
        <v>30</v>
      </c>
      <c r="G3" s="103">
        <f t="shared" si="0"/>
        <v>5197.66</v>
      </c>
      <c r="H3" s="103"/>
      <c r="I3" s="103"/>
      <c r="J3" s="103">
        <f t="shared" si="0"/>
        <v>24</v>
      </c>
      <c r="K3" s="103">
        <f t="shared" si="0"/>
        <v>4049.33</v>
      </c>
      <c r="L3" s="103"/>
      <c r="M3" s="103"/>
      <c r="N3" s="103">
        <f t="shared" si="0"/>
        <v>33</v>
      </c>
      <c r="O3" s="103">
        <f t="shared" si="0"/>
        <v>20000</v>
      </c>
      <c r="P3" s="75">
        <f>IF(K3=0,0,O3/K3)</f>
        <v>4.9390886887460397</v>
      </c>
      <c r="Q3" s="104">
        <f>IF(N3=0,0,O3/N3)</f>
        <v>606.06060606060601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2015</v>
      </c>
      <c r="G4" s="424"/>
      <c r="H4" s="105"/>
      <c r="I4" s="105"/>
      <c r="J4" s="423">
        <v>2018</v>
      </c>
      <c r="K4" s="424"/>
      <c r="L4" s="105"/>
      <c r="M4" s="105"/>
      <c r="N4" s="423">
        <v>2019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63"/>
      <c r="B5" s="561"/>
      <c r="C5" s="563"/>
      <c r="D5" s="573"/>
      <c r="E5" s="565"/>
      <c r="F5" s="574" t="s">
        <v>70</v>
      </c>
      <c r="G5" s="575" t="s">
        <v>13</v>
      </c>
      <c r="H5" s="576"/>
      <c r="I5" s="576"/>
      <c r="J5" s="574" t="s">
        <v>70</v>
      </c>
      <c r="K5" s="575" t="s">
        <v>13</v>
      </c>
      <c r="L5" s="576"/>
      <c r="M5" s="576"/>
      <c r="N5" s="574" t="s">
        <v>70</v>
      </c>
      <c r="O5" s="575" t="s">
        <v>13</v>
      </c>
      <c r="P5" s="577"/>
      <c r="Q5" s="570"/>
    </row>
    <row r="6" spans="1:17" ht="14.45" customHeight="1" x14ac:dyDescent="0.2">
      <c r="A6" s="481" t="s">
        <v>642</v>
      </c>
      <c r="B6" s="482" t="s">
        <v>582</v>
      </c>
      <c r="C6" s="482" t="s">
        <v>606</v>
      </c>
      <c r="D6" s="482" t="s">
        <v>609</v>
      </c>
      <c r="E6" s="482" t="s">
        <v>610</v>
      </c>
      <c r="F6" s="116">
        <v>1</v>
      </c>
      <c r="G6" s="116">
        <v>37</v>
      </c>
      <c r="H6" s="116">
        <v>0.5</v>
      </c>
      <c r="I6" s="116">
        <v>37</v>
      </c>
      <c r="J6" s="116">
        <v>2</v>
      </c>
      <c r="K6" s="116">
        <v>74</v>
      </c>
      <c r="L6" s="116">
        <v>1</v>
      </c>
      <c r="M6" s="116">
        <v>37</v>
      </c>
      <c r="N6" s="116"/>
      <c r="O6" s="116"/>
      <c r="P6" s="487"/>
      <c r="Q6" s="510"/>
    </row>
    <row r="7" spans="1:17" ht="14.45" customHeight="1" x14ac:dyDescent="0.2">
      <c r="A7" s="488" t="s">
        <v>642</v>
      </c>
      <c r="B7" s="489" t="s">
        <v>582</v>
      </c>
      <c r="C7" s="489" t="s">
        <v>606</v>
      </c>
      <c r="D7" s="489" t="s">
        <v>621</v>
      </c>
      <c r="E7" s="489" t="s">
        <v>622</v>
      </c>
      <c r="F7" s="522"/>
      <c r="G7" s="522"/>
      <c r="H7" s="522"/>
      <c r="I7" s="522"/>
      <c r="J7" s="522">
        <v>2</v>
      </c>
      <c r="K7" s="522">
        <v>472</v>
      </c>
      <c r="L7" s="522">
        <v>1</v>
      </c>
      <c r="M7" s="522">
        <v>236</v>
      </c>
      <c r="N7" s="522"/>
      <c r="O7" s="522"/>
      <c r="P7" s="494"/>
      <c r="Q7" s="523"/>
    </row>
    <row r="8" spans="1:17" ht="14.45" customHeight="1" x14ac:dyDescent="0.2">
      <c r="A8" s="488" t="s">
        <v>643</v>
      </c>
      <c r="B8" s="489" t="s">
        <v>582</v>
      </c>
      <c r="C8" s="489" t="s">
        <v>606</v>
      </c>
      <c r="D8" s="489" t="s">
        <v>609</v>
      </c>
      <c r="E8" s="489" t="s">
        <v>610</v>
      </c>
      <c r="F8" s="522">
        <v>4</v>
      </c>
      <c r="G8" s="522">
        <v>148</v>
      </c>
      <c r="H8" s="522">
        <v>1.3333333333333333</v>
      </c>
      <c r="I8" s="522">
        <v>37</v>
      </c>
      <c r="J8" s="522">
        <v>3</v>
      </c>
      <c r="K8" s="522">
        <v>111</v>
      </c>
      <c r="L8" s="522">
        <v>1</v>
      </c>
      <c r="M8" s="522">
        <v>37</v>
      </c>
      <c r="N8" s="522">
        <v>4</v>
      </c>
      <c r="O8" s="522">
        <v>152</v>
      </c>
      <c r="P8" s="494">
        <v>1.3693693693693694</v>
      </c>
      <c r="Q8" s="523">
        <v>38</v>
      </c>
    </row>
    <row r="9" spans="1:17" ht="14.45" customHeight="1" x14ac:dyDescent="0.2">
      <c r="A9" s="488" t="s">
        <v>643</v>
      </c>
      <c r="B9" s="489" t="s">
        <v>582</v>
      </c>
      <c r="C9" s="489" t="s">
        <v>606</v>
      </c>
      <c r="D9" s="489" t="s">
        <v>613</v>
      </c>
      <c r="E9" s="489" t="s">
        <v>614</v>
      </c>
      <c r="F9" s="522">
        <v>4</v>
      </c>
      <c r="G9" s="522">
        <v>1880</v>
      </c>
      <c r="H9" s="522">
        <v>1.9957537154989384</v>
      </c>
      <c r="I9" s="522">
        <v>470</v>
      </c>
      <c r="J9" s="522">
        <v>2</v>
      </c>
      <c r="K9" s="522">
        <v>942</v>
      </c>
      <c r="L9" s="522">
        <v>1</v>
      </c>
      <c r="M9" s="522">
        <v>471</v>
      </c>
      <c r="N9" s="522">
        <v>1</v>
      </c>
      <c r="O9" s="522">
        <v>474</v>
      </c>
      <c r="P9" s="494">
        <v>0.50318471337579618</v>
      </c>
      <c r="Q9" s="523">
        <v>474</v>
      </c>
    </row>
    <row r="10" spans="1:17" ht="14.45" customHeight="1" x14ac:dyDescent="0.2">
      <c r="A10" s="488" t="s">
        <v>643</v>
      </c>
      <c r="B10" s="489" t="s">
        <v>582</v>
      </c>
      <c r="C10" s="489" t="s">
        <v>606</v>
      </c>
      <c r="D10" s="489" t="s">
        <v>615</v>
      </c>
      <c r="E10" s="489" t="s">
        <v>616</v>
      </c>
      <c r="F10" s="522">
        <v>2</v>
      </c>
      <c r="G10" s="522">
        <v>66.66</v>
      </c>
      <c r="H10" s="522">
        <v>2</v>
      </c>
      <c r="I10" s="522">
        <v>33.33</v>
      </c>
      <c r="J10" s="522">
        <v>1</v>
      </c>
      <c r="K10" s="522">
        <v>33.33</v>
      </c>
      <c r="L10" s="522">
        <v>1</v>
      </c>
      <c r="M10" s="522">
        <v>33.33</v>
      </c>
      <c r="N10" s="522"/>
      <c r="O10" s="522"/>
      <c r="P10" s="494"/>
      <c r="Q10" s="523"/>
    </row>
    <row r="11" spans="1:17" ht="14.45" customHeight="1" x14ac:dyDescent="0.2">
      <c r="A11" s="488" t="s">
        <v>643</v>
      </c>
      <c r="B11" s="489" t="s">
        <v>582</v>
      </c>
      <c r="C11" s="489" t="s">
        <v>606</v>
      </c>
      <c r="D11" s="489" t="s">
        <v>621</v>
      </c>
      <c r="E11" s="489" t="s">
        <v>622</v>
      </c>
      <c r="F11" s="522">
        <v>1</v>
      </c>
      <c r="G11" s="522">
        <v>235</v>
      </c>
      <c r="H11" s="522"/>
      <c r="I11" s="522">
        <v>235</v>
      </c>
      <c r="J11" s="522"/>
      <c r="K11" s="522"/>
      <c r="L11" s="522"/>
      <c r="M11" s="522"/>
      <c r="N11" s="522">
        <v>1</v>
      </c>
      <c r="O11" s="522">
        <v>237</v>
      </c>
      <c r="P11" s="494"/>
      <c r="Q11" s="523">
        <v>237</v>
      </c>
    </row>
    <row r="12" spans="1:17" ht="14.45" customHeight="1" x14ac:dyDescent="0.2">
      <c r="A12" s="488" t="s">
        <v>643</v>
      </c>
      <c r="B12" s="489" t="s">
        <v>582</v>
      </c>
      <c r="C12" s="489" t="s">
        <v>606</v>
      </c>
      <c r="D12" s="489" t="s">
        <v>627</v>
      </c>
      <c r="E12" s="489" t="s">
        <v>628</v>
      </c>
      <c r="F12" s="522"/>
      <c r="G12" s="522"/>
      <c r="H12" s="522"/>
      <c r="I12" s="522"/>
      <c r="J12" s="522"/>
      <c r="K12" s="522"/>
      <c r="L12" s="522"/>
      <c r="M12" s="522"/>
      <c r="N12" s="522">
        <v>2</v>
      </c>
      <c r="O12" s="522">
        <v>7172</v>
      </c>
      <c r="P12" s="494"/>
      <c r="Q12" s="523">
        <v>3586</v>
      </c>
    </row>
    <row r="13" spans="1:17" ht="14.45" customHeight="1" x14ac:dyDescent="0.2">
      <c r="A13" s="488" t="s">
        <v>644</v>
      </c>
      <c r="B13" s="489" t="s">
        <v>582</v>
      </c>
      <c r="C13" s="489" t="s">
        <v>606</v>
      </c>
      <c r="D13" s="489" t="s">
        <v>609</v>
      </c>
      <c r="E13" s="489" t="s">
        <v>610</v>
      </c>
      <c r="F13" s="522">
        <v>3</v>
      </c>
      <c r="G13" s="522">
        <v>111</v>
      </c>
      <c r="H13" s="522">
        <v>1</v>
      </c>
      <c r="I13" s="522">
        <v>37</v>
      </c>
      <c r="J13" s="522">
        <v>3</v>
      </c>
      <c r="K13" s="522">
        <v>111</v>
      </c>
      <c r="L13" s="522">
        <v>1</v>
      </c>
      <c r="M13" s="522">
        <v>37</v>
      </c>
      <c r="N13" s="522">
        <v>1</v>
      </c>
      <c r="O13" s="522">
        <v>38</v>
      </c>
      <c r="P13" s="494">
        <v>0.34234234234234234</v>
      </c>
      <c r="Q13" s="523">
        <v>38</v>
      </c>
    </row>
    <row r="14" spans="1:17" ht="14.45" customHeight="1" x14ac:dyDescent="0.2">
      <c r="A14" s="488" t="s">
        <v>644</v>
      </c>
      <c r="B14" s="489" t="s">
        <v>582</v>
      </c>
      <c r="C14" s="489" t="s">
        <v>606</v>
      </c>
      <c r="D14" s="489" t="s">
        <v>613</v>
      </c>
      <c r="E14" s="489" t="s">
        <v>614</v>
      </c>
      <c r="F14" s="522"/>
      <c r="G14" s="522"/>
      <c r="H14" s="522"/>
      <c r="I14" s="522"/>
      <c r="J14" s="522">
        <v>1</v>
      </c>
      <c r="K14" s="522">
        <v>471</v>
      </c>
      <c r="L14" s="522">
        <v>1</v>
      </c>
      <c r="M14" s="522">
        <v>471</v>
      </c>
      <c r="N14" s="522">
        <v>1</v>
      </c>
      <c r="O14" s="522">
        <v>474</v>
      </c>
      <c r="P14" s="494">
        <v>1.0063694267515924</v>
      </c>
      <c r="Q14" s="523">
        <v>474</v>
      </c>
    </row>
    <row r="15" spans="1:17" ht="14.45" customHeight="1" x14ac:dyDescent="0.2">
      <c r="A15" s="488" t="s">
        <v>645</v>
      </c>
      <c r="B15" s="489" t="s">
        <v>582</v>
      </c>
      <c r="C15" s="489" t="s">
        <v>606</v>
      </c>
      <c r="D15" s="489" t="s">
        <v>609</v>
      </c>
      <c r="E15" s="489" t="s">
        <v>610</v>
      </c>
      <c r="F15" s="522">
        <v>3</v>
      </c>
      <c r="G15" s="522">
        <v>111</v>
      </c>
      <c r="H15" s="522">
        <v>1.5</v>
      </c>
      <c r="I15" s="522">
        <v>37</v>
      </c>
      <c r="J15" s="522">
        <v>2</v>
      </c>
      <c r="K15" s="522">
        <v>74</v>
      </c>
      <c r="L15" s="522">
        <v>1</v>
      </c>
      <c r="M15" s="522">
        <v>37</v>
      </c>
      <c r="N15" s="522">
        <v>3</v>
      </c>
      <c r="O15" s="522">
        <v>114</v>
      </c>
      <c r="P15" s="494">
        <v>1.5405405405405406</v>
      </c>
      <c r="Q15" s="523">
        <v>38</v>
      </c>
    </row>
    <row r="16" spans="1:17" ht="14.45" customHeight="1" x14ac:dyDescent="0.2">
      <c r="A16" s="488" t="s">
        <v>645</v>
      </c>
      <c r="B16" s="489" t="s">
        <v>582</v>
      </c>
      <c r="C16" s="489" t="s">
        <v>606</v>
      </c>
      <c r="D16" s="489" t="s">
        <v>613</v>
      </c>
      <c r="E16" s="489" t="s">
        <v>614</v>
      </c>
      <c r="F16" s="522">
        <v>1</v>
      </c>
      <c r="G16" s="522">
        <v>470</v>
      </c>
      <c r="H16" s="522"/>
      <c r="I16" s="522">
        <v>470</v>
      </c>
      <c r="J16" s="522"/>
      <c r="K16" s="522"/>
      <c r="L16" s="522"/>
      <c r="M16" s="522"/>
      <c r="N16" s="522">
        <v>3</v>
      </c>
      <c r="O16" s="522">
        <v>1422</v>
      </c>
      <c r="P16" s="494"/>
      <c r="Q16" s="523">
        <v>474</v>
      </c>
    </row>
    <row r="17" spans="1:17" ht="14.45" customHeight="1" x14ac:dyDescent="0.2">
      <c r="A17" s="488" t="s">
        <v>645</v>
      </c>
      <c r="B17" s="489" t="s">
        <v>582</v>
      </c>
      <c r="C17" s="489" t="s">
        <v>606</v>
      </c>
      <c r="D17" s="489" t="s">
        <v>621</v>
      </c>
      <c r="E17" s="489" t="s">
        <v>622</v>
      </c>
      <c r="F17" s="522"/>
      <c r="G17" s="522"/>
      <c r="H17" s="522"/>
      <c r="I17" s="522"/>
      <c r="J17" s="522">
        <v>1</v>
      </c>
      <c r="K17" s="522">
        <v>236</v>
      </c>
      <c r="L17" s="522">
        <v>1</v>
      </c>
      <c r="M17" s="522">
        <v>236</v>
      </c>
      <c r="N17" s="522">
        <v>1</v>
      </c>
      <c r="O17" s="522">
        <v>237</v>
      </c>
      <c r="P17" s="494">
        <v>1.0042372881355932</v>
      </c>
      <c r="Q17" s="523">
        <v>237</v>
      </c>
    </row>
    <row r="18" spans="1:17" ht="14.45" customHeight="1" x14ac:dyDescent="0.2">
      <c r="A18" s="488" t="s">
        <v>645</v>
      </c>
      <c r="B18" s="489" t="s">
        <v>582</v>
      </c>
      <c r="C18" s="489" t="s">
        <v>606</v>
      </c>
      <c r="D18" s="489" t="s">
        <v>625</v>
      </c>
      <c r="E18" s="489" t="s">
        <v>626</v>
      </c>
      <c r="F18" s="522"/>
      <c r="G18" s="522"/>
      <c r="H18" s="522"/>
      <c r="I18" s="522"/>
      <c r="J18" s="522"/>
      <c r="K18" s="522"/>
      <c r="L18" s="522"/>
      <c r="M18" s="522"/>
      <c r="N18" s="522">
        <v>2</v>
      </c>
      <c r="O18" s="522">
        <v>524</v>
      </c>
      <c r="P18" s="494"/>
      <c r="Q18" s="523">
        <v>262</v>
      </c>
    </row>
    <row r="19" spans="1:17" ht="14.45" customHeight="1" x14ac:dyDescent="0.2">
      <c r="A19" s="488" t="s">
        <v>645</v>
      </c>
      <c r="B19" s="489" t="s">
        <v>582</v>
      </c>
      <c r="C19" s="489" t="s">
        <v>606</v>
      </c>
      <c r="D19" s="489" t="s">
        <v>627</v>
      </c>
      <c r="E19" s="489" t="s">
        <v>628</v>
      </c>
      <c r="F19" s="522"/>
      <c r="G19" s="522"/>
      <c r="H19" s="522"/>
      <c r="I19" s="522"/>
      <c r="J19" s="522"/>
      <c r="K19" s="522"/>
      <c r="L19" s="522"/>
      <c r="M19" s="522"/>
      <c r="N19" s="522">
        <v>1</v>
      </c>
      <c r="O19" s="522">
        <v>3586</v>
      </c>
      <c r="P19" s="494"/>
      <c r="Q19" s="523">
        <v>3586</v>
      </c>
    </row>
    <row r="20" spans="1:17" ht="14.45" customHeight="1" x14ac:dyDescent="0.2">
      <c r="A20" s="488" t="s">
        <v>646</v>
      </c>
      <c r="B20" s="489" t="s">
        <v>582</v>
      </c>
      <c r="C20" s="489" t="s">
        <v>606</v>
      </c>
      <c r="D20" s="489" t="s">
        <v>609</v>
      </c>
      <c r="E20" s="489" t="s">
        <v>610</v>
      </c>
      <c r="F20" s="522"/>
      <c r="G20" s="522"/>
      <c r="H20" s="522"/>
      <c r="I20" s="522"/>
      <c r="J20" s="522"/>
      <c r="K20" s="522"/>
      <c r="L20" s="522"/>
      <c r="M20" s="522"/>
      <c r="N20" s="522">
        <v>1</v>
      </c>
      <c r="O20" s="522">
        <v>38</v>
      </c>
      <c r="P20" s="494"/>
      <c r="Q20" s="523">
        <v>38</v>
      </c>
    </row>
    <row r="21" spans="1:17" ht="14.45" customHeight="1" x14ac:dyDescent="0.2">
      <c r="A21" s="488" t="s">
        <v>647</v>
      </c>
      <c r="B21" s="489" t="s">
        <v>582</v>
      </c>
      <c r="C21" s="489" t="s">
        <v>606</v>
      </c>
      <c r="D21" s="489" t="s">
        <v>609</v>
      </c>
      <c r="E21" s="489" t="s">
        <v>610</v>
      </c>
      <c r="F21" s="522"/>
      <c r="G21" s="522"/>
      <c r="H21" s="522"/>
      <c r="I21" s="522"/>
      <c r="J21" s="522"/>
      <c r="K21" s="522"/>
      <c r="L21" s="522"/>
      <c r="M21" s="522"/>
      <c r="N21" s="522">
        <v>5</v>
      </c>
      <c r="O21" s="522">
        <v>190</v>
      </c>
      <c r="P21" s="494"/>
      <c r="Q21" s="523">
        <v>38</v>
      </c>
    </row>
    <row r="22" spans="1:17" ht="14.45" customHeight="1" x14ac:dyDescent="0.2">
      <c r="A22" s="488" t="s">
        <v>647</v>
      </c>
      <c r="B22" s="489" t="s">
        <v>582</v>
      </c>
      <c r="C22" s="489" t="s">
        <v>606</v>
      </c>
      <c r="D22" s="489" t="s">
        <v>621</v>
      </c>
      <c r="E22" s="489" t="s">
        <v>622</v>
      </c>
      <c r="F22" s="522"/>
      <c r="G22" s="522"/>
      <c r="H22" s="522"/>
      <c r="I22" s="522"/>
      <c r="J22" s="522">
        <v>1</v>
      </c>
      <c r="K22" s="522">
        <v>236</v>
      </c>
      <c r="L22" s="522">
        <v>1</v>
      </c>
      <c r="M22" s="522">
        <v>236</v>
      </c>
      <c r="N22" s="522"/>
      <c r="O22" s="522"/>
      <c r="P22" s="494"/>
      <c r="Q22" s="523"/>
    </row>
    <row r="23" spans="1:17" ht="14.45" customHeight="1" x14ac:dyDescent="0.2">
      <c r="A23" s="488" t="s">
        <v>648</v>
      </c>
      <c r="B23" s="489" t="s">
        <v>582</v>
      </c>
      <c r="C23" s="489" t="s">
        <v>606</v>
      </c>
      <c r="D23" s="489" t="s">
        <v>609</v>
      </c>
      <c r="E23" s="489" t="s">
        <v>610</v>
      </c>
      <c r="F23" s="522">
        <v>5</v>
      </c>
      <c r="G23" s="522">
        <v>185</v>
      </c>
      <c r="H23" s="522">
        <v>5</v>
      </c>
      <c r="I23" s="522">
        <v>37</v>
      </c>
      <c r="J23" s="522">
        <v>1</v>
      </c>
      <c r="K23" s="522">
        <v>37</v>
      </c>
      <c r="L23" s="522">
        <v>1</v>
      </c>
      <c r="M23" s="522">
        <v>37</v>
      </c>
      <c r="N23" s="522"/>
      <c r="O23" s="522"/>
      <c r="P23" s="494"/>
      <c r="Q23" s="523"/>
    </row>
    <row r="24" spans="1:17" ht="14.45" customHeight="1" x14ac:dyDescent="0.2">
      <c r="A24" s="488" t="s">
        <v>648</v>
      </c>
      <c r="B24" s="489" t="s">
        <v>582</v>
      </c>
      <c r="C24" s="489" t="s">
        <v>606</v>
      </c>
      <c r="D24" s="489" t="s">
        <v>613</v>
      </c>
      <c r="E24" s="489" t="s">
        <v>614</v>
      </c>
      <c r="F24" s="522">
        <v>3</v>
      </c>
      <c r="G24" s="522">
        <v>1410</v>
      </c>
      <c r="H24" s="522">
        <v>1.4968152866242037</v>
      </c>
      <c r="I24" s="522">
        <v>470</v>
      </c>
      <c r="J24" s="522">
        <v>2</v>
      </c>
      <c r="K24" s="522">
        <v>942</v>
      </c>
      <c r="L24" s="522">
        <v>1</v>
      </c>
      <c r="M24" s="522">
        <v>471</v>
      </c>
      <c r="N24" s="522">
        <v>1</v>
      </c>
      <c r="O24" s="522">
        <v>474</v>
      </c>
      <c r="P24" s="494">
        <v>0.50318471337579618</v>
      </c>
      <c r="Q24" s="523">
        <v>474</v>
      </c>
    </row>
    <row r="25" spans="1:17" ht="14.45" customHeight="1" x14ac:dyDescent="0.2">
      <c r="A25" s="488" t="s">
        <v>648</v>
      </c>
      <c r="B25" s="489" t="s">
        <v>582</v>
      </c>
      <c r="C25" s="489" t="s">
        <v>606</v>
      </c>
      <c r="D25" s="489" t="s">
        <v>621</v>
      </c>
      <c r="E25" s="489" t="s">
        <v>622</v>
      </c>
      <c r="F25" s="522"/>
      <c r="G25" s="522"/>
      <c r="H25" s="522"/>
      <c r="I25" s="522"/>
      <c r="J25" s="522">
        <v>1</v>
      </c>
      <c r="K25" s="522">
        <v>236</v>
      </c>
      <c r="L25" s="522">
        <v>1</v>
      </c>
      <c r="M25" s="522">
        <v>236</v>
      </c>
      <c r="N25" s="522">
        <v>1</v>
      </c>
      <c r="O25" s="522">
        <v>237</v>
      </c>
      <c r="P25" s="494">
        <v>1.0042372881355932</v>
      </c>
      <c r="Q25" s="523">
        <v>237</v>
      </c>
    </row>
    <row r="26" spans="1:17" ht="14.45" customHeight="1" x14ac:dyDescent="0.2">
      <c r="A26" s="488" t="s">
        <v>648</v>
      </c>
      <c r="B26" s="489" t="s">
        <v>582</v>
      </c>
      <c r="C26" s="489" t="s">
        <v>606</v>
      </c>
      <c r="D26" s="489" t="s">
        <v>625</v>
      </c>
      <c r="E26" s="489" t="s">
        <v>626</v>
      </c>
      <c r="F26" s="522"/>
      <c r="G26" s="522"/>
      <c r="H26" s="522"/>
      <c r="I26" s="522"/>
      <c r="J26" s="522"/>
      <c r="K26" s="522"/>
      <c r="L26" s="522"/>
      <c r="M26" s="522"/>
      <c r="N26" s="522">
        <v>1</v>
      </c>
      <c r="O26" s="522">
        <v>262</v>
      </c>
      <c r="P26" s="494"/>
      <c r="Q26" s="523">
        <v>262</v>
      </c>
    </row>
    <row r="27" spans="1:17" ht="14.45" customHeight="1" x14ac:dyDescent="0.2">
      <c r="A27" s="488" t="s">
        <v>648</v>
      </c>
      <c r="B27" s="489" t="s">
        <v>582</v>
      </c>
      <c r="C27" s="489" t="s">
        <v>606</v>
      </c>
      <c r="D27" s="489" t="s">
        <v>627</v>
      </c>
      <c r="E27" s="489" t="s">
        <v>628</v>
      </c>
      <c r="F27" s="522"/>
      <c r="G27" s="522"/>
      <c r="H27" s="522"/>
      <c r="I27" s="522"/>
      <c r="J27" s="522"/>
      <c r="K27" s="522"/>
      <c r="L27" s="522"/>
      <c r="M27" s="522"/>
      <c r="N27" s="522">
        <v>0</v>
      </c>
      <c r="O27" s="522">
        <v>0</v>
      </c>
      <c r="P27" s="494"/>
      <c r="Q27" s="523"/>
    </row>
    <row r="28" spans="1:17" ht="14.45" customHeight="1" x14ac:dyDescent="0.2">
      <c r="A28" s="488" t="s">
        <v>649</v>
      </c>
      <c r="B28" s="489" t="s">
        <v>582</v>
      </c>
      <c r="C28" s="489" t="s">
        <v>606</v>
      </c>
      <c r="D28" s="489" t="s">
        <v>609</v>
      </c>
      <c r="E28" s="489" t="s">
        <v>610</v>
      </c>
      <c r="F28" s="522">
        <v>1</v>
      </c>
      <c r="G28" s="522">
        <v>37</v>
      </c>
      <c r="H28" s="522">
        <v>1</v>
      </c>
      <c r="I28" s="522">
        <v>37</v>
      </c>
      <c r="J28" s="522">
        <v>1</v>
      </c>
      <c r="K28" s="522">
        <v>37</v>
      </c>
      <c r="L28" s="522">
        <v>1</v>
      </c>
      <c r="M28" s="522">
        <v>37</v>
      </c>
      <c r="N28" s="522"/>
      <c r="O28" s="522"/>
      <c r="P28" s="494"/>
      <c r="Q28" s="523"/>
    </row>
    <row r="29" spans="1:17" ht="14.45" customHeight="1" x14ac:dyDescent="0.2">
      <c r="A29" s="488" t="s">
        <v>650</v>
      </c>
      <c r="B29" s="489" t="s">
        <v>582</v>
      </c>
      <c r="C29" s="489" t="s">
        <v>606</v>
      </c>
      <c r="D29" s="489" t="s">
        <v>609</v>
      </c>
      <c r="E29" s="489" t="s">
        <v>610</v>
      </c>
      <c r="F29" s="522">
        <v>1</v>
      </c>
      <c r="G29" s="522">
        <v>37</v>
      </c>
      <c r="H29" s="522">
        <v>1</v>
      </c>
      <c r="I29" s="522">
        <v>37</v>
      </c>
      <c r="J29" s="522">
        <v>1</v>
      </c>
      <c r="K29" s="522">
        <v>37</v>
      </c>
      <c r="L29" s="522">
        <v>1</v>
      </c>
      <c r="M29" s="522">
        <v>37</v>
      </c>
      <c r="N29" s="522">
        <v>2</v>
      </c>
      <c r="O29" s="522">
        <v>76</v>
      </c>
      <c r="P29" s="494">
        <v>2.0540540540540539</v>
      </c>
      <c r="Q29" s="523">
        <v>38</v>
      </c>
    </row>
    <row r="30" spans="1:17" ht="14.45" customHeight="1" x14ac:dyDescent="0.2">
      <c r="A30" s="488" t="s">
        <v>650</v>
      </c>
      <c r="B30" s="489" t="s">
        <v>582</v>
      </c>
      <c r="C30" s="489" t="s">
        <v>606</v>
      </c>
      <c r="D30" s="489" t="s">
        <v>613</v>
      </c>
      <c r="E30" s="489" t="s">
        <v>614</v>
      </c>
      <c r="F30" s="522">
        <v>1</v>
      </c>
      <c r="G30" s="522">
        <v>470</v>
      </c>
      <c r="H30" s="522"/>
      <c r="I30" s="522">
        <v>470</v>
      </c>
      <c r="J30" s="522"/>
      <c r="K30" s="522"/>
      <c r="L30" s="522"/>
      <c r="M30" s="522"/>
      <c r="N30" s="522"/>
      <c r="O30" s="522"/>
      <c r="P30" s="494"/>
      <c r="Q30" s="523"/>
    </row>
    <row r="31" spans="1:17" ht="14.45" customHeight="1" x14ac:dyDescent="0.2">
      <c r="A31" s="488" t="s">
        <v>650</v>
      </c>
      <c r="B31" s="489" t="s">
        <v>582</v>
      </c>
      <c r="C31" s="489" t="s">
        <v>606</v>
      </c>
      <c r="D31" s="489" t="s">
        <v>627</v>
      </c>
      <c r="E31" s="489" t="s">
        <v>628</v>
      </c>
      <c r="F31" s="522"/>
      <c r="G31" s="522"/>
      <c r="H31" s="522"/>
      <c r="I31" s="522"/>
      <c r="J31" s="522"/>
      <c r="K31" s="522"/>
      <c r="L31" s="522"/>
      <c r="M31" s="522"/>
      <c r="N31" s="522">
        <v>1</v>
      </c>
      <c r="O31" s="522">
        <v>3586</v>
      </c>
      <c r="P31" s="494"/>
      <c r="Q31" s="523">
        <v>3586</v>
      </c>
    </row>
    <row r="32" spans="1:17" ht="14.45" customHeight="1" thickBot="1" x14ac:dyDescent="0.25">
      <c r="A32" s="496" t="s">
        <v>651</v>
      </c>
      <c r="B32" s="497" t="s">
        <v>582</v>
      </c>
      <c r="C32" s="497" t="s">
        <v>606</v>
      </c>
      <c r="D32" s="497" t="s">
        <v>652</v>
      </c>
      <c r="E32" s="497" t="s">
        <v>653</v>
      </c>
      <c r="F32" s="511"/>
      <c r="G32" s="511"/>
      <c r="H32" s="511"/>
      <c r="I32" s="511"/>
      <c r="J32" s="511"/>
      <c r="K32" s="511"/>
      <c r="L32" s="511"/>
      <c r="M32" s="511"/>
      <c r="N32" s="511">
        <v>1</v>
      </c>
      <c r="O32" s="511">
        <v>707</v>
      </c>
      <c r="P32" s="502"/>
      <c r="Q32" s="512">
        <v>707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08B7217-034E-47CC-A650-A68198725A72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232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2015</v>
      </c>
      <c r="C3" s="40">
        <v>2018</v>
      </c>
      <c r="D3" s="7"/>
      <c r="E3" s="311">
        <v>2019</v>
      </c>
      <c r="F3" s="312"/>
      <c r="G3" s="312"/>
      <c r="H3" s="313"/>
      <c r="I3" s="314">
        <v>2017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7" t="s">
        <v>180</v>
      </c>
      <c r="J4" s="258" t="s">
        <v>181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857.68705</v>
      </c>
      <c r="C6" s="31">
        <v>917.53362000000004</v>
      </c>
      <c r="D6" s="8"/>
      <c r="E6" s="118">
        <v>1162.7547400000003</v>
      </c>
      <c r="F6" s="30">
        <v>1247.1398867187499</v>
      </c>
      <c r="G6" s="119">
        <f>E6-F6</f>
        <v>-84.385146718749638</v>
      </c>
      <c r="H6" s="123">
        <f>IF(F6&lt;0.00000001,"",E6/F6)</f>
        <v>0.93233706369478031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50.140720000000101</v>
      </c>
      <c r="C8" s="33">
        <v>56.897159999999872</v>
      </c>
      <c r="D8" s="8"/>
      <c r="E8" s="120">
        <v>169.41617999999994</v>
      </c>
      <c r="F8" s="32">
        <v>98.186647226810464</v>
      </c>
      <c r="G8" s="121">
        <f>E8-F8</f>
        <v>71.229532773189476</v>
      </c>
      <c r="H8" s="124">
        <f>IF(F8&lt;0.00000001,"",E8/F8)</f>
        <v>1.7254503008810329</v>
      </c>
    </row>
    <row r="9" spans="1:10" ht="14.45" customHeight="1" thickBot="1" x14ac:dyDescent="0.25">
      <c r="A9" s="2" t="s">
        <v>75</v>
      </c>
      <c r="B9" s="3">
        <v>907.8277700000001</v>
      </c>
      <c r="C9" s="35">
        <v>974.43077999999991</v>
      </c>
      <c r="D9" s="8"/>
      <c r="E9" s="3">
        <v>1332.1709200000003</v>
      </c>
      <c r="F9" s="34">
        <v>1345.3265339455604</v>
      </c>
      <c r="G9" s="34">
        <f>E9-F9</f>
        <v>-13.155613945560162</v>
      </c>
      <c r="H9" s="125">
        <f>IF(F9&lt;0.00000001,"",E9/F9)</f>
        <v>0.99022124843774728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1926.7309900000002</v>
      </c>
      <c r="C11" s="29">
        <f>IF(ISERROR(VLOOKUP("Celkem:",'ZV Vykáz.-A'!A:H,5,0)),0,VLOOKUP("Celkem:",'ZV Vykáz.-A'!A:H,5,0)/1000)</f>
        <v>1809.3363499999996</v>
      </c>
      <c r="D11" s="8"/>
      <c r="E11" s="117">
        <f>IF(ISERROR(VLOOKUP("Celkem:",'ZV Vykáz.-A'!A:H,8,0)),0,VLOOKUP("Celkem:",'ZV Vykáz.-A'!A:H,8,0)/1000)</f>
        <v>3599.7683299999999</v>
      </c>
      <c r="F11" s="28">
        <f>C11</f>
        <v>1809.3363499999996</v>
      </c>
      <c r="G11" s="116">
        <f>E11-F11</f>
        <v>1790.4319800000003</v>
      </c>
      <c r="H11" s="122">
        <f>IF(F11&lt;0.00000001,"",E11/F11)</f>
        <v>1.9895517657620712</v>
      </c>
      <c r="I11" s="116">
        <f>E11-B11</f>
        <v>1673.0373399999996</v>
      </c>
      <c r="J11" s="122">
        <f>IF(B11&lt;0.00000001,"",E11/B11)</f>
        <v>1.8683294910827171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1926.7309900000002</v>
      </c>
      <c r="C13" s="37">
        <f>SUM(C11:C12)</f>
        <v>1809.3363499999996</v>
      </c>
      <c r="D13" s="8"/>
      <c r="E13" s="5">
        <f>SUM(E11:E12)</f>
        <v>3599.7683299999999</v>
      </c>
      <c r="F13" s="36">
        <f>SUM(F11:F12)</f>
        <v>1809.3363499999996</v>
      </c>
      <c r="G13" s="36">
        <f>E13-F13</f>
        <v>1790.4319800000003</v>
      </c>
      <c r="H13" s="126">
        <f>IF(F13&lt;0.00000001,"",E13/F13)</f>
        <v>1.9895517657620712</v>
      </c>
      <c r="I13" s="36">
        <f>SUM(I11:I12)</f>
        <v>1673.0373399999996</v>
      </c>
      <c r="J13" s="126">
        <f>IF(B13&lt;0.00000001,"",E13/B13)</f>
        <v>1.8683294910827171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2.1223529987411598</v>
      </c>
      <c r="C15" s="39">
        <f>IF(C9=0,"",C13/C9)</f>
        <v>1.8568136261048729</v>
      </c>
      <c r="D15" s="8"/>
      <c r="E15" s="6">
        <f>IF(E9=0,"",E13/E9)</f>
        <v>2.7021820368215206</v>
      </c>
      <c r="F15" s="38">
        <f>IF(F9=0,"",F13/F9)</f>
        <v>1.344904976112822</v>
      </c>
      <c r="G15" s="38">
        <f>IF(ISERROR(F15-E15),"",E15-F15)</f>
        <v>1.3572770607086986</v>
      </c>
      <c r="H15" s="127">
        <f>IF(ISERROR(F15-E15),"",IF(F15&lt;0.00000001,"",E15/F15))</f>
        <v>2.0091992258305384</v>
      </c>
    </row>
    <row r="17" spans="1:8" ht="14.45" customHeight="1" x14ac:dyDescent="0.2">
      <c r="A17" s="113" t="s">
        <v>152</v>
      </c>
    </row>
    <row r="18" spans="1:8" ht="14.45" customHeight="1" x14ac:dyDescent="0.25">
      <c r="A18" s="235" t="s">
        <v>165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164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214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8" operator="greaterThan">
      <formula>0</formula>
    </cfRule>
  </conditionalFormatting>
  <conditionalFormatting sqref="G11:G13 G15">
    <cfRule type="cellIs" dxfId="40" priority="7" operator="lessThan">
      <formula>0</formula>
    </cfRule>
  </conditionalFormatting>
  <conditionalFormatting sqref="H5:H9">
    <cfRule type="cellIs" dxfId="39" priority="6" operator="greaterThan">
      <formula>1</formula>
    </cfRule>
  </conditionalFormatting>
  <conditionalFormatting sqref="H11:H13 H15">
    <cfRule type="cellIs" dxfId="38" priority="5" operator="lessThan">
      <formula>1</formula>
    </cfRule>
  </conditionalFormatting>
  <conditionalFormatting sqref="I11:I13">
    <cfRule type="cellIs" dxfId="37" priority="4" operator="lessThan">
      <formula>0</formula>
    </cfRule>
  </conditionalFormatting>
  <conditionalFormatting sqref="J11:J13">
    <cfRule type="cellIs" dxfId="36" priority="3" operator="lessThan">
      <formula>1</formula>
    </cfRule>
  </conditionalFormatting>
  <hyperlinks>
    <hyperlink ref="A2" location="Obsah!A1" display="Zpět na Obsah  KL 01  1.-4.měsíc" xr:uid="{398DA134-9D2A-4A71-8672-BF6F25D3249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232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5" customHeight="1" x14ac:dyDescent="0.2">
      <c r="A4" s="198" t="s">
        <v>79</v>
      </c>
      <c r="B4" s="201">
        <f>(B10+B8)/B6</f>
        <v>2.0071379523714543</v>
      </c>
      <c r="C4" s="201">
        <f t="shared" ref="C4:M4" si="0">(C10+C8)/C6</f>
        <v>1.9733703099370128</v>
      </c>
      <c r="D4" s="201">
        <f t="shared" si="0"/>
        <v>2.435407639476896</v>
      </c>
      <c r="E4" s="201">
        <f t="shared" si="0"/>
        <v>2.797791473292091</v>
      </c>
      <c r="F4" s="201">
        <f t="shared" si="0"/>
        <v>2.7202325714317559</v>
      </c>
      <c r="G4" s="201">
        <f t="shared" si="0"/>
        <v>2.6502939837972326</v>
      </c>
      <c r="H4" s="201">
        <f t="shared" si="0"/>
        <v>2.7857840793651278</v>
      </c>
      <c r="I4" s="201">
        <f t="shared" si="0"/>
        <v>2.8302217336775675</v>
      </c>
      <c r="J4" s="201">
        <f t="shared" si="0"/>
        <v>2.6805801570320167</v>
      </c>
      <c r="K4" s="201">
        <f t="shared" si="0"/>
        <v>2.7021819992888085</v>
      </c>
      <c r="L4" s="201">
        <f t="shared" si="0"/>
        <v>2.7021819992888085</v>
      </c>
      <c r="M4" s="201">
        <f t="shared" si="0"/>
        <v>2.7021819992888085</v>
      </c>
    </row>
    <row r="5" spans="1:13" ht="14.45" customHeight="1" x14ac:dyDescent="0.2">
      <c r="A5" s="202" t="s">
        <v>52</v>
      </c>
      <c r="B5" s="201">
        <f>IF(ISERROR(VLOOKUP($A5,'Man Tab'!$A:$Q,COLUMN()+2,0)),0,VLOOKUP($A5,'Man Tab'!$A:$Q,COLUMN()+2,0))</f>
        <v>160.83464000000001</v>
      </c>
      <c r="C5" s="201">
        <f>IF(ISERROR(VLOOKUP($A5,'Man Tab'!$A:$Q,COLUMN()+2,0)),0,VLOOKUP($A5,'Man Tab'!$A:$Q,COLUMN()+2,0))</f>
        <v>150.39278999999999</v>
      </c>
      <c r="D5" s="201">
        <f>IF(ISERROR(VLOOKUP($A5,'Man Tab'!$A:$Q,COLUMN()+2,0)),0,VLOOKUP($A5,'Man Tab'!$A:$Q,COLUMN()+2,0))</f>
        <v>82.160499999999004</v>
      </c>
      <c r="E5" s="201">
        <f>IF(ISERROR(VLOOKUP($A5,'Man Tab'!$A:$Q,COLUMN()+2,0)),0,VLOOKUP($A5,'Man Tab'!$A:$Q,COLUMN()+2,0))</f>
        <v>67.179739999999001</v>
      </c>
      <c r="F5" s="201">
        <f>IF(ISERROR(VLOOKUP($A5,'Man Tab'!$A:$Q,COLUMN()+2,0)),0,VLOOKUP($A5,'Man Tab'!$A:$Q,COLUMN()+2,0))</f>
        <v>144.08785</v>
      </c>
      <c r="G5" s="201">
        <f>IF(ISERROR(VLOOKUP($A5,'Man Tab'!$A:$Q,COLUMN()+2,0)),0,VLOOKUP($A5,'Man Tab'!$A:$Q,COLUMN()+2,0))</f>
        <v>158.359319999999</v>
      </c>
      <c r="H5" s="201">
        <f>IF(ISERROR(VLOOKUP($A5,'Man Tab'!$A:$Q,COLUMN()+2,0)),0,VLOOKUP($A5,'Man Tab'!$A:$Q,COLUMN()+2,0))</f>
        <v>99.763189999999994</v>
      </c>
      <c r="I5" s="201">
        <f>IF(ISERROR(VLOOKUP($A5,'Man Tab'!$A:$Q,COLUMN()+2,0)),0,VLOOKUP($A5,'Man Tab'!$A:$Q,COLUMN()+2,0))</f>
        <v>120.65985999999999</v>
      </c>
      <c r="J5" s="201">
        <f>IF(ISERROR(VLOOKUP($A5,'Man Tab'!$A:$Q,COLUMN()+2,0)),0,VLOOKUP($A5,'Man Tab'!$A:$Q,COLUMN()+2,0))</f>
        <v>197.45893999999899</v>
      </c>
      <c r="K5" s="201">
        <f>IF(ISERROR(VLOOKUP($A5,'Man Tab'!$A:$Q,COLUMN()+2,0)),0,VLOOKUP($A5,'Man Tab'!$A:$Q,COLUMN()+2,0))</f>
        <v>151.27409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75</v>
      </c>
      <c r="B6" s="203">
        <f>B5</f>
        <v>160.83464000000001</v>
      </c>
      <c r="C6" s="203">
        <f t="shared" ref="C6:M6" si="1">C5+B6</f>
        <v>311.22743000000003</v>
      </c>
      <c r="D6" s="203">
        <f t="shared" si="1"/>
        <v>393.38792999999902</v>
      </c>
      <c r="E6" s="203">
        <f t="shared" si="1"/>
        <v>460.56766999999803</v>
      </c>
      <c r="F6" s="203">
        <f t="shared" si="1"/>
        <v>604.65551999999798</v>
      </c>
      <c r="G6" s="203">
        <f t="shared" si="1"/>
        <v>763.01483999999698</v>
      </c>
      <c r="H6" s="203">
        <f t="shared" si="1"/>
        <v>862.77802999999699</v>
      </c>
      <c r="I6" s="203">
        <f t="shared" si="1"/>
        <v>983.43788999999697</v>
      </c>
      <c r="J6" s="203">
        <f t="shared" si="1"/>
        <v>1180.896829999996</v>
      </c>
      <c r="K6" s="203">
        <f t="shared" si="1"/>
        <v>1332.1709199999959</v>
      </c>
      <c r="L6" s="203">
        <f t="shared" si="1"/>
        <v>1332.1709199999959</v>
      </c>
      <c r="M6" s="203">
        <f t="shared" si="1"/>
        <v>1332.1709199999959</v>
      </c>
    </row>
    <row r="7" spans="1:13" ht="14.45" customHeight="1" x14ac:dyDescent="0.2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101</v>
      </c>
      <c r="B9" s="202">
        <v>322817.31</v>
      </c>
      <c r="C9" s="202">
        <v>291349.65999999997</v>
      </c>
      <c r="D9" s="202">
        <v>343893</v>
      </c>
      <c r="E9" s="202">
        <v>330512.33</v>
      </c>
      <c r="F9" s="202">
        <v>356231.33999999997</v>
      </c>
      <c r="G9" s="202">
        <v>377410</v>
      </c>
      <c r="H9" s="202">
        <v>381299.66000000003</v>
      </c>
      <c r="I9" s="202">
        <v>379833.99</v>
      </c>
      <c r="J9" s="202">
        <v>382141.31999999995</v>
      </c>
      <c r="K9" s="202">
        <v>434279.67000000004</v>
      </c>
      <c r="L9" s="202">
        <v>0</v>
      </c>
      <c r="M9" s="202">
        <v>0</v>
      </c>
    </row>
    <row r="10" spans="1:13" ht="14.45" customHeight="1" x14ac:dyDescent="0.2">
      <c r="A10" s="202" t="s">
        <v>77</v>
      </c>
      <c r="B10" s="203">
        <f>B9/1000</f>
        <v>322.81731000000002</v>
      </c>
      <c r="C10" s="203">
        <f t="shared" ref="C10:M10" si="3">C9/1000+B10</f>
        <v>614.16696999999999</v>
      </c>
      <c r="D10" s="203">
        <f t="shared" si="3"/>
        <v>958.05997000000002</v>
      </c>
      <c r="E10" s="203">
        <f t="shared" si="3"/>
        <v>1288.5723</v>
      </c>
      <c r="F10" s="203">
        <f t="shared" si="3"/>
        <v>1644.8036400000001</v>
      </c>
      <c r="G10" s="203">
        <f t="shared" si="3"/>
        <v>2022.2136400000002</v>
      </c>
      <c r="H10" s="203">
        <f t="shared" si="3"/>
        <v>2403.5133000000001</v>
      </c>
      <c r="I10" s="203">
        <f t="shared" si="3"/>
        <v>2783.3472900000002</v>
      </c>
      <c r="J10" s="203">
        <f t="shared" si="3"/>
        <v>3165.4886100000003</v>
      </c>
      <c r="K10" s="203">
        <f t="shared" si="3"/>
        <v>3599.7682800000002</v>
      </c>
      <c r="L10" s="203">
        <f t="shared" si="3"/>
        <v>3599.7682800000002</v>
      </c>
      <c r="M10" s="203">
        <f t="shared" si="3"/>
        <v>3599.7682800000002</v>
      </c>
    </row>
    <row r="11" spans="1:13" ht="14.45" customHeight="1" x14ac:dyDescent="0.2">
      <c r="A11" s="198"/>
      <c r="B11" s="198" t="s">
        <v>92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1.344904976112822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1.344904976112822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EB70DB7B-03C0-45FA-BBD6-E7FC8408BA1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4" customFormat="1" ht="14.45" customHeight="1" thickBot="1" x14ac:dyDescent="0.25">
      <c r="A2" s="232" t="s">
        <v>235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2019</v>
      </c>
      <c r="C4" s="138" t="s">
        <v>29</v>
      </c>
      <c r="D4" s="251" t="s">
        <v>215</v>
      </c>
      <c r="E4" s="251" t="s">
        <v>216</v>
      </c>
      <c r="F4" s="251" t="s">
        <v>217</v>
      </c>
      <c r="G4" s="251" t="s">
        <v>218</v>
      </c>
      <c r="H4" s="251" t="s">
        <v>219</v>
      </c>
      <c r="I4" s="251" t="s">
        <v>220</v>
      </c>
      <c r="J4" s="251" t="s">
        <v>221</v>
      </c>
      <c r="K4" s="251" t="s">
        <v>222</v>
      </c>
      <c r="L4" s="251" t="s">
        <v>223</v>
      </c>
      <c r="M4" s="251" t="s">
        <v>224</v>
      </c>
      <c r="N4" s="251" t="s">
        <v>225</v>
      </c>
      <c r="O4" s="251" t="s">
        <v>226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1496.5678446146301</v>
      </c>
      <c r="C9" s="52">
        <v>124.71398705121899</v>
      </c>
      <c r="D9" s="52">
        <v>152.79295999999999</v>
      </c>
      <c r="E9" s="52">
        <v>142.94559000000001</v>
      </c>
      <c r="F9" s="52">
        <v>74.926339999999001</v>
      </c>
      <c r="G9" s="52">
        <v>60.986199999999002</v>
      </c>
      <c r="H9" s="52">
        <v>126.97408</v>
      </c>
      <c r="I9" s="52">
        <v>140.73472999999899</v>
      </c>
      <c r="J9" s="52">
        <v>93.983649999999997</v>
      </c>
      <c r="K9" s="52">
        <v>113.79855999999999</v>
      </c>
      <c r="L9" s="52">
        <v>114.54801</v>
      </c>
      <c r="M9" s="52">
        <v>141.06461999999999</v>
      </c>
      <c r="N9" s="52">
        <v>0</v>
      </c>
      <c r="O9" s="52">
        <v>0</v>
      </c>
      <c r="P9" s="53">
        <v>1162.7547400000001</v>
      </c>
      <c r="Q9" s="95">
        <v>0.93233707581000003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3.7080399999989999</v>
      </c>
      <c r="M11" s="52">
        <v>3.5681699999999998</v>
      </c>
      <c r="N11" s="52">
        <v>0</v>
      </c>
      <c r="O11" s="52">
        <v>0</v>
      </c>
      <c r="P11" s="53">
        <v>7.2762099999989998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236</v>
      </c>
    </row>
    <row r="13" spans="1:17" ht="14.45" customHeight="1" x14ac:dyDescent="0.2">
      <c r="A13" s="15" t="s">
        <v>40</v>
      </c>
      <c r="B13" s="51">
        <v>20.286977570303002</v>
      </c>
      <c r="C13" s="52">
        <v>1.690581464191</v>
      </c>
      <c r="D13" s="52">
        <v>1.39768</v>
      </c>
      <c r="E13" s="52">
        <v>1.5484500000000001</v>
      </c>
      <c r="F13" s="52">
        <v>1.54416</v>
      </c>
      <c r="G13" s="52">
        <v>1.11524</v>
      </c>
      <c r="H13" s="52">
        <v>1.3726</v>
      </c>
      <c r="I13" s="52">
        <v>2.1269699999989999</v>
      </c>
      <c r="J13" s="52">
        <v>1.25654</v>
      </c>
      <c r="K13" s="52">
        <v>2.2873000000000001</v>
      </c>
      <c r="L13" s="52">
        <v>1.372679999999</v>
      </c>
      <c r="M13" s="52">
        <v>1.1153</v>
      </c>
      <c r="N13" s="52">
        <v>0</v>
      </c>
      <c r="O13" s="52">
        <v>0</v>
      </c>
      <c r="P13" s="53">
        <v>15.13692</v>
      </c>
      <c r="Q13" s="95">
        <v>0.89536767796200001</v>
      </c>
    </row>
    <row r="14" spans="1:17" ht="14.45" customHeight="1" x14ac:dyDescent="0.2">
      <c r="A14" s="15" t="s">
        <v>41</v>
      </c>
      <c r="B14" s="51">
        <v>33.104974979166997</v>
      </c>
      <c r="C14" s="52">
        <v>2.7587479149299998</v>
      </c>
      <c r="D14" s="52">
        <v>4.1109999999999998</v>
      </c>
      <c r="E14" s="52">
        <v>3.3660000000000001</v>
      </c>
      <c r="F14" s="52">
        <v>3.1569999999989999</v>
      </c>
      <c r="G14" s="52">
        <v>2.5449999999989998</v>
      </c>
      <c r="H14" s="52">
        <v>2.452</v>
      </c>
      <c r="I14" s="52">
        <v>2.107999999999</v>
      </c>
      <c r="J14" s="52">
        <v>1.99</v>
      </c>
      <c r="K14" s="52">
        <v>2.0409999999999999</v>
      </c>
      <c r="L14" s="52">
        <v>2.067999999999</v>
      </c>
      <c r="M14" s="52">
        <v>2.7450000000000001</v>
      </c>
      <c r="N14" s="52">
        <v>0</v>
      </c>
      <c r="O14" s="52">
        <v>0</v>
      </c>
      <c r="P14" s="53">
        <v>26.582999999999998</v>
      </c>
      <c r="Q14" s="95">
        <v>0.96358931006799997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26.318243354387</v>
      </c>
      <c r="C17" s="52">
        <v>2.1931869461979998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10.856120000000001</v>
      </c>
      <c r="J17" s="52">
        <v>0</v>
      </c>
      <c r="K17" s="52">
        <v>0</v>
      </c>
      <c r="L17" s="52">
        <v>0.629199999999</v>
      </c>
      <c r="M17" s="52">
        <v>0.248</v>
      </c>
      <c r="N17" s="52">
        <v>0</v>
      </c>
      <c r="O17" s="52">
        <v>0</v>
      </c>
      <c r="P17" s="53">
        <v>11.733320000000001</v>
      </c>
      <c r="Q17" s="95">
        <v>0.53498950558299996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8.1137781164489997</v>
      </c>
      <c r="C19" s="52">
        <v>0.67614817637000002</v>
      </c>
      <c r="D19" s="52">
        <v>0</v>
      </c>
      <c r="E19" s="52">
        <v>0</v>
      </c>
      <c r="F19" s="52">
        <v>0</v>
      </c>
      <c r="G19" s="52">
        <v>0</v>
      </c>
      <c r="H19" s="52">
        <v>10.756169999999999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10.756169999999999</v>
      </c>
      <c r="Q19" s="95">
        <v>1.590800711425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29.999999999999002</v>
      </c>
      <c r="C21" s="52">
        <v>2.4999999999989999</v>
      </c>
      <c r="D21" s="52">
        <v>2.5329999999999999</v>
      </c>
      <c r="E21" s="52">
        <v>2.5329999999999999</v>
      </c>
      <c r="F21" s="52">
        <v>2.5329999999989998</v>
      </c>
      <c r="G21" s="52">
        <v>2.5329999999989998</v>
      </c>
      <c r="H21" s="52">
        <v>2.5329999999999999</v>
      </c>
      <c r="I21" s="52">
        <v>2.5329999999989998</v>
      </c>
      <c r="J21" s="52">
        <v>2.5329999999999999</v>
      </c>
      <c r="K21" s="52">
        <v>2.5329999999999999</v>
      </c>
      <c r="L21" s="52">
        <v>2.5329999999989998</v>
      </c>
      <c r="M21" s="52">
        <v>2.5329999999999999</v>
      </c>
      <c r="N21" s="52">
        <v>0</v>
      </c>
      <c r="O21" s="52">
        <v>0</v>
      </c>
      <c r="P21" s="53">
        <v>25.33</v>
      </c>
      <c r="Q21" s="95">
        <v>1.0132000000000001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72.600009999999003</v>
      </c>
      <c r="M22" s="52">
        <v>0</v>
      </c>
      <c r="N22" s="52">
        <v>0</v>
      </c>
      <c r="O22" s="52">
        <v>0</v>
      </c>
      <c r="P22" s="53">
        <v>72.600009999999003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-2.8421709430404001E-14</v>
      </c>
      <c r="D24" s="52">
        <v>0</v>
      </c>
      <c r="E24" s="52">
        <v>-2.4999999900000001E-4</v>
      </c>
      <c r="F24" s="52">
        <v>0</v>
      </c>
      <c r="G24" s="52">
        <v>2.9999999899999998E-4</v>
      </c>
      <c r="H24" s="52">
        <v>0</v>
      </c>
      <c r="I24" s="52">
        <v>5.0000000000000001E-4</v>
      </c>
      <c r="J24" s="52">
        <v>1.4210854715202001E-14</v>
      </c>
      <c r="K24" s="52">
        <v>1.4210854715202001E-14</v>
      </c>
      <c r="L24" s="52">
        <v>0</v>
      </c>
      <c r="M24" s="52">
        <v>-5.6843418860808002E-14</v>
      </c>
      <c r="N24" s="52">
        <v>0</v>
      </c>
      <c r="O24" s="52">
        <v>0</v>
      </c>
      <c r="P24" s="53">
        <v>5.4999999900000004E-4</v>
      </c>
      <c r="Q24" s="95" t="s">
        <v>236</v>
      </c>
    </row>
    <row r="25" spans="1:17" ht="14.45" customHeight="1" x14ac:dyDescent="0.2">
      <c r="A25" s="17" t="s">
        <v>52</v>
      </c>
      <c r="B25" s="54">
        <v>1614.3918186349399</v>
      </c>
      <c r="C25" s="55">
        <v>134.532651552912</v>
      </c>
      <c r="D25" s="55">
        <v>160.83464000000001</v>
      </c>
      <c r="E25" s="55">
        <v>150.39278999999999</v>
      </c>
      <c r="F25" s="55">
        <v>82.160499999999004</v>
      </c>
      <c r="G25" s="55">
        <v>67.179739999999001</v>
      </c>
      <c r="H25" s="55">
        <v>144.08785</v>
      </c>
      <c r="I25" s="55">
        <v>158.359319999999</v>
      </c>
      <c r="J25" s="55">
        <v>99.763189999999994</v>
      </c>
      <c r="K25" s="55">
        <v>120.65985999999999</v>
      </c>
      <c r="L25" s="55">
        <v>197.45893999999899</v>
      </c>
      <c r="M25" s="55">
        <v>151.27409</v>
      </c>
      <c r="N25" s="55">
        <v>0</v>
      </c>
      <c r="O25" s="55">
        <v>0</v>
      </c>
      <c r="P25" s="56">
        <v>1332.17092</v>
      </c>
      <c r="Q25" s="96">
        <v>0.99022126199299998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 t="s">
        <v>236</v>
      </c>
    </row>
    <row r="27" spans="1:17" ht="14.45" customHeight="1" x14ac:dyDescent="0.2">
      <c r="A27" s="18" t="s">
        <v>54</v>
      </c>
      <c r="B27" s="54">
        <v>1614.3918186349399</v>
      </c>
      <c r="C27" s="55">
        <v>134.532651552912</v>
      </c>
      <c r="D27" s="55">
        <v>160.83464000000001</v>
      </c>
      <c r="E27" s="55">
        <v>150.39278999999999</v>
      </c>
      <c r="F27" s="55">
        <v>82.160499999999004</v>
      </c>
      <c r="G27" s="55">
        <v>67.179739999999001</v>
      </c>
      <c r="H27" s="55">
        <v>144.08785</v>
      </c>
      <c r="I27" s="55">
        <v>158.359319999999</v>
      </c>
      <c r="J27" s="55">
        <v>99.763189999999994</v>
      </c>
      <c r="K27" s="55">
        <v>120.65985999999999</v>
      </c>
      <c r="L27" s="55">
        <v>197.45893999999899</v>
      </c>
      <c r="M27" s="55">
        <v>151.27409</v>
      </c>
      <c r="N27" s="55">
        <v>0</v>
      </c>
      <c r="O27" s="55">
        <v>0</v>
      </c>
      <c r="P27" s="56">
        <v>1332.17092</v>
      </c>
      <c r="Q27" s="96">
        <v>0.99022126199299998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12.5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213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59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50E40F3-93FF-4EC6-BE3B-519FB8E8454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11" s="60" customFormat="1" ht="14.45" customHeight="1" thickBot="1" x14ac:dyDescent="0.25">
      <c r="A2" s="232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11" ht="14.45" customHeight="1" x14ac:dyDescent="0.2">
      <c r="A4" s="77"/>
      <c r="B4" s="323"/>
      <c r="C4" s="324"/>
      <c r="D4" s="324"/>
      <c r="E4" s="324"/>
      <c r="F4" s="327" t="s">
        <v>231</v>
      </c>
      <c r="G4" s="329" t="s">
        <v>63</v>
      </c>
      <c r="H4" s="140" t="s">
        <v>136</v>
      </c>
      <c r="I4" s="327" t="s">
        <v>64</v>
      </c>
      <c r="J4" s="329" t="s">
        <v>233</v>
      </c>
      <c r="K4" s="330" t="s">
        <v>234</v>
      </c>
    </row>
    <row r="5" spans="1:11" ht="39" thickBot="1" x14ac:dyDescent="0.25">
      <c r="A5" s="78"/>
      <c r="B5" s="24" t="s">
        <v>227</v>
      </c>
      <c r="C5" s="25" t="s">
        <v>228</v>
      </c>
      <c r="D5" s="26" t="s">
        <v>229</v>
      </c>
      <c r="E5" s="26" t="s">
        <v>230</v>
      </c>
      <c r="F5" s="328"/>
      <c r="G5" s="328"/>
      <c r="H5" s="25" t="s">
        <v>232</v>
      </c>
      <c r="I5" s="328"/>
      <c r="J5" s="328"/>
      <c r="K5" s="331"/>
    </row>
    <row r="6" spans="1:11" ht="14.45" customHeight="1" thickBot="1" x14ac:dyDescent="0.25">
      <c r="A6" s="445" t="s">
        <v>238</v>
      </c>
      <c r="B6" s="427">
        <v>1228.7020465456401</v>
      </c>
      <c r="C6" s="427">
        <v>1305.92004</v>
      </c>
      <c r="D6" s="428">
        <v>77.217993454362002</v>
      </c>
      <c r="E6" s="429">
        <v>1.0628451736290001</v>
      </c>
      <c r="F6" s="427">
        <v>1614.3918186349399</v>
      </c>
      <c r="G6" s="428">
        <v>1345.3265155291199</v>
      </c>
      <c r="H6" s="430">
        <v>151.27409</v>
      </c>
      <c r="I6" s="427">
        <v>1332.17092</v>
      </c>
      <c r="J6" s="428">
        <v>-13.155595529117999</v>
      </c>
      <c r="K6" s="431">
        <v>0.82518438499400004</v>
      </c>
    </row>
    <row r="7" spans="1:11" ht="14.45" customHeight="1" thickBot="1" x14ac:dyDescent="0.25">
      <c r="A7" s="446" t="s">
        <v>239</v>
      </c>
      <c r="B7" s="427">
        <v>1219.6855515377799</v>
      </c>
      <c r="C7" s="427">
        <v>1264.01567</v>
      </c>
      <c r="D7" s="428">
        <v>44.330118462224</v>
      </c>
      <c r="E7" s="429">
        <v>1.0363455305389999</v>
      </c>
      <c r="F7" s="427">
        <v>1549.9597971641001</v>
      </c>
      <c r="G7" s="428">
        <v>1291.63316430342</v>
      </c>
      <c r="H7" s="430">
        <v>148.49309</v>
      </c>
      <c r="I7" s="427">
        <v>1211.7514200000001</v>
      </c>
      <c r="J7" s="428">
        <v>-79.881744303420007</v>
      </c>
      <c r="K7" s="431">
        <v>0.781795387349</v>
      </c>
    </row>
    <row r="8" spans="1:11" ht="14.45" customHeight="1" thickBot="1" x14ac:dyDescent="0.25">
      <c r="A8" s="447" t="s">
        <v>240</v>
      </c>
      <c r="B8" s="427">
        <v>1191</v>
      </c>
      <c r="C8" s="427">
        <v>1235.9416699999999</v>
      </c>
      <c r="D8" s="428">
        <v>44.941670000000997</v>
      </c>
      <c r="E8" s="429">
        <v>1.0377343996640001</v>
      </c>
      <c r="F8" s="427">
        <v>1516.8548221849401</v>
      </c>
      <c r="G8" s="428">
        <v>1264.0456851541101</v>
      </c>
      <c r="H8" s="430">
        <v>145.74808999999999</v>
      </c>
      <c r="I8" s="427">
        <v>1185.16842</v>
      </c>
      <c r="J8" s="428">
        <v>-78.877265154113999</v>
      </c>
      <c r="K8" s="431">
        <v>0.78133279643200004</v>
      </c>
    </row>
    <row r="9" spans="1:11" ht="14.45" customHeight="1" thickBot="1" x14ac:dyDescent="0.25">
      <c r="A9" s="448" t="s">
        <v>241</v>
      </c>
      <c r="B9" s="432">
        <v>0</v>
      </c>
      <c r="C9" s="432">
        <v>1.9E-3</v>
      </c>
      <c r="D9" s="433">
        <v>1.9E-3</v>
      </c>
      <c r="E9" s="434" t="s">
        <v>236</v>
      </c>
      <c r="F9" s="432">
        <v>0</v>
      </c>
      <c r="G9" s="433">
        <v>0</v>
      </c>
      <c r="H9" s="435">
        <v>0</v>
      </c>
      <c r="I9" s="432">
        <v>5.4999999900000004E-4</v>
      </c>
      <c r="J9" s="433">
        <v>5.4999999900000004E-4</v>
      </c>
      <c r="K9" s="436" t="s">
        <v>236</v>
      </c>
    </row>
    <row r="10" spans="1:11" ht="14.45" customHeight="1" thickBot="1" x14ac:dyDescent="0.25">
      <c r="A10" s="449" t="s">
        <v>242</v>
      </c>
      <c r="B10" s="427">
        <v>0</v>
      </c>
      <c r="C10" s="427">
        <v>1.9E-3</v>
      </c>
      <c r="D10" s="428">
        <v>1.9E-3</v>
      </c>
      <c r="E10" s="437" t="s">
        <v>236</v>
      </c>
      <c r="F10" s="427">
        <v>0</v>
      </c>
      <c r="G10" s="428">
        <v>0</v>
      </c>
      <c r="H10" s="430">
        <v>0</v>
      </c>
      <c r="I10" s="427">
        <v>5.4999999900000004E-4</v>
      </c>
      <c r="J10" s="428">
        <v>5.4999999900000004E-4</v>
      </c>
      <c r="K10" s="438" t="s">
        <v>236</v>
      </c>
    </row>
    <row r="11" spans="1:11" ht="14.45" customHeight="1" thickBot="1" x14ac:dyDescent="0.25">
      <c r="A11" s="448" t="s">
        <v>243</v>
      </c>
      <c r="B11" s="432">
        <v>1186</v>
      </c>
      <c r="C11" s="432">
        <v>1223.1061199999999</v>
      </c>
      <c r="D11" s="433">
        <v>37.106120000000999</v>
      </c>
      <c r="E11" s="439">
        <v>1.0312867790889999</v>
      </c>
      <c r="F11" s="432">
        <v>1496.5678446146301</v>
      </c>
      <c r="G11" s="433">
        <v>1247.1398705121901</v>
      </c>
      <c r="H11" s="435">
        <v>141.06461999999999</v>
      </c>
      <c r="I11" s="432">
        <v>1162.7547400000001</v>
      </c>
      <c r="J11" s="433">
        <v>-84.385130512193996</v>
      </c>
      <c r="K11" s="440">
        <v>0.77694756317500002</v>
      </c>
    </row>
    <row r="12" spans="1:11" ht="14.45" customHeight="1" thickBot="1" x14ac:dyDescent="0.25">
      <c r="A12" s="449" t="s">
        <v>244</v>
      </c>
      <c r="B12" s="427">
        <v>130</v>
      </c>
      <c r="C12" s="427">
        <v>176.01545999999999</v>
      </c>
      <c r="D12" s="428">
        <v>46.015459999999997</v>
      </c>
      <c r="E12" s="429">
        <v>1.3539650769230001</v>
      </c>
      <c r="F12" s="427">
        <v>190.17106274489799</v>
      </c>
      <c r="G12" s="428">
        <v>158.47588562074799</v>
      </c>
      <c r="H12" s="430">
        <v>21.445260000000001</v>
      </c>
      <c r="I12" s="427">
        <v>147.93737999999999</v>
      </c>
      <c r="J12" s="428">
        <v>-10.538505620747999</v>
      </c>
      <c r="K12" s="431">
        <v>0.77791740691</v>
      </c>
    </row>
    <row r="13" spans="1:11" ht="14.45" customHeight="1" thickBot="1" x14ac:dyDescent="0.25">
      <c r="A13" s="449" t="s">
        <v>245</v>
      </c>
      <c r="B13" s="427">
        <v>530</v>
      </c>
      <c r="C13" s="427">
        <v>478.63194000000101</v>
      </c>
      <c r="D13" s="428">
        <v>-51.368059999998998</v>
      </c>
      <c r="E13" s="429">
        <v>0.90307913207500001</v>
      </c>
      <c r="F13" s="427">
        <v>606.31943006524602</v>
      </c>
      <c r="G13" s="428">
        <v>505.26619172103801</v>
      </c>
      <c r="H13" s="430">
        <v>73.306799999999996</v>
      </c>
      <c r="I13" s="427">
        <v>535.39711999999895</v>
      </c>
      <c r="J13" s="428">
        <v>30.130928278961001</v>
      </c>
      <c r="K13" s="431">
        <v>0.883028142347</v>
      </c>
    </row>
    <row r="14" spans="1:11" ht="14.45" customHeight="1" thickBot="1" x14ac:dyDescent="0.25">
      <c r="A14" s="449" t="s">
        <v>246</v>
      </c>
      <c r="B14" s="427">
        <v>280</v>
      </c>
      <c r="C14" s="427">
        <v>372.36425000000003</v>
      </c>
      <c r="D14" s="428">
        <v>92.364249999999998</v>
      </c>
      <c r="E14" s="429">
        <v>1.3298723214279999</v>
      </c>
      <c r="F14" s="427">
        <v>540.07479847201898</v>
      </c>
      <c r="G14" s="428">
        <v>450.06233206001599</v>
      </c>
      <c r="H14" s="430">
        <v>37.156939999999999</v>
      </c>
      <c r="I14" s="427">
        <v>399.53868999999997</v>
      </c>
      <c r="J14" s="428">
        <v>-50.523642060015</v>
      </c>
      <c r="K14" s="431">
        <v>0.73978399127299999</v>
      </c>
    </row>
    <row r="15" spans="1:11" ht="14.45" customHeight="1" thickBot="1" x14ac:dyDescent="0.25">
      <c r="A15" s="449" t="s">
        <v>247</v>
      </c>
      <c r="B15" s="427">
        <v>25</v>
      </c>
      <c r="C15" s="427">
        <v>23.436820000000001</v>
      </c>
      <c r="D15" s="428">
        <v>-1.5631799999989999</v>
      </c>
      <c r="E15" s="429">
        <v>0.9374728</v>
      </c>
      <c r="F15" s="427">
        <v>39.949074200997003</v>
      </c>
      <c r="G15" s="428">
        <v>33.290895167496998</v>
      </c>
      <c r="H15" s="430">
        <v>2.21272</v>
      </c>
      <c r="I15" s="427">
        <v>23.76605</v>
      </c>
      <c r="J15" s="428">
        <v>-9.5248451674970003</v>
      </c>
      <c r="K15" s="431">
        <v>0.59490865496400003</v>
      </c>
    </row>
    <row r="16" spans="1:11" ht="14.45" customHeight="1" thickBot="1" x14ac:dyDescent="0.25">
      <c r="A16" s="449" t="s">
        <v>248</v>
      </c>
      <c r="B16" s="427">
        <v>40</v>
      </c>
      <c r="C16" s="427">
        <v>55.316499999999998</v>
      </c>
      <c r="D16" s="428">
        <v>15.3165</v>
      </c>
      <c r="E16" s="429">
        <v>1.3829125</v>
      </c>
      <c r="F16" s="427">
        <v>90.053479131472997</v>
      </c>
      <c r="G16" s="428">
        <v>75.044565942893996</v>
      </c>
      <c r="H16" s="430">
        <v>6.9428999999999998</v>
      </c>
      <c r="I16" s="427">
        <v>56.115499999999997</v>
      </c>
      <c r="J16" s="428">
        <v>-18.929065942893999</v>
      </c>
      <c r="K16" s="431">
        <v>0.62313528073699997</v>
      </c>
    </row>
    <row r="17" spans="1:11" ht="14.45" customHeight="1" thickBot="1" x14ac:dyDescent="0.25">
      <c r="A17" s="449" t="s">
        <v>249</v>
      </c>
      <c r="B17" s="427">
        <v>67</v>
      </c>
      <c r="C17" s="427">
        <v>16.63777</v>
      </c>
      <c r="D17" s="428">
        <v>-50.362229999999997</v>
      </c>
      <c r="E17" s="429">
        <v>0.24832492537299999</v>
      </c>
      <c r="F17" s="427">
        <v>30</v>
      </c>
      <c r="G17" s="428">
        <v>25</v>
      </c>
      <c r="H17" s="430">
        <v>0</v>
      </c>
      <c r="I17" s="427">
        <v>0</v>
      </c>
      <c r="J17" s="428">
        <v>-25</v>
      </c>
      <c r="K17" s="431">
        <v>0</v>
      </c>
    </row>
    <row r="18" spans="1:11" ht="14.45" customHeight="1" thickBot="1" x14ac:dyDescent="0.25">
      <c r="A18" s="449" t="s">
        <v>250</v>
      </c>
      <c r="B18" s="427">
        <v>114</v>
      </c>
      <c r="C18" s="427">
        <v>100.70338</v>
      </c>
      <c r="D18" s="428">
        <v>-13.296619999999001</v>
      </c>
      <c r="E18" s="429">
        <v>0.88336298245599998</v>
      </c>
      <c r="F18" s="427">
        <v>0</v>
      </c>
      <c r="G18" s="428">
        <v>0</v>
      </c>
      <c r="H18" s="430">
        <v>0</v>
      </c>
      <c r="I18" s="427">
        <v>-6.8212102632969797E-16</v>
      </c>
      <c r="J18" s="428">
        <v>-6.8212102632969797E-16</v>
      </c>
      <c r="K18" s="438" t="s">
        <v>236</v>
      </c>
    </row>
    <row r="19" spans="1:11" ht="14.45" customHeight="1" thickBot="1" x14ac:dyDescent="0.25">
      <c r="A19" s="448" t="s">
        <v>251</v>
      </c>
      <c r="B19" s="432">
        <v>0</v>
      </c>
      <c r="C19" s="432">
        <v>0</v>
      </c>
      <c r="D19" s="433">
        <v>0</v>
      </c>
      <c r="E19" s="434" t="s">
        <v>236</v>
      </c>
      <c r="F19" s="432">
        <v>0</v>
      </c>
      <c r="G19" s="433">
        <v>0</v>
      </c>
      <c r="H19" s="435">
        <v>3.5681699999999998</v>
      </c>
      <c r="I19" s="432">
        <v>7.2762099999989998</v>
      </c>
      <c r="J19" s="433">
        <v>7.2762099999989998</v>
      </c>
      <c r="K19" s="436" t="s">
        <v>252</v>
      </c>
    </row>
    <row r="20" spans="1:11" ht="14.45" customHeight="1" thickBot="1" x14ac:dyDescent="0.25">
      <c r="A20" s="449" t="s">
        <v>253</v>
      </c>
      <c r="B20" s="427">
        <v>0</v>
      </c>
      <c r="C20" s="427">
        <v>0</v>
      </c>
      <c r="D20" s="428">
        <v>0</v>
      </c>
      <c r="E20" s="437" t="s">
        <v>236</v>
      </c>
      <c r="F20" s="427">
        <v>0</v>
      </c>
      <c r="G20" s="428">
        <v>0</v>
      </c>
      <c r="H20" s="430">
        <v>3.5681699999999998</v>
      </c>
      <c r="I20" s="427">
        <v>7.2762099999989998</v>
      </c>
      <c r="J20" s="428">
        <v>7.2762099999989998</v>
      </c>
      <c r="K20" s="438" t="s">
        <v>252</v>
      </c>
    </row>
    <row r="21" spans="1:11" ht="14.45" customHeight="1" thickBot="1" x14ac:dyDescent="0.25">
      <c r="A21" s="448" t="s">
        <v>254</v>
      </c>
      <c r="B21" s="432">
        <v>5</v>
      </c>
      <c r="C21" s="432">
        <v>12.83365</v>
      </c>
      <c r="D21" s="433">
        <v>7.8336499999999996</v>
      </c>
      <c r="E21" s="439">
        <v>2.5667300000000002</v>
      </c>
      <c r="F21" s="432">
        <v>20.286977570303002</v>
      </c>
      <c r="G21" s="433">
        <v>16.905814641919001</v>
      </c>
      <c r="H21" s="435">
        <v>1.1153</v>
      </c>
      <c r="I21" s="432">
        <v>15.13692</v>
      </c>
      <c r="J21" s="433">
        <v>-1.7688946419189999</v>
      </c>
      <c r="K21" s="440">
        <v>0.74613973163500003</v>
      </c>
    </row>
    <row r="22" spans="1:11" ht="14.45" customHeight="1" thickBot="1" x14ac:dyDescent="0.25">
      <c r="A22" s="449" t="s">
        <v>255</v>
      </c>
      <c r="B22" s="427">
        <v>0</v>
      </c>
      <c r="C22" s="427">
        <v>1.66316</v>
      </c>
      <c r="D22" s="428">
        <v>1.66316</v>
      </c>
      <c r="E22" s="437" t="s">
        <v>236</v>
      </c>
      <c r="F22" s="427">
        <v>2</v>
      </c>
      <c r="G22" s="428">
        <v>1.6666666666659999</v>
      </c>
      <c r="H22" s="430">
        <v>0</v>
      </c>
      <c r="I22" s="427">
        <v>0.33263999999999999</v>
      </c>
      <c r="J22" s="428">
        <v>-1.3340266666659999</v>
      </c>
      <c r="K22" s="431">
        <v>0.16632</v>
      </c>
    </row>
    <row r="23" spans="1:11" ht="14.45" customHeight="1" thickBot="1" x14ac:dyDescent="0.25">
      <c r="A23" s="449" t="s">
        <v>256</v>
      </c>
      <c r="B23" s="427">
        <v>5</v>
      </c>
      <c r="C23" s="427">
        <v>11.170489999999999</v>
      </c>
      <c r="D23" s="428">
        <v>6.17049</v>
      </c>
      <c r="E23" s="429">
        <v>2.2340979999999999</v>
      </c>
      <c r="F23" s="427">
        <v>18.286977570303002</v>
      </c>
      <c r="G23" s="428">
        <v>15.239147975252999</v>
      </c>
      <c r="H23" s="430">
        <v>1.1153</v>
      </c>
      <c r="I23" s="427">
        <v>14.80428</v>
      </c>
      <c r="J23" s="428">
        <v>-0.43486797525300003</v>
      </c>
      <c r="K23" s="431">
        <v>0.809553133812</v>
      </c>
    </row>
    <row r="24" spans="1:11" ht="14.45" customHeight="1" thickBot="1" x14ac:dyDescent="0.25">
      <c r="A24" s="447" t="s">
        <v>41</v>
      </c>
      <c r="B24" s="427">
        <v>28.685551537776998</v>
      </c>
      <c r="C24" s="427">
        <v>28.074000000000002</v>
      </c>
      <c r="D24" s="428">
        <v>-0.611551537777</v>
      </c>
      <c r="E24" s="429">
        <v>0.97868085133399996</v>
      </c>
      <c r="F24" s="427">
        <v>33.104974979166997</v>
      </c>
      <c r="G24" s="428">
        <v>27.587479149305999</v>
      </c>
      <c r="H24" s="430">
        <v>2.7450000000000001</v>
      </c>
      <c r="I24" s="427">
        <v>26.582999999999998</v>
      </c>
      <c r="J24" s="428">
        <v>-1.0044791493059999</v>
      </c>
      <c r="K24" s="431">
        <v>0.80299109172299998</v>
      </c>
    </row>
    <row r="25" spans="1:11" ht="14.45" customHeight="1" thickBot="1" x14ac:dyDescent="0.25">
      <c r="A25" s="448" t="s">
        <v>257</v>
      </c>
      <c r="B25" s="432">
        <v>28.685551537776998</v>
      </c>
      <c r="C25" s="432">
        <v>28.074000000000002</v>
      </c>
      <c r="D25" s="433">
        <v>-0.611551537777</v>
      </c>
      <c r="E25" s="439">
        <v>0.97868085133399996</v>
      </c>
      <c r="F25" s="432">
        <v>33.104974979166997</v>
      </c>
      <c r="G25" s="433">
        <v>27.587479149305999</v>
      </c>
      <c r="H25" s="435">
        <v>2.7450000000000001</v>
      </c>
      <c r="I25" s="432">
        <v>26.582999999999998</v>
      </c>
      <c r="J25" s="433">
        <v>-1.0044791493059999</v>
      </c>
      <c r="K25" s="440">
        <v>0.80299109172299998</v>
      </c>
    </row>
    <row r="26" spans="1:11" ht="14.45" customHeight="1" thickBot="1" x14ac:dyDescent="0.25">
      <c r="A26" s="449" t="s">
        <v>258</v>
      </c>
      <c r="B26" s="427">
        <v>10.553278101941</v>
      </c>
      <c r="C26" s="427">
        <v>10.997999999999999</v>
      </c>
      <c r="D26" s="428">
        <v>0.444721898058</v>
      </c>
      <c r="E26" s="429">
        <v>1.0421406404489999</v>
      </c>
      <c r="F26" s="427">
        <v>14.39904891236</v>
      </c>
      <c r="G26" s="428">
        <v>11.999207426967001</v>
      </c>
      <c r="H26" s="430">
        <v>1.2889999999999999</v>
      </c>
      <c r="I26" s="427">
        <v>12.791</v>
      </c>
      <c r="J26" s="428">
        <v>0.79179257303200001</v>
      </c>
      <c r="K26" s="431">
        <v>0.88832256059699999</v>
      </c>
    </row>
    <row r="27" spans="1:11" ht="14.45" customHeight="1" thickBot="1" x14ac:dyDescent="0.25">
      <c r="A27" s="449" t="s">
        <v>259</v>
      </c>
      <c r="B27" s="427">
        <v>18.132273435836002</v>
      </c>
      <c r="C27" s="427">
        <v>17.076000000000001</v>
      </c>
      <c r="D27" s="428">
        <v>-1.056273435836</v>
      </c>
      <c r="E27" s="429">
        <v>0.94174622175300005</v>
      </c>
      <c r="F27" s="427">
        <v>18.705926066806001</v>
      </c>
      <c r="G27" s="428">
        <v>15.588271722338</v>
      </c>
      <c r="H27" s="430">
        <v>1.456</v>
      </c>
      <c r="I27" s="427">
        <v>13.792</v>
      </c>
      <c r="J27" s="428">
        <v>-1.796271722338</v>
      </c>
      <c r="K27" s="431">
        <v>0.73730645308499998</v>
      </c>
    </row>
    <row r="28" spans="1:11" ht="14.45" customHeight="1" thickBot="1" x14ac:dyDescent="0.25">
      <c r="A28" s="450" t="s">
        <v>260</v>
      </c>
      <c r="B28" s="432">
        <v>9.0164950078609998</v>
      </c>
      <c r="C28" s="432">
        <v>29.900369999999999</v>
      </c>
      <c r="D28" s="433">
        <v>20.883874992138001</v>
      </c>
      <c r="E28" s="439">
        <v>3.316185499346</v>
      </c>
      <c r="F28" s="432">
        <v>34.432021470837</v>
      </c>
      <c r="G28" s="433">
        <v>28.693351225697</v>
      </c>
      <c r="H28" s="435">
        <v>0.248</v>
      </c>
      <c r="I28" s="432">
        <v>22.48949</v>
      </c>
      <c r="J28" s="433">
        <v>-6.2038612256969996</v>
      </c>
      <c r="K28" s="440">
        <v>0.65315624930799998</v>
      </c>
    </row>
    <row r="29" spans="1:11" ht="14.45" customHeight="1" thickBot="1" x14ac:dyDescent="0.25">
      <c r="A29" s="447" t="s">
        <v>44</v>
      </c>
      <c r="B29" s="427">
        <v>2.1743096319649999</v>
      </c>
      <c r="C29" s="427">
        <v>21.746939999999999</v>
      </c>
      <c r="D29" s="428">
        <v>19.572630368034002</v>
      </c>
      <c r="E29" s="429">
        <v>10.001767770463999</v>
      </c>
      <c r="F29" s="427">
        <v>26.318243354387</v>
      </c>
      <c r="G29" s="428">
        <v>21.931869461988999</v>
      </c>
      <c r="H29" s="430">
        <v>0.248</v>
      </c>
      <c r="I29" s="427">
        <v>11.733320000000001</v>
      </c>
      <c r="J29" s="428">
        <v>-10.198549461989</v>
      </c>
      <c r="K29" s="431">
        <v>0.445824587986</v>
      </c>
    </row>
    <row r="30" spans="1:11" ht="14.45" customHeight="1" thickBot="1" x14ac:dyDescent="0.25">
      <c r="A30" s="451" t="s">
        <v>261</v>
      </c>
      <c r="B30" s="427">
        <v>2.1743096319649999</v>
      </c>
      <c r="C30" s="427">
        <v>21.746939999999999</v>
      </c>
      <c r="D30" s="428">
        <v>19.572630368034002</v>
      </c>
      <c r="E30" s="429">
        <v>10.001767770463999</v>
      </c>
      <c r="F30" s="427">
        <v>26.318243354387</v>
      </c>
      <c r="G30" s="428">
        <v>21.931869461988999</v>
      </c>
      <c r="H30" s="430">
        <v>0.248</v>
      </c>
      <c r="I30" s="427">
        <v>11.733320000000001</v>
      </c>
      <c r="J30" s="428">
        <v>-10.198549461989</v>
      </c>
      <c r="K30" s="431">
        <v>0.445824587986</v>
      </c>
    </row>
    <row r="31" spans="1:11" ht="14.45" customHeight="1" thickBot="1" x14ac:dyDescent="0.25">
      <c r="A31" s="449" t="s">
        <v>262</v>
      </c>
      <c r="B31" s="427">
        <v>2.1743096319649999</v>
      </c>
      <c r="C31" s="427">
        <v>21.589939999999999</v>
      </c>
      <c r="D31" s="428">
        <v>19.415630368034002</v>
      </c>
      <c r="E31" s="429">
        <v>9.9295609432060008</v>
      </c>
      <c r="F31" s="427">
        <v>25.881809556375998</v>
      </c>
      <c r="G31" s="428">
        <v>21.568174630312999</v>
      </c>
      <c r="H31" s="430">
        <v>0</v>
      </c>
      <c r="I31" s="427">
        <v>11.48532</v>
      </c>
      <c r="J31" s="428">
        <v>-10.082854630312999</v>
      </c>
      <c r="K31" s="431">
        <v>0.44376031648699998</v>
      </c>
    </row>
    <row r="32" spans="1:11" ht="14.45" customHeight="1" thickBot="1" x14ac:dyDescent="0.25">
      <c r="A32" s="449" t="s">
        <v>263</v>
      </c>
      <c r="B32" s="427">
        <v>0</v>
      </c>
      <c r="C32" s="427">
        <v>0.157</v>
      </c>
      <c r="D32" s="428">
        <v>0.157</v>
      </c>
      <c r="E32" s="437" t="s">
        <v>252</v>
      </c>
      <c r="F32" s="427">
        <v>8.0302356969999995E-3</v>
      </c>
      <c r="G32" s="428">
        <v>6.6918630810000003E-3</v>
      </c>
      <c r="H32" s="430">
        <v>0.248</v>
      </c>
      <c r="I32" s="427">
        <v>0.248</v>
      </c>
      <c r="J32" s="428">
        <v>0.24130813691799999</v>
      </c>
      <c r="K32" s="431">
        <v>30.88327781764</v>
      </c>
    </row>
    <row r="33" spans="1:11" ht="14.45" customHeight="1" thickBot="1" x14ac:dyDescent="0.25">
      <c r="A33" s="449" t="s">
        <v>264</v>
      </c>
      <c r="B33" s="427">
        <v>0</v>
      </c>
      <c r="C33" s="427">
        <v>0</v>
      </c>
      <c r="D33" s="428">
        <v>0</v>
      </c>
      <c r="E33" s="429">
        <v>1</v>
      </c>
      <c r="F33" s="427">
        <v>0.27028123294900003</v>
      </c>
      <c r="G33" s="428">
        <v>0.22523436079100001</v>
      </c>
      <c r="H33" s="430">
        <v>0</v>
      </c>
      <c r="I33" s="427">
        <v>0</v>
      </c>
      <c r="J33" s="428">
        <v>-0.22523436079100001</v>
      </c>
      <c r="K33" s="431">
        <v>0</v>
      </c>
    </row>
    <row r="34" spans="1:11" ht="14.45" customHeight="1" thickBot="1" x14ac:dyDescent="0.25">
      <c r="A34" s="449" t="s">
        <v>265</v>
      </c>
      <c r="B34" s="427">
        <v>0</v>
      </c>
      <c r="C34" s="427">
        <v>0</v>
      </c>
      <c r="D34" s="428">
        <v>0</v>
      </c>
      <c r="E34" s="429">
        <v>1</v>
      </c>
      <c r="F34" s="427">
        <v>0.11939849360099999</v>
      </c>
      <c r="G34" s="428">
        <v>9.9498744666999997E-2</v>
      </c>
      <c r="H34" s="430">
        <v>0</v>
      </c>
      <c r="I34" s="427">
        <v>0</v>
      </c>
      <c r="J34" s="428">
        <v>-9.9498744666999997E-2</v>
      </c>
      <c r="K34" s="431">
        <v>0</v>
      </c>
    </row>
    <row r="35" spans="1:11" ht="14.45" customHeight="1" thickBot="1" x14ac:dyDescent="0.25">
      <c r="A35" s="449" t="s">
        <v>266</v>
      </c>
      <c r="B35" s="427">
        <v>0</v>
      </c>
      <c r="C35" s="427">
        <v>0</v>
      </c>
      <c r="D35" s="428">
        <v>0</v>
      </c>
      <c r="E35" s="429">
        <v>1</v>
      </c>
      <c r="F35" s="427">
        <v>3.8723835762000003E-2</v>
      </c>
      <c r="G35" s="428">
        <v>3.2269863135E-2</v>
      </c>
      <c r="H35" s="430">
        <v>0</v>
      </c>
      <c r="I35" s="427">
        <v>0</v>
      </c>
      <c r="J35" s="428">
        <v>-3.2269863135E-2</v>
      </c>
      <c r="K35" s="431">
        <v>0</v>
      </c>
    </row>
    <row r="36" spans="1:11" ht="14.45" customHeight="1" thickBot="1" x14ac:dyDescent="0.25">
      <c r="A36" s="447" t="s">
        <v>46</v>
      </c>
      <c r="B36" s="427">
        <v>6.8421853758960003</v>
      </c>
      <c r="C36" s="427">
        <v>8.1534300000000002</v>
      </c>
      <c r="D36" s="428">
        <v>1.311244624103</v>
      </c>
      <c r="E36" s="429">
        <v>1.1916412011749999</v>
      </c>
      <c r="F36" s="427">
        <v>8.1137781164489997</v>
      </c>
      <c r="G36" s="428">
        <v>6.7614817637079998</v>
      </c>
      <c r="H36" s="430">
        <v>0</v>
      </c>
      <c r="I36" s="427">
        <v>10.756169999999999</v>
      </c>
      <c r="J36" s="428">
        <v>3.9946882362910001</v>
      </c>
      <c r="K36" s="431">
        <v>1.325667259521</v>
      </c>
    </row>
    <row r="37" spans="1:11" ht="14.45" customHeight="1" thickBot="1" x14ac:dyDescent="0.25">
      <c r="A37" s="448" t="s">
        <v>267</v>
      </c>
      <c r="B37" s="432">
        <v>6.8421853758960003</v>
      </c>
      <c r="C37" s="432">
        <v>8.1534300000000002</v>
      </c>
      <c r="D37" s="433">
        <v>1.311244624103</v>
      </c>
      <c r="E37" s="439">
        <v>1.1916412011749999</v>
      </c>
      <c r="F37" s="432">
        <v>8.1137781164489997</v>
      </c>
      <c r="G37" s="433">
        <v>6.7614817637079998</v>
      </c>
      <c r="H37" s="435">
        <v>0</v>
      </c>
      <c r="I37" s="432">
        <v>10.756169999999999</v>
      </c>
      <c r="J37" s="433">
        <v>3.9946882362910001</v>
      </c>
      <c r="K37" s="440">
        <v>1.325667259521</v>
      </c>
    </row>
    <row r="38" spans="1:11" ht="14.45" customHeight="1" thickBot="1" x14ac:dyDescent="0.25">
      <c r="A38" s="449" t="s">
        <v>268</v>
      </c>
      <c r="B38" s="427">
        <v>6.8421853758960003</v>
      </c>
      <c r="C38" s="427">
        <v>8.1534300000000002</v>
      </c>
      <c r="D38" s="428">
        <v>1.311244624103</v>
      </c>
      <c r="E38" s="429">
        <v>1.1916412011749999</v>
      </c>
      <c r="F38" s="427">
        <v>8.1137781164489997</v>
      </c>
      <c r="G38" s="428">
        <v>6.7614817637079998</v>
      </c>
      <c r="H38" s="430">
        <v>0</v>
      </c>
      <c r="I38" s="427">
        <v>10.756169999999999</v>
      </c>
      <c r="J38" s="428">
        <v>3.9946882362910001</v>
      </c>
      <c r="K38" s="431">
        <v>1.325667259521</v>
      </c>
    </row>
    <row r="39" spans="1:11" ht="14.45" customHeight="1" thickBot="1" x14ac:dyDescent="0.25">
      <c r="A39" s="446" t="s">
        <v>269</v>
      </c>
      <c r="B39" s="427">
        <v>0</v>
      </c>
      <c r="C39" s="427">
        <v>12.004</v>
      </c>
      <c r="D39" s="428">
        <v>12.004</v>
      </c>
      <c r="E39" s="437" t="s">
        <v>252</v>
      </c>
      <c r="F39" s="427">
        <v>29.999999999999002</v>
      </c>
      <c r="G39" s="428">
        <v>24.999999999999002</v>
      </c>
      <c r="H39" s="430">
        <v>2.5329999999999999</v>
      </c>
      <c r="I39" s="427">
        <v>97.930009999999001</v>
      </c>
      <c r="J39" s="428">
        <v>72.930009999999996</v>
      </c>
      <c r="K39" s="431">
        <v>3.2643336666659999</v>
      </c>
    </row>
    <row r="40" spans="1:11" ht="14.45" customHeight="1" thickBot="1" x14ac:dyDescent="0.25">
      <c r="A40" s="447" t="s">
        <v>270</v>
      </c>
      <c r="B40" s="427">
        <v>0</v>
      </c>
      <c r="C40" s="427">
        <v>12.004</v>
      </c>
      <c r="D40" s="428">
        <v>12.004</v>
      </c>
      <c r="E40" s="437" t="s">
        <v>252</v>
      </c>
      <c r="F40" s="427">
        <v>29.999999999999002</v>
      </c>
      <c r="G40" s="428">
        <v>24.999999999999002</v>
      </c>
      <c r="H40" s="430">
        <v>2.5329999999999999</v>
      </c>
      <c r="I40" s="427">
        <v>25.33</v>
      </c>
      <c r="J40" s="428">
        <v>0.33</v>
      </c>
      <c r="K40" s="431">
        <v>0.84433333333299998</v>
      </c>
    </row>
    <row r="41" spans="1:11" ht="14.45" customHeight="1" thickBot="1" x14ac:dyDescent="0.25">
      <c r="A41" s="448" t="s">
        <v>271</v>
      </c>
      <c r="B41" s="432">
        <v>0</v>
      </c>
      <c r="C41" s="432">
        <v>12.004</v>
      </c>
      <c r="D41" s="433">
        <v>12.004</v>
      </c>
      <c r="E41" s="434" t="s">
        <v>252</v>
      </c>
      <c r="F41" s="432">
        <v>29.999999999999002</v>
      </c>
      <c r="G41" s="433">
        <v>24.999999999999002</v>
      </c>
      <c r="H41" s="435">
        <v>2.5329999999999999</v>
      </c>
      <c r="I41" s="432">
        <v>25.33</v>
      </c>
      <c r="J41" s="433">
        <v>0.33</v>
      </c>
      <c r="K41" s="440">
        <v>0.84433333333299998</v>
      </c>
    </row>
    <row r="42" spans="1:11" ht="14.45" customHeight="1" thickBot="1" x14ac:dyDescent="0.25">
      <c r="A42" s="449" t="s">
        <v>272</v>
      </c>
      <c r="B42" s="427">
        <v>0</v>
      </c>
      <c r="C42" s="427">
        <v>12.004</v>
      </c>
      <c r="D42" s="428">
        <v>12.004</v>
      </c>
      <c r="E42" s="437" t="s">
        <v>252</v>
      </c>
      <c r="F42" s="427">
        <v>29.999999999999002</v>
      </c>
      <c r="G42" s="428">
        <v>24.999999999999002</v>
      </c>
      <c r="H42" s="430">
        <v>2.5329999999999999</v>
      </c>
      <c r="I42" s="427">
        <v>25.33</v>
      </c>
      <c r="J42" s="428">
        <v>0.33</v>
      </c>
      <c r="K42" s="431">
        <v>0.84433333333299998</v>
      </c>
    </row>
    <row r="43" spans="1:11" ht="14.45" customHeight="1" thickBot="1" x14ac:dyDescent="0.25">
      <c r="A43" s="447" t="s">
        <v>273</v>
      </c>
      <c r="B43" s="427">
        <v>0</v>
      </c>
      <c r="C43" s="427">
        <v>0</v>
      </c>
      <c r="D43" s="428">
        <v>0</v>
      </c>
      <c r="E43" s="429">
        <v>1</v>
      </c>
      <c r="F43" s="427">
        <v>0</v>
      </c>
      <c r="G43" s="428">
        <v>0</v>
      </c>
      <c r="H43" s="430">
        <v>0</v>
      </c>
      <c r="I43" s="427">
        <v>72.600009999999003</v>
      </c>
      <c r="J43" s="428">
        <v>72.600009999999003</v>
      </c>
      <c r="K43" s="438" t="s">
        <v>236</v>
      </c>
    </row>
    <row r="44" spans="1:11" ht="14.45" customHeight="1" thickBot="1" x14ac:dyDescent="0.25">
      <c r="A44" s="448" t="s">
        <v>274</v>
      </c>
      <c r="B44" s="432">
        <v>0</v>
      </c>
      <c r="C44" s="432">
        <v>0</v>
      </c>
      <c r="D44" s="433">
        <v>0</v>
      </c>
      <c r="E44" s="439">
        <v>1</v>
      </c>
      <c r="F44" s="432">
        <v>0</v>
      </c>
      <c r="G44" s="433">
        <v>0</v>
      </c>
      <c r="H44" s="435">
        <v>0</v>
      </c>
      <c r="I44" s="432">
        <v>72.600009999999003</v>
      </c>
      <c r="J44" s="433">
        <v>72.600009999999003</v>
      </c>
      <c r="K44" s="436" t="s">
        <v>252</v>
      </c>
    </row>
    <row r="45" spans="1:11" ht="14.45" customHeight="1" thickBot="1" x14ac:dyDescent="0.25">
      <c r="A45" s="449" t="s">
        <v>275</v>
      </c>
      <c r="B45" s="427">
        <v>0</v>
      </c>
      <c r="C45" s="427">
        <v>0</v>
      </c>
      <c r="D45" s="428">
        <v>0</v>
      </c>
      <c r="E45" s="429">
        <v>1</v>
      </c>
      <c r="F45" s="427">
        <v>0</v>
      </c>
      <c r="G45" s="428">
        <v>0</v>
      </c>
      <c r="H45" s="430">
        <v>0</v>
      </c>
      <c r="I45" s="427">
        <v>72.600009999999003</v>
      </c>
      <c r="J45" s="428">
        <v>72.600009999999003</v>
      </c>
      <c r="K45" s="438" t="s">
        <v>252</v>
      </c>
    </row>
    <row r="46" spans="1:11" ht="14.45" customHeight="1" thickBot="1" x14ac:dyDescent="0.25">
      <c r="A46" s="445" t="s">
        <v>276</v>
      </c>
      <c r="B46" s="427">
        <v>3545.7018054293799</v>
      </c>
      <c r="C46" s="427">
        <v>3071.5300099999999</v>
      </c>
      <c r="D46" s="428">
        <v>-474.17179542937799</v>
      </c>
      <c r="E46" s="429">
        <v>0.86626856361600002</v>
      </c>
      <c r="F46" s="427">
        <v>1549.3443155759901</v>
      </c>
      <c r="G46" s="428">
        <v>1291.12026297999</v>
      </c>
      <c r="H46" s="430">
        <v>486.45174999999898</v>
      </c>
      <c r="I46" s="427">
        <v>4277.1736600000004</v>
      </c>
      <c r="J46" s="428">
        <v>2986.0533970200099</v>
      </c>
      <c r="K46" s="431">
        <v>2.7606346872029999</v>
      </c>
    </row>
    <row r="47" spans="1:11" ht="14.45" customHeight="1" thickBot="1" x14ac:dyDescent="0.25">
      <c r="A47" s="446" t="s">
        <v>277</v>
      </c>
      <c r="B47" s="427">
        <v>3545.7018054293799</v>
      </c>
      <c r="C47" s="427">
        <v>3071.5300099999999</v>
      </c>
      <c r="D47" s="428">
        <v>-474.17179542937799</v>
      </c>
      <c r="E47" s="429">
        <v>0.86626856361600002</v>
      </c>
      <c r="F47" s="427">
        <v>1549.3443155759901</v>
      </c>
      <c r="G47" s="428">
        <v>1291.12026297999</v>
      </c>
      <c r="H47" s="430">
        <v>486.45174999999898</v>
      </c>
      <c r="I47" s="427">
        <v>4277.1736600000004</v>
      </c>
      <c r="J47" s="428">
        <v>2986.0533970200099</v>
      </c>
      <c r="K47" s="431">
        <v>2.7606346872029999</v>
      </c>
    </row>
    <row r="48" spans="1:11" ht="14.45" customHeight="1" thickBot="1" x14ac:dyDescent="0.25">
      <c r="A48" s="447" t="s">
        <v>278</v>
      </c>
      <c r="B48" s="427">
        <v>3545.7018054293799</v>
      </c>
      <c r="C48" s="427">
        <v>3071.5300099999999</v>
      </c>
      <c r="D48" s="428">
        <v>-474.17179542937799</v>
      </c>
      <c r="E48" s="429">
        <v>0.86626856361600002</v>
      </c>
      <c r="F48" s="427">
        <v>1549.3443155759901</v>
      </c>
      <c r="G48" s="428">
        <v>1291.12026297999</v>
      </c>
      <c r="H48" s="430">
        <v>486.45174999999898</v>
      </c>
      <c r="I48" s="427">
        <v>4277.1736600000004</v>
      </c>
      <c r="J48" s="428">
        <v>2986.0533970200099</v>
      </c>
      <c r="K48" s="431">
        <v>2.7606346872029999</v>
      </c>
    </row>
    <row r="49" spans="1:11" ht="14.45" customHeight="1" thickBot="1" x14ac:dyDescent="0.25">
      <c r="A49" s="448" t="s">
        <v>279</v>
      </c>
      <c r="B49" s="432">
        <v>353.55330439387399</v>
      </c>
      <c r="C49" s="432">
        <v>69.242289999999997</v>
      </c>
      <c r="D49" s="433">
        <v>-284.31101439387402</v>
      </c>
      <c r="E49" s="439">
        <v>0.195846818964</v>
      </c>
      <c r="F49" s="432">
        <v>0</v>
      </c>
      <c r="G49" s="433">
        <v>0</v>
      </c>
      <c r="H49" s="435">
        <v>0</v>
      </c>
      <c r="I49" s="432">
        <v>0</v>
      </c>
      <c r="J49" s="433">
        <v>0</v>
      </c>
      <c r="K49" s="436" t="s">
        <v>236</v>
      </c>
    </row>
    <row r="50" spans="1:11" ht="14.45" customHeight="1" thickBot="1" x14ac:dyDescent="0.25">
      <c r="A50" s="449" t="s">
        <v>280</v>
      </c>
      <c r="B50" s="427">
        <v>353.55330439387399</v>
      </c>
      <c r="C50" s="427">
        <v>69.241439999999997</v>
      </c>
      <c r="D50" s="428">
        <v>-284.31186439387398</v>
      </c>
      <c r="E50" s="429">
        <v>0.19584441480100001</v>
      </c>
      <c r="F50" s="427">
        <v>0</v>
      </c>
      <c r="G50" s="428">
        <v>0</v>
      </c>
      <c r="H50" s="430">
        <v>0</v>
      </c>
      <c r="I50" s="427">
        <v>0</v>
      </c>
      <c r="J50" s="428">
        <v>0</v>
      </c>
      <c r="K50" s="438" t="s">
        <v>236</v>
      </c>
    </row>
    <row r="51" spans="1:11" ht="14.45" customHeight="1" thickBot="1" x14ac:dyDescent="0.25">
      <c r="A51" s="449" t="s">
        <v>281</v>
      </c>
      <c r="B51" s="427">
        <v>0</v>
      </c>
      <c r="C51" s="427">
        <v>8.4999999899999996E-4</v>
      </c>
      <c r="D51" s="428">
        <v>8.4999999899999996E-4</v>
      </c>
      <c r="E51" s="437" t="s">
        <v>252</v>
      </c>
      <c r="F51" s="427">
        <v>0</v>
      </c>
      <c r="G51" s="428">
        <v>0</v>
      </c>
      <c r="H51" s="430">
        <v>0</v>
      </c>
      <c r="I51" s="427">
        <v>0</v>
      </c>
      <c r="J51" s="428">
        <v>0</v>
      </c>
      <c r="K51" s="438" t="s">
        <v>236</v>
      </c>
    </row>
    <row r="52" spans="1:11" ht="14.45" customHeight="1" thickBot="1" x14ac:dyDescent="0.25">
      <c r="A52" s="451" t="s">
        <v>282</v>
      </c>
      <c r="B52" s="427">
        <v>7.9451440637999998E-2</v>
      </c>
      <c r="C52" s="427">
        <v>24.467300000000002</v>
      </c>
      <c r="D52" s="428">
        <v>24.387848559361</v>
      </c>
      <c r="E52" s="429">
        <v>307.95288044231302</v>
      </c>
      <c r="F52" s="427">
        <v>49.871840534789001</v>
      </c>
      <c r="G52" s="428">
        <v>41.559867112324</v>
      </c>
      <c r="H52" s="430">
        <v>0</v>
      </c>
      <c r="I52" s="427">
        <v>15.888500000000001</v>
      </c>
      <c r="J52" s="428">
        <v>-25.671367112323999</v>
      </c>
      <c r="K52" s="431">
        <v>0.318586597759</v>
      </c>
    </row>
    <row r="53" spans="1:11" ht="14.45" customHeight="1" thickBot="1" x14ac:dyDescent="0.25">
      <c r="A53" s="449" t="s">
        <v>283</v>
      </c>
      <c r="B53" s="427">
        <v>0</v>
      </c>
      <c r="C53" s="427">
        <v>0</v>
      </c>
      <c r="D53" s="428">
        <v>0</v>
      </c>
      <c r="E53" s="429">
        <v>1</v>
      </c>
      <c r="F53" s="427">
        <v>49.871840534789001</v>
      </c>
      <c r="G53" s="428">
        <v>41.559867112324</v>
      </c>
      <c r="H53" s="430">
        <v>0</v>
      </c>
      <c r="I53" s="427">
        <v>15.888500000000001</v>
      </c>
      <c r="J53" s="428">
        <v>-25.671367112323999</v>
      </c>
      <c r="K53" s="431">
        <v>0.318586597759</v>
      </c>
    </row>
    <row r="54" spans="1:11" ht="14.45" customHeight="1" thickBot="1" x14ac:dyDescent="0.25">
      <c r="A54" s="449" t="s">
        <v>284</v>
      </c>
      <c r="B54" s="427">
        <v>7.9451440637999998E-2</v>
      </c>
      <c r="C54" s="427">
        <v>24.467300000000002</v>
      </c>
      <c r="D54" s="428">
        <v>24.387848559361</v>
      </c>
      <c r="E54" s="429">
        <v>307.95288044231302</v>
      </c>
      <c r="F54" s="427">
        <v>0</v>
      </c>
      <c r="G54" s="428">
        <v>0</v>
      </c>
      <c r="H54" s="430">
        <v>0</v>
      </c>
      <c r="I54" s="427">
        <v>0</v>
      </c>
      <c r="J54" s="428">
        <v>0</v>
      </c>
      <c r="K54" s="438" t="s">
        <v>236</v>
      </c>
    </row>
    <row r="55" spans="1:11" ht="14.45" customHeight="1" thickBot="1" x14ac:dyDescent="0.25">
      <c r="A55" s="448" t="s">
        <v>285</v>
      </c>
      <c r="B55" s="432">
        <v>3192.0690495948602</v>
      </c>
      <c r="C55" s="432">
        <v>2863.4964399999999</v>
      </c>
      <c r="D55" s="433">
        <v>-328.57260959486399</v>
      </c>
      <c r="E55" s="439">
        <v>0.89706594547600005</v>
      </c>
      <c r="F55" s="432">
        <v>1499.4724750411999</v>
      </c>
      <c r="G55" s="433">
        <v>1249.56039586767</v>
      </c>
      <c r="H55" s="435">
        <v>483.29406999999901</v>
      </c>
      <c r="I55" s="432">
        <v>4231.7077799999997</v>
      </c>
      <c r="J55" s="433">
        <v>2982.14738413233</v>
      </c>
      <c r="K55" s="440">
        <v>2.8221310163650002</v>
      </c>
    </row>
    <row r="56" spans="1:11" ht="14.45" customHeight="1" thickBot="1" x14ac:dyDescent="0.25">
      <c r="A56" s="449" t="s">
        <v>286</v>
      </c>
      <c r="B56" s="427">
        <v>1876.53588074668</v>
      </c>
      <c r="C56" s="427">
        <v>1814.6880000000001</v>
      </c>
      <c r="D56" s="428">
        <v>-61.847880746681</v>
      </c>
      <c r="E56" s="429">
        <v>0.96704146114</v>
      </c>
      <c r="F56" s="427">
        <v>0</v>
      </c>
      <c r="G56" s="428">
        <v>0</v>
      </c>
      <c r="H56" s="430">
        <v>0</v>
      </c>
      <c r="I56" s="427">
        <v>0</v>
      </c>
      <c r="J56" s="428">
        <v>0</v>
      </c>
      <c r="K56" s="438" t="s">
        <v>236</v>
      </c>
    </row>
    <row r="57" spans="1:11" ht="14.45" customHeight="1" thickBot="1" x14ac:dyDescent="0.25">
      <c r="A57" s="449" t="s">
        <v>287</v>
      </c>
      <c r="B57" s="427">
        <v>1315.5331688481799</v>
      </c>
      <c r="C57" s="427">
        <v>1048.80844</v>
      </c>
      <c r="D57" s="428">
        <v>-266.72472884818302</v>
      </c>
      <c r="E57" s="429">
        <v>0.79724971200700001</v>
      </c>
      <c r="F57" s="427">
        <v>1499.4724750411999</v>
      </c>
      <c r="G57" s="428">
        <v>1249.56039586767</v>
      </c>
      <c r="H57" s="430">
        <v>483.29406999999901</v>
      </c>
      <c r="I57" s="427">
        <v>4231.7077799999997</v>
      </c>
      <c r="J57" s="428">
        <v>2982.14738413233</v>
      </c>
      <c r="K57" s="431">
        <v>2.8221310163650002</v>
      </c>
    </row>
    <row r="58" spans="1:11" ht="14.45" customHeight="1" thickBot="1" x14ac:dyDescent="0.25">
      <c r="A58" s="448" t="s">
        <v>288</v>
      </c>
      <c r="B58" s="432">
        <v>0</v>
      </c>
      <c r="C58" s="432">
        <v>114.32398000000001</v>
      </c>
      <c r="D58" s="433">
        <v>114.32398000000001</v>
      </c>
      <c r="E58" s="434" t="s">
        <v>236</v>
      </c>
      <c r="F58" s="432">
        <v>0</v>
      </c>
      <c r="G58" s="433">
        <v>0</v>
      </c>
      <c r="H58" s="435">
        <v>3.157679999999</v>
      </c>
      <c r="I58" s="432">
        <v>29.577379999999</v>
      </c>
      <c r="J58" s="433">
        <v>29.577379999999</v>
      </c>
      <c r="K58" s="436" t="s">
        <v>236</v>
      </c>
    </row>
    <row r="59" spans="1:11" ht="14.45" customHeight="1" thickBot="1" x14ac:dyDescent="0.25">
      <c r="A59" s="449" t="s">
        <v>289</v>
      </c>
      <c r="B59" s="427">
        <v>0</v>
      </c>
      <c r="C59" s="427">
        <v>47.887050000000002</v>
      </c>
      <c r="D59" s="428">
        <v>47.887050000000002</v>
      </c>
      <c r="E59" s="437" t="s">
        <v>236</v>
      </c>
      <c r="F59" s="427">
        <v>0</v>
      </c>
      <c r="G59" s="428">
        <v>0</v>
      </c>
      <c r="H59" s="430">
        <v>0</v>
      </c>
      <c r="I59" s="427">
        <v>0</v>
      </c>
      <c r="J59" s="428">
        <v>0</v>
      </c>
      <c r="K59" s="438" t="s">
        <v>236</v>
      </c>
    </row>
    <row r="60" spans="1:11" ht="14.45" customHeight="1" thickBot="1" x14ac:dyDescent="0.25">
      <c r="A60" s="449" t="s">
        <v>290</v>
      </c>
      <c r="B60" s="427">
        <v>0</v>
      </c>
      <c r="C60" s="427">
        <v>66.436930000000004</v>
      </c>
      <c r="D60" s="428">
        <v>66.436930000000004</v>
      </c>
      <c r="E60" s="437" t="s">
        <v>236</v>
      </c>
      <c r="F60" s="427">
        <v>0</v>
      </c>
      <c r="G60" s="428">
        <v>0</v>
      </c>
      <c r="H60" s="430">
        <v>3.157679999999</v>
      </c>
      <c r="I60" s="427">
        <v>29.577379999999</v>
      </c>
      <c r="J60" s="428">
        <v>29.577379999999</v>
      </c>
      <c r="K60" s="438" t="s">
        <v>236</v>
      </c>
    </row>
    <row r="61" spans="1:11" ht="14.45" customHeight="1" thickBot="1" x14ac:dyDescent="0.25">
      <c r="A61" s="445" t="s">
        <v>291</v>
      </c>
      <c r="B61" s="427">
        <v>0</v>
      </c>
      <c r="C61" s="427">
        <v>0.11092</v>
      </c>
      <c r="D61" s="428">
        <v>0.11092</v>
      </c>
      <c r="E61" s="437" t="s">
        <v>236</v>
      </c>
      <c r="F61" s="427">
        <v>0</v>
      </c>
      <c r="G61" s="428">
        <v>0</v>
      </c>
      <c r="H61" s="430">
        <v>0</v>
      </c>
      <c r="I61" s="427">
        <v>0</v>
      </c>
      <c r="J61" s="428">
        <v>0</v>
      </c>
      <c r="K61" s="431">
        <v>10</v>
      </c>
    </row>
    <row r="62" spans="1:11" ht="14.45" customHeight="1" thickBot="1" x14ac:dyDescent="0.25">
      <c r="A62" s="450" t="s">
        <v>292</v>
      </c>
      <c r="B62" s="432">
        <v>0</v>
      </c>
      <c r="C62" s="432">
        <v>0.11092</v>
      </c>
      <c r="D62" s="433">
        <v>0.11092</v>
      </c>
      <c r="E62" s="434" t="s">
        <v>236</v>
      </c>
      <c r="F62" s="432">
        <v>0</v>
      </c>
      <c r="G62" s="433">
        <v>0</v>
      </c>
      <c r="H62" s="435">
        <v>0</v>
      </c>
      <c r="I62" s="432">
        <v>0</v>
      </c>
      <c r="J62" s="433">
        <v>0</v>
      </c>
      <c r="K62" s="440">
        <v>10</v>
      </c>
    </row>
    <row r="63" spans="1:11" ht="14.45" customHeight="1" thickBot="1" x14ac:dyDescent="0.25">
      <c r="A63" s="452" t="s">
        <v>293</v>
      </c>
      <c r="B63" s="432">
        <v>0</v>
      </c>
      <c r="C63" s="432">
        <v>0.11092</v>
      </c>
      <c r="D63" s="433">
        <v>0.11092</v>
      </c>
      <c r="E63" s="434" t="s">
        <v>236</v>
      </c>
      <c r="F63" s="432">
        <v>0</v>
      </c>
      <c r="G63" s="433">
        <v>0</v>
      </c>
      <c r="H63" s="435">
        <v>0</v>
      </c>
      <c r="I63" s="432">
        <v>0</v>
      </c>
      <c r="J63" s="433">
        <v>0</v>
      </c>
      <c r="K63" s="440">
        <v>10</v>
      </c>
    </row>
    <row r="64" spans="1:11" ht="14.45" customHeight="1" thickBot="1" x14ac:dyDescent="0.25">
      <c r="A64" s="448" t="s">
        <v>294</v>
      </c>
      <c r="B64" s="432">
        <v>0</v>
      </c>
      <c r="C64" s="432">
        <v>0.11092</v>
      </c>
      <c r="D64" s="433">
        <v>0.11092</v>
      </c>
      <c r="E64" s="434" t="s">
        <v>252</v>
      </c>
      <c r="F64" s="432">
        <v>0</v>
      </c>
      <c r="G64" s="433">
        <v>0</v>
      </c>
      <c r="H64" s="435">
        <v>0</v>
      </c>
      <c r="I64" s="432">
        <v>0</v>
      </c>
      <c r="J64" s="433">
        <v>0</v>
      </c>
      <c r="K64" s="440">
        <v>10</v>
      </c>
    </row>
    <row r="65" spans="1:11" ht="14.45" customHeight="1" thickBot="1" x14ac:dyDescent="0.25">
      <c r="A65" s="449" t="s">
        <v>295</v>
      </c>
      <c r="B65" s="427">
        <v>0</v>
      </c>
      <c r="C65" s="427">
        <v>0.11092</v>
      </c>
      <c r="D65" s="428">
        <v>0.11092</v>
      </c>
      <c r="E65" s="437" t="s">
        <v>252</v>
      </c>
      <c r="F65" s="427">
        <v>0</v>
      </c>
      <c r="G65" s="428">
        <v>0</v>
      </c>
      <c r="H65" s="430">
        <v>0</v>
      </c>
      <c r="I65" s="427">
        <v>0</v>
      </c>
      <c r="J65" s="428">
        <v>0</v>
      </c>
      <c r="K65" s="431">
        <v>10</v>
      </c>
    </row>
    <row r="66" spans="1:11" ht="14.45" customHeight="1" thickBot="1" x14ac:dyDescent="0.25">
      <c r="A66" s="453"/>
      <c r="B66" s="427">
        <v>2316.99975888374</v>
      </c>
      <c r="C66" s="427">
        <v>1765.7208900000001</v>
      </c>
      <c r="D66" s="428">
        <v>-551.27886888373996</v>
      </c>
      <c r="E66" s="429">
        <v>0.76207210778900003</v>
      </c>
      <c r="F66" s="427">
        <v>-65.047503058952003</v>
      </c>
      <c r="G66" s="428">
        <v>-54.206252549127001</v>
      </c>
      <c r="H66" s="430">
        <v>335.17765999999898</v>
      </c>
      <c r="I66" s="427">
        <v>2945.0027399999999</v>
      </c>
      <c r="J66" s="428">
        <v>2999.20899254913</v>
      </c>
      <c r="K66" s="431">
        <v>-45.274647011905998</v>
      </c>
    </row>
    <row r="67" spans="1:11" ht="14.45" customHeight="1" thickBot="1" x14ac:dyDescent="0.25">
      <c r="A67" s="454" t="s">
        <v>65</v>
      </c>
      <c r="B67" s="441">
        <v>2316.99975888374</v>
      </c>
      <c r="C67" s="441">
        <v>1765.7208900000001</v>
      </c>
      <c r="D67" s="442">
        <v>-551.27886888373996</v>
      </c>
      <c r="E67" s="443" t="s">
        <v>236</v>
      </c>
      <c r="F67" s="441">
        <v>-65.047503058952003</v>
      </c>
      <c r="G67" s="442">
        <v>-54.206252549127001</v>
      </c>
      <c r="H67" s="441">
        <v>335.17765999999898</v>
      </c>
      <c r="I67" s="441">
        <v>2945.0027399999999</v>
      </c>
      <c r="J67" s="442">
        <v>2999.20899254913</v>
      </c>
      <c r="K67" s="444">
        <v>-45.274647011905998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8CB21F02-B57C-4F85-81EE-AAA695240ED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232" t="s">
        <v>235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55">
        <v>57</v>
      </c>
      <c r="B5" s="456" t="s">
        <v>296</v>
      </c>
      <c r="C5" s="457">
        <v>5651.28</v>
      </c>
      <c r="D5" s="457">
        <v>7</v>
      </c>
      <c r="E5" s="457">
        <v>4637.82</v>
      </c>
      <c r="F5" s="458">
        <v>0.82066717628572639</v>
      </c>
      <c r="G5" s="457">
        <v>5</v>
      </c>
      <c r="H5" s="458">
        <v>0.7142857142857143</v>
      </c>
      <c r="I5" s="457">
        <v>1013.46</v>
      </c>
      <c r="J5" s="458">
        <v>0.17933282371427359</v>
      </c>
      <c r="K5" s="457">
        <v>2</v>
      </c>
      <c r="L5" s="458">
        <v>0.2857142857142857</v>
      </c>
      <c r="M5" s="457" t="s">
        <v>67</v>
      </c>
      <c r="N5" s="150"/>
    </row>
    <row r="6" spans="1:14" ht="14.45" customHeight="1" x14ac:dyDescent="0.2">
      <c r="A6" s="455">
        <v>57</v>
      </c>
      <c r="B6" s="456" t="s">
        <v>297</v>
      </c>
      <c r="C6" s="457">
        <v>5651.28</v>
      </c>
      <c r="D6" s="457">
        <v>7</v>
      </c>
      <c r="E6" s="457">
        <v>4637.82</v>
      </c>
      <c r="F6" s="458">
        <v>0.82066717628572639</v>
      </c>
      <c r="G6" s="457">
        <v>5</v>
      </c>
      <c r="H6" s="458">
        <v>0.7142857142857143</v>
      </c>
      <c r="I6" s="457">
        <v>1013.46</v>
      </c>
      <c r="J6" s="458">
        <v>0.17933282371427359</v>
      </c>
      <c r="K6" s="457">
        <v>2</v>
      </c>
      <c r="L6" s="458">
        <v>0.2857142857142857</v>
      </c>
      <c r="M6" s="457" t="s">
        <v>1</v>
      </c>
      <c r="N6" s="150"/>
    </row>
    <row r="7" spans="1:14" ht="14.45" customHeight="1" x14ac:dyDescent="0.2">
      <c r="A7" s="455" t="s">
        <v>298</v>
      </c>
      <c r="B7" s="456" t="s">
        <v>3</v>
      </c>
      <c r="C7" s="457">
        <v>5651.28</v>
      </c>
      <c r="D7" s="457">
        <v>7</v>
      </c>
      <c r="E7" s="457">
        <v>4637.82</v>
      </c>
      <c r="F7" s="458">
        <v>0.82066717628572639</v>
      </c>
      <c r="G7" s="457">
        <v>5</v>
      </c>
      <c r="H7" s="458">
        <v>0.7142857142857143</v>
      </c>
      <c r="I7" s="457">
        <v>1013.46</v>
      </c>
      <c r="J7" s="458">
        <v>0.17933282371427359</v>
      </c>
      <c r="K7" s="457">
        <v>2</v>
      </c>
      <c r="L7" s="458">
        <v>0.2857142857142857</v>
      </c>
      <c r="M7" s="457" t="s">
        <v>299</v>
      </c>
      <c r="N7" s="150"/>
    </row>
    <row r="9" spans="1:14" ht="14.45" customHeight="1" x14ac:dyDescent="0.2">
      <c r="A9" s="455">
        <v>57</v>
      </c>
      <c r="B9" s="456" t="s">
        <v>296</v>
      </c>
      <c r="C9" s="457" t="s">
        <v>300</v>
      </c>
      <c r="D9" s="457" t="s">
        <v>300</v>
      </c>
      <c r="E9" s="457" t="s">
        <v>300</v>
      </c>
      <c r="F9" s="458" t="s">
        <v>300</v>
      </c>
      <c r="G9" s="457" t="s">
        <v>300</v>
      </c>
      <c r="H9" s="458" t="s">
        <v>300</v>
      </c>
      <c r="I9" s="457" t="s">
        <v>300</v>
      </c>
      <c r="J9" s="458" t="s">
        <v>300</v>
      </c>
      <c r="K9" s="457" t="s">
        <v>300</v>
      </c>
      <c r="L9" s="458" t="s">
        <v>300</v>
      </c>
      <c r="M9" s="457" t="s">
        <v>67</v>
      </c>
      <c r="N9" s="150"/>
    </row>
    <row r="10" spans="1:14" ht="14.45" customHeight="1" x14ac:dyDescent="0.2">
      <c r="A10" s="455" t="s">
        <v>301</v>
      </c>
      <c r="B10" s="456" t="s">
        <v>297</v>
      </c>
      <c r="C10" s="457">
        <v>5651.28</v>
      </c>
      <c r="D10" s="457">
        <v>7</v>
      </c>
      <c r="E10" s="457">
        <v>4637.82</v>
      </c>
      <c r="F10" s="458">
        <v>0.82066717628572639</v>
      </c>
      <c r="G10" s="457">
        <v>5</v>
      </c>
      <c r="H10" s="458">
        <v>0.7142857142857143</v>
      </c>
      <c r="I10" s="457">
        <v>1013.46</v>
      </c>
      <c r="J10" s="458">
        <v>0.17933282371427359</v>
      </c>
      <c r="K10" s="457">
        <v>2</v>
      </c>
      <c r="L10" s="458">
        <v>0.2857142857142857</v>
      </c>
      <c r="M10" s="457" t="s">
        <v>1</v>
      </c>
      <c r="N10" s="150"/>
    </row>
    <row r="11" spans="1:14" ht="14.45" customHeight="1" x14ac:dyDescent="0.2">
      <c r="A11" s="455" t="s">
        <v>301</v>
      </c>
      <c r="B11" s="456" t="s">
        <v>302</v>
      </c>
      <c r="C11" s="457">
        <v>5651.28</v>
      </c>
      <c r="D11" s="457">
        <v>7</v>
      </c>
      <c r="E11" s="457">
        <v>4637.82</v>
      </c>
      <c r="F11" s="458">
        <v>0.82066717628572639</v>
      </c>
      <c r="G11" s="457">
        <v>5</v>
      </c>
      <c r="H11" s="458">
        <v>0.7142857142857143</v>
      </c>
      <c r="I11" s="457">
        <v>1013.46</v>
      </c>
      <c r="J11" s="458">
        <v>0.17933282371427359</v>
      </c>
      <c r="K11" s="457">
        <v>2</v>
      </c>
      <c r="L11" s="458">
        <v>0.2857142857142857</v>
      </c>
      <c r="M11" s="457" t="s">
        <v>303</v>
      </c>
      <c r="N11" s="150"/>
    </row>
    <row r="12" spans="1:14" ht="14.45" customHeight="1" x14ac:dyDescent="0.2">
      <c r="A12" s="455" t="s">
        <v>300</v>
      </c>
      <c r="B12" s="456" t="s">
        <v>300</v>
      </c>
      <c r="C12" s="457" t="s">
        <v>300</v>
      </c>
      <c r="D12" s="457" t="s">
        <v>300</v>
      </c>
      <c r="E12" s="457" t="s">
        <v>300</v>
      </c>
      <c r="F12" s="458" t="s">
        <v>300</v>
      </c>
      <c r="G12" s="457" t="s">
        <v>300</v>
      </c>
      <c r="H12" s="458" t="s">
        <v>300</v>
      </c>
      <c r="I12" s="457" t="s">
        <v>300</v>
      </c>
      <c r="J12" s="458" t="s">
        <v>300</v>
      </c>
      <c r="K12" s="457" t="s">
        <v>300</v>
      </c>
      <c r="L12" s="458" t="s">
        <v>300</v>
      </c>
      <c r="M12" s="457" t="s">
        <v>304</v>
      </c>
      <c r="N12" s="150"/>
    </row>
    <row r="13" spans="1:14" ht="14.45" customHeight="1" x14ac:dyDescent="0.2">
      <c r="A13" s="455" t="s">
        <v>298</v>
      </c>
      <c r="B13" s="456" t="s">
        <v>305</v>
      </c>
      <c r="C13" s="457">
        <v>5651.28</v>
      </c>
      <c r="D13" s="457">
        <v>7</v>
      </c>
      <c r="E13" s="457">
        <v>4637.82</v>
      </c>
      <c r="F13" s="458">
        <v>0.82066717628572639</v>
      </c>
      <c r="G13" s="457">
        <v>5</v>
      </c>
      <c r="H13" s="458">
        <v>0.7142857142857143</v>
      </c>
      <c r="I13" s="457">
        <v>1013.46</v>
      </c>
      <c r="J13" s="458">
        <v>0.17933282371427359</v>
      </c>
      <c r="K13" s="457">
        <v>2</v>
      </c>
      <c r="L13" s="458">
        <v>0.2857142857142857</v>
      </c>
      <c r="M13" s="457" t="s">
        <v>299</v>
      </c>
      <c r="N13" s="150"/>
    </row>
    <row r="14" spans="1:14" ht="14.45" customHeight="1" x14ac:dyDescent="0.2">
      <c r="A14" s="459" t="s">
        <v>212</v>
      </c>
    </row>
    <row r="15" spans="1:14" ht="14.45" customHeight="1" x14ac:dyDescent="0.2">
      <c r="A15" s="460" t="s">
        <v>306</v>
      </c>
    </row>
    <row r="16" spans="1:14" ht="14.45" customHeight="1" x14ac:dyDescent="0.2">
      <c r="A16" s="459" t="s">
        <v>307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BD19CCB6-6287-4311-8EEA-A2FA1BA6298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232" t="s">
        <v>235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61" t="s">
        <v>131</v>
      </c>
      <c r="B4" s="464" t="s">
        <v>18</v>
      </c>
      <c r="C4" s="465"/>
      <c r="D4" s="464" t="s">
        <v>19</v>
      </c>
      <c r="E4" s="465"/>
      <c r="F4" s="464" t="s">
        <v>18</v>
      </c>
      <c r="G4" s="470" t="s">
        <v>2</v>
      </c>
      <c r="H4" s="464" t="s">
        <v>19</v>
      </c>
      <c r="I4" s="470" t="s">
        <v>2</v>
      </c>
      <c r="J4" s="464" t="s">
        <v>18</v>
      </c>
      <c r="K4" s="470" t="s">
        <v>2</v>
      </c>
      <c r="L4" s="464" t="s">
        <v>19</v>
      </c>
      <c r="M4" s="471" t="s">
        <v>2</v>
      </c>
    </row>
    <row r="5" spans="1:13" ht="14.45" customHeight="1" thickBot="1" x14ac:dyDescent="0.25">
      <c r="A5" s="463" t="s">
        <v>308</v>
      </c>
      <c r="B5" s="466">
        <v>5651.28</v>
      </c>
      <c r="C5" s="467">
        <v>1</v>
      </c>
      <c r="D5" s="469">
        <v>7</v>
      </c>
      <c r="E5" s="462" t="s">
        <v>308</v>
      </c>
      <c r="F5" s="466">
        <v>4637.82</v>
      </c>
      <c r="G5" s="472">
        <v>0.82066717628572639</v>
      </c>
      <c r="H5" s="468">
        <v>5</v>
      </c>
      <c r="I5" s="473">
        <v>0.7142857142857143</v>
      </c>
      <c r="J5" s="474">
        <v>1013.46</v>
      </c>
      <c r="K5" s="472">
        <v>0.17933282371427359</v>
      </c>
      <c r="L5" s="468">
        <v>2</v>
      </c>
      <c r="M5" s="473">
        <v>0.2857142857142857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A6F1BCB3-BD4A-459C-9767-C6D6C1E2E78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35" t="s">
        <v>335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232" t="s">
        <v>235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5651.2800000000007</v>
      </c>
      <c r="N3" s="66">
        <f>SUBTOTAL(9,N7:N1048576)</f>
        <v>32</v>
      </c>
      <c r="O3" s="66">
        <f>SUBTOTAL(9,O7:O1048576)</f>
        <v>7</v>
      </c>
      <c r="P3" s="66">
        <f>SUBTOTAL(9,P7:P1048576)</f>
        <v>4637.82</v>
      </c>
      <c r="Q3" s="67">
        <f>IF(M3=0,0,P3/M3)</f>
        <v>0.82066717628572627</v>
      </c>
      <c r="R3" s="66">
        <f>SUBTOTAL(9,R7:R1048576)</f>
        <v>23</v>
      </c>
      <c r="S3" s="67">
        <f>IF(N3=0,0,R3/N3)</f>
        <v>0.71875</v>
      </c>
      <c r="T3" s="66">
        <f>SUBTOTAL(9,T7:T1048576)</f>
        <v>5</v>
      </c>
      <c r="U3" s="68">
        <f>IF(O3=0,0,T3/O3)</f>
        <v>0.7142857142857143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8" customFormat="1" ht="14.45" customHeight="1" thickBot="1" x14ac:dyDescent="0.25">
      <c r="A6" s="475" t="s">
        <v>22</v>
      </c>
      <c r="B6" s="476" t="s">
        <v>5</v>
      </c>
      <c r="C6" s="475" t="s">
        <v>23</v>
      </c>
      <c r="D6" s="476" t="s">
        <v>6</v>
      </c>
      <c r="E6" s="476" t="s">
        <v>143</v>
      </c>
      <c r="F6" s="476" t="s">
        <v>24</v>
      </c>
      <c r="G6" s="476" t="s">
        <v>25</v>
      </c>
      <c r="H6" s="476" t="s">
        <v>8</v>
      </c>
      <c r="I6" s="476" t="s">
        <v>9</v>
      </c>
      <c r="J6" s="476" t="s">
        <v>10</v>
      </c>
      <c r="K6" s="476" t="s">
        <v>11</v>
      </c>
      <c r="L6" s="476" t="s">
        <v>26</v>
      </c>
      <c r="M6" s="477" t="s">
        <v>13</v>
      </c>
      <c r="N6" s="478" t="s">
        <v>27</v>
      </c>
      <c r="O6" s="478" t="s">
        <v>27</v>
      </c>
      <c r="P6" s="478" t="s">
        <v>13</v>
      </c>
      <c r="Q6" s="478" t="s">
        <v>2</v>
      </c>
      <c r="R6" s="478" t="s">
        <v>27</v>
      </c>
      <c r="S6" s="478" t="s">
        <v>2</v>
      </c>
      <c r="T6" s="478" t="s">
        <v>27</v>
      </c>
      <c r="U6" s="479" t="s">
        <v>2</v>
      </c>
    </row>
    <row r="7" spans="1:21" ht="14.45" customHeight="1" x14ac:dyDescent="0.2">
      <c r="A7" s="481">
        <v>57</v>
      </c>
      <c r="B7" s="482" t="s">
        <v>296</v>
      </c>
      <c r="C7" s="482" t="s">
        <v>301</v>
      </c>
      <c r="D7" s="483" t="s">
        <v>333</v>
      </c>
      <c r="E7" s="484" t="s">
        <v>308</v>
      </c>
      <c r="F7" s="482" t="s">
        <v>297</v>
      </c>
      <c r="G7" s="482" t="s">
        <v>309</v>
      </c>
      <c r="H7" s="482" t="s">
        <v>334</v>
      </c>
      <c r="I7" s="482" t="s">
        <v>310</v>
      </c>
      <c r="J7" s="482" t="s">
        <v>311</v>
      </c>
      <c r="K7" s="482" t="s">
        <v>312</v>
      </c>
      <c r="L7" s="485">
        <v>233.96</v>
      </c>
      <c r="M7" s="485">
        <v>233.96</v>
      </c>
      <c r="N7" s="482">
        <v>1</v>
      </c>
      <c r="O7" s="486">
        <v>0.5</v>
      </c>
      <c r="P7" s="485">
        <v>233.96</v>
      </c>
      <c r="Q7" s="487">
        <v>1</v>
      </c>
      <c r="R7" s="482">
        <v>1</v>
      </c>
      <c r="S7" s="487">
        <v>1</v>
      </c>
      <c r="T7" s="486">
        <v>0.5</v>
      </c>
      <c r="U7" s="122">
        <v>1</v>
      </c>
    </row>
    <row r="8" spans="1:21" ht="14.45" customHeight="1" x14ac:dyDescent="0.2">
      <c r="A8" s="488">
        <v>57</v>
      </c>
      <c r="B8" s="489" t="s">
        <v>296</v>
      </c>
      <c r="C8" s="489" t="s">
        <v>301</v>
      </c>
      <c r="D8" s="490" t="s">
        <v>333</v>
      </c>
      <c r="E8" s="491" t="s">
        <v>308</v>
      </c>
      <c r="F8" s="489" t="s">
        <v>297</v>
      </c>
      <c r="G8" s="489" t="s">
        <v>309</v>
      </c>
      <c r="H8" s="489" t="s">
        <v>334</v>
      </c>
      <c r="I8" s="489" t="s">
        <v>313</v>
      </c>
      <c r="J8" s="489" t="s">
        <v>314</v>
      </c>
      <c r="K8" s="489" t="s">
        <v>315</v>
      </c>
      <c r="L8" s="492">
        <v>84.89</v>
      </c>
      <c r="M8" s="492">
        <v>84.89</v>
      </c>
      <c r="N8" s="489">
        <v>1</v>
      </c>
      <c r="O8" s="493">
        <v>1</v>
      </c>
      <c r="P8" s="492">
        <v>84.89</v>
      </c>
      <c r="Q8" s="494">
        <v>1</v>
      </c>
      <c r="R8" s="489">
        <v>1</v>
      </c>
      <c r="S8" s="494">
        <v>1</v>
      </c>
      <c r="T8" s="493">
        <v>1</v>
      </c>
      <c r="U8" s="495">
        <v>1</v>
      </c>
    </row>
    <row r="9" spans="1:21" ht="14.45" customHeight="1" x14ac:dyDescent="0.2">
      <c r="A9" s="488">
        <v>57</v>
      </c>
      <c r="B9" s="489" t="s">
        <v>296</v>
      </c>
      <c r="C9" s="489" t="s">
        <v>301</v>
      </c>
      <c r="D9" s="490" t="s">
        <v>333</v>
      </c>
      <c r="E9" s="491" t="s">
        <v>308</v>
      </c>
      <c r="F9" s="489" t="s">
        <v>297</v>
      </c>
      <c r="G9" s="489" t="s">
        <v>309</v>
      </c>
      <c r="H9" s="489" t="s">
        <v>334</v>
      </c>
      <c r="I9" s="489" t="s">
        <v>316</v>
      </c>
      <c r="J9" s="489" t="s">
        <v>317</v>
      </c>
      <c r="K9" s="489" t="s">
        <v>315</v>
      </c>
      <c r="L9" s="492">
        <v>84.89</v>
      </c>
      <c r="M9" s="492">
        <v>84.89</v>
      </c>
      <c r="N9" s="489">
        <v>1</v>
      </c>
      <c r="O9" s="493">
        <v>0.5</v>
      </c>
      <c r="P9" s="492">
        <v>84.89</v>
      </c>
      <c r="Q9" s="494">
        <v>1</v>
      </c>
      <c r="R9" s="489">
        <v>1</v>
      </c>
      <c r="S9" s="494">
        <v>1</v>
      </c>
      <c r="T9" s="493">
        <v>0.5</v>
      </c>
      <c r="U9" s="495">
        <v>1</v>
      </c>
    </row>
    <row r="10" spans="1:21" ht="14.45" customHeight="1" x14ac:dyDescent="0.2">
      <c r="A10" s="488">
        <v>57</v>
      </c>
      <c r="B10" s="489" t="s">
        <v>296</v>
      </c>
      <c r="C10" s="489" t="s">
        <v>301</v>
      </c>
      <c r="D10" s="490" t="s">
        <v>333</v>
      </c>
      <c r="E10" s="491" t="s">
        <v>308</v>
      </c>
      <c r="F10" s="489" t="s">
        <v>297</v>
      </c>
      <c r="G10" s="489" t="s">
        <v>309</v>
      </c>
      <c r="H10" s="489" t="s">
        <v>334</v>
      </c>
      <c r="I10" s="489" t="s">
        <v>318</v>
      </c>
      <c r="J10" s="489" t="s">
        <v>319</v>
      </c>
      <c r="K10" s="489" t="s">
        <v>312</v>
      </c>
      <c r="L10" s="492">
        <v>233.96</v>
      </c>
      <c r="M10" s="492">
        <v>2807.52</v>
      </c>
      <c r="N10" s="489">
        <v>12</v>
      </c>
      <c r="O10" s="493">
        <v>1.5</v>
      </c>
      <c r="P10" s="492">
        <v>2807.52</v>
      </c>
      <c r="Q10" s="494">
        <v>1</v>
      </c>
      <c r="R10" s="489">
        <v>12</v>
      </c>
      <c r="S10" s="494">
        <v>1</v>
      </c>
      <c r="T10" s="493">
        <v>1.5</v>
      </c>
      <c r="U10" s="495">
        <v>1</v>
      </c>
    </row>
    <row r="11" spans="1:21" ht="14.45" customHeight="1" x14ac:dyDescent="0.2">
      <c r="A11" s="488">
        <v>57</v>
      </c>
      <c r="B11" s="489" t="s">
        <v>296</v>
      </c>
      <c r="C11" s="489" t="s">
        <v>301</v>
      </c>
      <c r="D11" s="490" t="s">
        <v>333</v>
      </c>
      <c r="E11" s="491" t="s">
        <v>308</v>
      </c>
      <c r="F11" s="489" t="s">
        <v>297</v>
      </c>
      <c r="G11" s="489" t="s">
        <v>309</v>
      </c>
      <c r="H11" s="489" t="s">
        <v>334</v>
      </c>
      <c r="I11" s="489" t="s">
        <v>320</v>
      </c>
      <c r="J11" s="489" t="s">
        <v>321</v>
      </c>
      <c r="K11" s="489" t="s">
        <v>322</v>
      </c>
      <c r="L11" s="492">
        <v>238.89</v>
      </c>
      <c r="M11" s="492">
        <v>477.78</v>
      </c>
      <c r="N11" s="489">
        <v>2</v>
      </c>
      <c r="O11" s="493">
        <v>0.5</v>
      </c>
      <c r="P11" s="492">
        <v>477.78</v>
      </c>
      <c r="Q11" s="494">
        <v>1</v>
      </c>
      <c r="R11" s="489">
        <v>2</v>
      </c>
      <c r="S11" s="494">
        <v>1</v>
      </c>
      <c r="T11" s="493">
        <v>0.5</v>
      </c>
      <c r="U11" s="495">
        <v>1</v>
      </c>
    </row>
    <row r="12" spans="1:21" ht="14.45" customHeight="1" x14ac:dyDescent="0.2">
      <c r="A12" s="488">
        <v>57</v>
      </c>
      <c r="B12" s="489" t="s">
        <v>296</v>
      </c>
      <c r="C12" s="489" t="s">
        <v>301</v>
      </c>
      <c r="D12" s="490" t="s">
        <v>333</v>
      </c>
      <c r="E12" s="491" t="s">
        <v>308</v>
      </c>
      <c r="F12" s="489" t="s">
        <v>297</v>
      </c>
      <c r="G12" s="489" t="s">
        <v>309</v>
      </c>
      <c r="H12" s="489" t="s">
        <v>300</v>
      </c>
      <c r="I12" s="489" t="s">
        <v>323</v>
      </c>
      <c r="J12" s="489" t="s">
        <v>324</v>
      </c>
      <c r="K12" s="489" t="s">
        <v>315</v>
      </c>
      <c r="L12" s="492">
        <v>143.59</v>
      </c>
      <c r="M12" s="492">
        <v>287.18</v>
      </c>
      <c r="N12" s="489">
        <v>2</v>
      </c>
      <c r="O12" s="493">
        <v>0.5</v>
      </c>
      <c r="P12" s="492"/>
      <c r="Q12" s="494">
        <v>0</v>
      </c>
      <c r="R12" s="489"/>
      <c r="S12" s="494">
        <v>0</v>
      </c>
      <c r="T12" s="493"/>
      <c r="U12" s="495">
        <v>0</v>
      </c>
    </row>
    <row r="13" spans="1:21" ht="14.45" customHeight="1" x14ac:dyDescent="0.2">
      <c r="A13" s="488">
        <v>57</v>
      </c>
      <c r="B13" s="489" t="s">
        <v>296</v>
      </c>
      <c r="C13" s="489" t="s">
        <v>301</v>
      </c>
      <c r="D13" s="490" t="s">
        <v>333</v>
      </c>
      <c r="E13" s="491" t="s">
        <v>308</v>
      </c>
      <c r="F13" s="489" t="s">
        <v>297</v>
      </c>
      <c r="G13" s="489" t="s">
        <v>309</v>
      </c>
      <c r="H13" s="489" t="s">
        <v>300</v>
      </c>
      <c r="I13" s="489" t="s">
        <v>325</v>
      </c>
      <c r="J13" s="489" t="s">
        <v>326</v>
      </c>
      <c r="K13" s="489" t="s">
        <v>315</v>
      </c>
      <c r="L13" s="492">
        <v>143.59</v>
      </c>
      <c r="M13" s="492">
        <v>287.18</v>
      </c>
      <c r="N13" s="489">
        <v>2</v>
      </c>
      <c r="O13" s="493">
        <v>0.5</v>
      </c>
      <c r="P13" s="492"/>
      <c r="Q13" s="494">
        <v>0</v>
      </c>
      <c r="R13" s="489"/>
      <c r="S13" s="494">
        <v>0</v>
      </c>
      <c r="T13" s="493"/>
      <c r="U13" s="495">
        <v>0</v>
      </c>
    </row>
    <row r="14" spans="1:21" ht="14.45" customHeight="1" x14ac:dyDescent="0.2">
      <c r="A14" s="488">
        <v>57</v>
      </c>
      <c r="B14" s="489" t="s">
        <v>296</v>
      </c>
      <c r="C14" s="489" t="s">
        <v>301</v>
      </c>
      <c r="D14" s="490" t="s">
        <v>333</v>
      </c>
      <c r="E14" s="491" t="s">
        <v>308</v>
      </c>
      <c r="F14" s="489" t="s">
        <v>297</v>
      </c>
      <c r="G14" s="489" t="s">
        <v>309</v>
      </c>
      <c r="H14" s="489" t="s">
        <v>300</v>
      </c>
      <c r="I14" s="489" t="s">
        <v>327</v>
      </c>
      <c r="J14" s="489" t="s">
        <v>328</v>
      </c>
      <c r="K14" s="489" t="s">
        <v>322</v>
      </c>
      <c r="L14" s="492">
        <v>172.67</v>
      </c>
      <c r="M14" s="492">
        <v>518.01</v>
      </c>
      <c r="N14" s="489">
        <v>3</v>
      </c>
      <c r="O14" s="493">
        <v>0.5</v>
      </c>
      <c r="P14" s="492">
        <v>518.01</v>
      </c>
      <c r="Q14" s="494">
        <v>1</v>
      </c>
      <c r="R14" s="489">
        <v>3</v>
      </c>
      <c r="S14" s="494">
        <v>1</v>
      </c>
      <c r="T14" s="493">
        <v>0.5</v>
      </c>
      <c r="U14" s="495">
        <v>1</v>
      </c>
    </row>
    <row r="15" spans="1:21" ht="14.45" customHeight="1" x14ac:dyDescent="0.2">
      <c r="A15" s="488">
        <v>57</v>
      </c>
      <c r="B15" s="489" t="s">
        <v>296</v>
      </c>
      <c r="C15" s="489" t="s">
        <v>301</v>
      </c>
      <c r="D15" s="490" t="s">
        <v>333</v>
      </c>
      <c r="E15" s="491" t="s">
        <v>308</v>
      </c>
      <c r="F15" s="489" t="s">
        <v>297</v>
      </c>
      <c r="G15" s="489" t="s">
        <v>309</v>
      </c>
      <c r="H15" s="489" t="s">
        <v>300</v>
      </c>
      <c r="I15" s="489" t="s">
        <v>329</v>
      </c>
      <c r="J15" s="489" t="s">
        <v>330</v>
      </c>
      <c r="K15" s="489" t="s">
        <v>315</v>
      </c>
      <c r="L15" s="492">
        <v>143.59</v>
      </c>
      <c r="M15" s="492">
        <v>430.77</v>
      </c>
      <c r="N15" s="489">
        <v>3</v>
      </c>
      <c r="O15" s="493">
        <v>0.5</v>
      </c>
      <c r="P15" s="492">
        <v>430.77</v>
      </c>
      <c r="Q15" s="494">
        <v>1</v>
      </c>
      <c r="R15" s="489">
        <v>3</v>
      </c>
      <c r="S15" s="494">
        <v>1</v>
      </c>
      <c r="T15" s="493">
        <v>0.5</v>
      </c>
      <c r="U15" s="495">
        <v>1</v>
      </c>
    </row>
    <row r="16" spans="1:21" ht="14.45" customHeight="1" thickBot="1" x14ac:dyDescent="0.25">
      <c r="A16" s="496">
        <v>57</v>
      </c>
      <c r="B16" s="497" t="s">
        <v>296</v>
      </c>
      <c r="C16" s="497" t="s">
        <v>301</v>
      </c>
      <c r="D16" s="498" t="s">
        <v>333</v>
      </c>
      <c r="E16" s="499" t="s">
        <v>308</v>
      </c>
      <c r="F16" s="497" t="s">
        <v>297</v>
      </c>
      <c r="G16" s="497" t="s">
        <v>309</v>
      </c>
      <c r="H16" s="497" t="s">
        <v>300</v>
      </c>
      <c r="I16" s="497" t="s">
        <v>331</v>
      </c>
      <c r="J16" s="497" t="s">
        <v>332</v>
      </c>
      <c r="K16" s="497" t="s">
        <v>322</v>
      </c>
      <c r="L16" s="500">
        <v>87.82</v>
      </c>
      <c r="M16" s="500">
        <v>439.09999999999997</v>
      </c>
      <c r="N16" s="497">
        <v>5</v>
      </c>
      <c r="O16" s="501">
        <v>1</v>
      </c>
      <c r="P16" s="500"/>
      <c r="Q16" s="502">
        <v>0</v>
      </c>
      <c r="R16" s="497"/>
      <c r="S16" s="502">
        <v>0</v>
      </c>
      <c r="T16" s="501"/>
      <c r="U16" s="503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99DC4DB-A83C-4BA6-BB16-D421C7BDBA9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2019-11-25T14:28:26Z</dcterms:modified>
</cp:coreProperties>
</file>