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31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#REF!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O8" i="431" l="1"/>
  <c r="I8" i="431"/>
  <c r="M8" i="431"/>
  <c r="Q8" i="431"/>
  <c r="K8" i="431"/>
  <c r="J8" i="431"/>
  <c r="E8" i="431"/>
  <c r="L8" i="431"/>
  <c r="G8" i="431"/>
  <c r="H8" i="431"/>
  <c r="D8" i="431"/>
  <c r="C8" i="431"/>
  <c r="N8" i="431"/>
  <c r="P8" i="431"/>
  <c r="F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18" i="414" l="1"/>
  <c r="E18" i="414" s="1"/>
  <c r="D17" i="414"/>
  <c r="A19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9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D4" i="414"/>
  <c r="D12" i="414"/>
  <c r="D15" i="414"/>
  <c r="C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D20" i="414"/>
  <c r="C20" i="414"/>
  <c r="Q3" i="345" l="1"/>
  <c r="I12" i="339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<sst xmlns="http://schemas.openxmlformats.org/spreadsheetml/2006/main" count="1098" uniqueCount="422">
  <si>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</si>
  <si>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</si>
  <si>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</si>
  <si>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</si>
  <si>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</si>
  <si>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</si>
  <si>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</si>
  <si>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</si>
  <si>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</si>
  <si>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</si>
  <si>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</si>
  <si>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</si>
  <si>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</si>
  <si>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</si>
  <si>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</si>
  <si>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</si>
  <si>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</si>
  <si>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</si>
  <si>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</si>
  <si>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</si>
  <si>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</si>
  <si>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</si>
  <si>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</si>
  <si>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</si>
  <si>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</si>
  <si>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</si>
  <si>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</si>
  <si>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</si>
  <si>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</si>
  <si>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</si>
  <si>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</si>
  <si>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</si>
  <si>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</si>
  <si>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</si>
  <si>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</si>
  <si>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</si>
  <si>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</si>
  <si>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</si>
  <si>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</si>
  <si>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</si>
  <si>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</si>
  <si>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</si>
  <si>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</si>
  <si>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</si>
  <si>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</si>
  <si>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</si>
  <si>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</si>
  <si>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</si>
  <si>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</si>
  <si>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</si>
  <si>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</si>
  <si>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</si>
  <si>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</si>
  <si>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</si>
  <si>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</si>
  <si>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</si>
  <si>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</si>
  <si>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</si>
  <si>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</si>
  <si>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</si>
  <si>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</si>
  <si>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</si>
  <si>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</si>
  <si>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</si>
  <si>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</si>
  <si>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</si>
  <si>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</si>
  <si>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</si>
  <si>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</si>
  <si>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</si>
  <si>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</si>
  <si>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</si>
  <si>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</si>
  <si>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</si>
  <si>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</si>
  <si>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</si>
  <si>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</si>
  <si>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</si>
  <si>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</si>
  <si>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</si>
  <si>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</si>
  <si>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</si>
  <si>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</si>
  <si>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</si>
  <si>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</si>
  <si>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</si>
  <si>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</si>
  <si>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</si>
  <si>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</si>
  <si>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</si>
  <si>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</si>
  <si>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</si>
  <si>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</si>
  <si>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</si>
  <si>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</si>
  <si>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</si>
  <si>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</si>
  <si>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</si>
  <si>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</si>
  <si>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</si>
  <si>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</si>
  <si>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</si>
  <si>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</si>
  <si>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</si>
  <si>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</si>
  <si>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</si>
  <si>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</si>
  <si>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</si>
  <si>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</si>
  <si>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</si>
  <si>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</si>
  <si>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</si>
  <si>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</si>
  <si>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</si>
  <si>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</si>
  <si>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</si>
  <si>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</si>
  <si>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</si>
  <si>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</si>
  <si>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</si>
  <si>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</si>
  <si>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</si>
  <si>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</si>
  <si>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</si>
  <si>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</si>
  <si>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</si>
  <si>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</si>
  <si>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</si>
  <si>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</si>
  <si>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</si>
  <si>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</si>
  <si>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</si>
  <si>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</si>
  <si>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</si>
  <si>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</si>
  <si>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</si>
  <si>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</si>
  <si>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</si>
  <si>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</si>
  <si>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</si>
  <si>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</si>
  <si>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</si>
  <si>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</si>
  <si>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</si>
  <si>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</si>
  <si>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</si>
  <si>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</si>
  <si>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</si>
  <si>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</si>
  <si>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</si>
  <si>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</si>
  <si>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</si>
  <si>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</si>
  <si>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</si>
  <si>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</si>
  <si>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</si>
  <si>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</si>
  <si>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</si>
  <si>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</si>
  <si>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</si>
  <si>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</si>
  <si>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</si>
  <si>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</si>
  <si>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</si>
  <si>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</si>
  <si>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</si>
  <si>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</si>
  <si>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</si>
  <si>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</si>
  <si>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</si>
  <si>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</si>
  <si>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</si>
  <si>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</si>
  <si>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</si>
  <si>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</si>
  <si>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</si>
  <si>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</si>
  <si>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</si>
  <si>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</si>
  <si>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</si>
  <si>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</si>
  <si>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</si>
  <si>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</si>
  <si>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</si>
  <si>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</si>
  <si>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</si>
  <si>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</si>
  <si>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</si>
  <si>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</si>
  <si>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</si>
  <si>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</si>
  <si>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</si>
  <si>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</si>
  <si>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</si>
  <si>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</si>
  <si>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</si>
  <si>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</si>
  <si>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</si>
  <si>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</si>
  <si>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</si>
  <si>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</si>
  <si>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</si>
  <si>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</si>
  <si>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</si>
  <si>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</si>
  <si>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</si>
  <si>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</si>
  <si>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</si>
  <si>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</si>
  <si>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</si>
  <si>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</si>
  <si>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</si>
  <si>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</si>
  <si>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</si>
  <si>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</si>
  <si>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</si>
  <si>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</si>
  <si>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50115089     ZPr - katetry PICC/MIDLINE (Z554)</t>
  </si>
  <si>
    <t>50119     DDHM a textil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</si>
  <si>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</si>
  <si>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</si>
  <si>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</si>
  <si>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</si>
  <si>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</si>
  <si>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</si>
  <si>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</si>
  <si>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</si>
  <si>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</si>
  <si>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--</t>
  </si>
  <si>
    <t>51102032     opravy zdravotnické techniky - UTZ</t>
  </si>
  <si>
    <t>51102033     opravy ostatní techniky - UTZ</t>
  </si>
  <si>
    <t>51102034     opravy ostatní techniky - ELSYS</t>
  </si>
  <si>
    <t>51808     Revize a smluvní servisy majetku</t>
  </si>
  <si>
    <t>51808008     revize, tech.kontroly, prev.prohl.- OSBTK</t>
  </si>
  <si>
    <t>55     Odpisy, rezervy, komplexní náklady příštích období  a opravné položky provozních nákladů</t>
  </si>
  <si>
    <t>551     Odpisy DM</t>
  </si>
  <si>
    <t>55110     Odpisy DM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</si>
  <si>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</si>
  <si>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</si>
  <si>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</si>
  <si>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</si>
  <si>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</si>
  <si>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</si>
  <si>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</si>
  <si>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</si>
  <si>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</si>
  <si>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</si>
  <si>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</si>
  <si>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</si>
  <si>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</si>
  <si>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</si>
  <si>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</si>
  <si>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</si>
  <si>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</si>
  <si>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</si>
  <si>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</si>
  <si>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</si>
  <si>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</si>
  <si>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57</t>
  </si>
  <si>
    <t>NUT: Nutriční ambulance</t>
  </si>
  <si>
    <t/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</si>
  <si>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</si>
  <si>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</si>
  <si>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</si>
  <si>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</si>
  <si>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</si>
  <si>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</si>
  <si>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</si>
  <si>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</si>
  <si>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SumaKL</t>
  </si>
  <si>
    <t>5721</t>
  </si>
  <si>
    <t>Nutriční ambulance: Nutriční ambulance</t>
  </si>
  <si>
    <t>Nutriční ambulance: Nutriční ambulance Celkem</t>
  </si>
  <si>
    <t>SumaNS</t>
  </si>
  <si>
    <t>mezeraNS</t>
  </si>
  <si>
    <t>50115050</t>
  </si>
  <si>
    <t>obvazový materiál (Z502)</t>
  </si>
  <si>
    <t>ZA602</t>
  </si>
  <si>
    <t>Kompresa gáza 5,0 x 5,0 cm/2 ks sterilní karton á 1000 ks 26001</t>
  </si>
  <si>
    <t>ZD740</t>
  </si>
  <si>
    <t>Kompresa gáza sterilkompres 7,5 x 7,5 cm/5 ks, 100% bavlna, sterilní 1325019265(1230119225)</t>
  </si>
  <si>
    <t>ZH403</t>
  </si>
  <si>
    <t>Krytí excilon 5 x 5 cm NT i.v. s nástřihem do kříže antiseptický bal. á 70 ks 7089</t>
  </si>
  <si>
    <t>ZA476</t>
  </si>
  <si>
    <t>Krytí mepilex border lite 10 x 10 cm bal. á 5 ks 281300-00</t>
  </si>
  <si>
    <t>ZA585</t>
  </si>
  <si>
    <t>Krytí suprasorb F 10 x 12 cm sterilní bal. á 10 ks 20462</t>
  </si>
  <si>
    <t>ZK646</t>
  </si>
  <si>
    <t>Krytí tegaderm CHG 8,5 cm x 11,5 cm na CŽK-antibakt. bal. á 25 ks 1657R</t>
  </si>
  <si>
    <t>ZP802</t>
  </si>
  <si>
    <t>Krytí tegaderm i.v. advaced pro katetry Aiic.v.Cs P.I.C.C 8,5 cm x 11,5 cm bal. á 50 ks 1685</t>
  </si>
  <si>
    <t>ZH011</t>
  </si>
  <si>
    <t>Náplast micropore 1,25 cm x 9,14 m bal. á 24 ks 1530-0</t>
  </si>
  <si>
    <t>ZA314</t>
  </si>
  <si>
    <t>Obinadlo idealast-haft 8 cm x   4 m 9311113</t>
  </si>
  <si>
    <t>ZP212</t>
  </si>
  <si>
    <t>Obvaz elastický síťový pruban Tg-fix vel. C paže, noha, loket 25 m 24252</t>
  </si>
  <si>
    <t>ZA593</t>
  </si>
  <si>
    <t>Tampon sterilní stáčený 20 x 20 cm / 5 ks 28003+</t>
  </si>
  <si>
    <t>50115060</t>
  </si>
  <si>
    <t>ZPr - ostatní (Z503)</t>
  </si>
  <si>
    <t>ZQ249</t>
  </si>
  <si>
    <t>Hadička spojovací HS 1,8 x 1800 mm LL DEPH free 2200 180 ND</t>
  </si>
  <si>
    <t>ZQ248</t>
  </si>
  <si>
    <t>Hadička spojovací HS 1,8 x 450 mm LL DEPH free 2200 045 ND</t>
  </si>
  <si>
    <t>ZF973</t>
  </si>
  <si>
    <t>Hadička spojovací tlaková unicath 1,5 mm x   25 cm LL na obou koncích male-male bal. á 40 ks PN 1202</t>
  </si>
  <si>
    <t>ZK884</t>
  </si>
  <si>
    <t>Kohout trojcestný discofix modrý 4095111</t>
  </si>
  <si>
    <t>ZO372</t>
  </si>
  <si>
    <t>Konektor bezjehlový OptiSyte JIM:JSM4001</t>
  </si>
  <si>
    <t>ZO087</t>
  </si>
  <si>
    <t>Konektor flocare na aplikační set s konektorem Luer NOVÝ 30 ks 589735</t>
  </si>
  <si>
    <t>ZO086</t>
  </si>
  <si>
    <t>Konektor flocare na sondu Luer NOVÝ 30 ks 589733</t>
  </si>
  <si>
    <t>ZO083</t>
  </si>
  <si>
    <t>Konektor flocare transition NOVÝ 30 ks (je součástí setu) 589732</t>
  </si>
  <si>
    <t>ZQ736</t>
  </si>
  <si>
    <t>Lepidlo silikonové 2197.000</t>
  </si>
  <si>
    <t>ZF159</t>
  </si>
  <si>
    <t>Nádoba na kontaminovaný odpad 1 l 15-0002</t>
  </si>
  <si>
    <t>ZB439</t>
  </si>
  <si>
    <t>Odstraňovač náplastí Convacare á 100 ks 0011279 37443</t>
  </si>
  <si>
    <t>ZH546</t>
  </si>
  <si>
    <t>Set flocare pro enterální výživu infinity pack mobile W/O MP Transition (APA 3227163) pro domácí péči 586484</t>
  </si>
  <si>
    <t>ZN906</t>
  </si>
  <si>
    <t>Set Flocare pro enterální výživu Infinity Pack s konektory ENFit, kompatibilní s vaky Nutrison, pro pumpy Flocare 586514</t>
  </si>
  <si>
    <t>ZQ735</t>
  </si>
  <si>
    <t>Souprava k opravě Life-Cath Broviac 2194.50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</si>
  <si>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</si>
  <si>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</si>
  <si>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</si>
  <si>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</si>
  <si>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</si>
  <si>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</si>
  <si>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</si>
  <si>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</si>
  <si>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</si>
  <si>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</si>
  <si>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</si>
  <si>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</si>
  <si>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ZP822</t>
  </si>
  <si>
    <t>Uzávěr dezinfekční CUROS k bezjehlovému vstupu se 70% IPA  CFF10-250R</t>
  </si>
  <si>
    <t>50115063</t>
  </si>
  <si>
    <t>ZPr - vaky, sety (Z528)</t>
  </si>
  <si>
    <t>ZN400</t>
  </si>
  <si>
    <t>Set infuzní  Spike (DEHP free) s filtrem 1,2 um k mobilní pumpě Mini Rythmic PN+ bal. á 20 ks KM1EE148X</t>
  </si>
  <si>
    <t>ZA715</t>
  </si>
  <si>
    <t>Set infuzní intrafix primeline classic 150 cm 4062957</t>
  </si>
  <si>
    <t>ZB715</t>
  </si>
  <si>
    <t>Set pro enterální výživu kangaro univ.  á 30 ks  S777403</t>
  </si>
  <si>
    <t>50115065</t>
  </si>
  <si>
    <t>ZPr - vpichovací materiál (Z530)</t>
  </si>
  <si>
    <t>ZC634</t>
  </si>
  <si>
    <t>Jehla gripper portacath bez Y protu 22G x 16 mm á 12 ks 21-2737-24</t>
  </si>
  <si>
    <t>ZB556</t>
  </si>
  <si>
    <t>Jehla injekční 1,2 x 40 mm růžová 4665120</t>
  </si>
  <si>
    <t>50115067</t>
  </si>
  <si>
    <t>ZPr - rukavice (Z532)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</si>
  <si>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</si>
  <si>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</si>
  <si>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</si>
  <si>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</si>
  <si>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</si>
  <si>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</si>
  <si>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</si>
  <si>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</si>
  <si>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ZP947</t>
  </si>
  <si>
    <t>Rukavice vyšetřovací nitril basic bez pudru modré M bal. á 200 ks 44751</t>
  </si>
  <si>
    <t>50115089</t>
  </si>
  <si>
    <t>ZPr - katetry PICC/MIDLINE (Z554)</t>
  </si>
  <si>
    <t>ZM985</t>
  </si>
  <si>
    <t>Fixace k CVC a PICC atraumatická GripLock bal. á 100 ks 3601CVC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</si>
  <si>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</si>
  <si>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</si>
  <si>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</si>
  <si>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</si>
  <si>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</si>
  <si>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</si>
  <si>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</si>
  <si>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</si>
  <si>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</si>
  <si>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Daniš Lukáš</t>
  </si>
  <si>
    <t>Vrzalová Drahomíra</t>
  </si>
  <si>
    <t>Zdravotní výkony vykázané na pracovišti v rámci ambulantní péče dle lékařů *</t>
  </si>
  <si>
    <t>06</t>
  </si>
  <si>
    <t>101</t>
  </si>
  <si>
    <t>1</t>
  </si>
  <si>
    <t>0222376</t>
  </si>
  <si>
    <t>MAVIRET</t>
  </si>
  <si>
    <t>V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</si>
  <si>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</si>
  <si>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</si>
  <si>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</si>
  <si>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</si>
  <si>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</si>
  <si>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</si>
  <si>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</si>
  <si>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</si>
  <si>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11023</t>
  </si>
  <si>
    <t>KONTROLNÍ VYŠETŘENÍ INTERNISTOU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</si>
  <si>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</si>
  <si>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</si>
  <si>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</si>
  <si>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</si>
  <si>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</si>
  <si>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(prázdné)</t>
  </si>
  <si>
    <t>MAVIRE</t>
  </si>
  <si>
    <t>Zdravotní výkony + ZUM + ZULP vykázané na pracovišti v rámci ambulantní péče - orientační přehled</t>
  </si>
  <si>
    <t>beze jména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</si>
  <si>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</si>
  <si>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</si>
  <si>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</si>
  <si>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</si>
  <si>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</si>
  <si>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16 - Klinika plicních nemocí a tuberkulózy</t>
  </si>
  <si>
    <t>01</t>
  </si>
  <si>
    <t>02</t>
  </si>
  <si>
    <t>03</t>
  </si>
  <si>
    <t>04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</si>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</sst>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2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2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2" xfId="74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2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1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3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8" xfId="0" applyNumberFormat="1" applyFont="1" applyBorder="1" applyAlignment="1">
      <alignment horizontal="right" vertical="center"/>
    </xf>
    <xf numFmtId="175" fontId="39" fillId="0" borderId="67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6" fontId="39" fillId="0" borderId="6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7" borderId="72" xfId="0" quotePrefix="1" applyFont="1" applyFill="1" applyBorder="1" applyAlignment="1">
      <alignment horizontal="center" vertical="center" wrapText="1"/>
    </xf>
    <xf numFmtId="0" fontId="40" fillId="7" borderId="72" xfId="0" quotePrefix="1" applyFont="1" applyFill="1" applyBorder="1" applyAlignment="1">
      <alignment horizontal="center" vertical="center" wrapText="1"/>
    </xf>
    <xf numFmtId="0" fontId="40" fillId="7" borderId="71" xfId="0" quotePrefix="1" applyFont="1" applyFill="1" applyBorder="1" applyAlignment="1">
      <alignment horizontal="center" vertical="center" wrapTex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6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5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5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7" borderId="95" xfId="0" applyFont="1" applyFill="1" applyBorder="1" applyAlignment="1">
      <alignment horizontal="center"/>
    </xf>
    <xf numFmtId="0" fontId="54" fillId="7" borderId="94" xfId="0" applyFont="1" applyFill="1" applyBorder="1" applyAlignment="1">
      <alignment horizontal="center"/>
    </xf>
    <xf numFmtId="0" fontId="54" fillId="7" borderId="74" xfId="0" applyFont="1" applyFill="1" applyBorder="1" applyAlignment="1">
      <alignment horizontal="center"/>
    </xf>
    <xf numFmtId="0" fontId="39" fillId="4" borderId="83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69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8" borderId="97" xfId="0" applyNumberFormat="1" applyFont="1" applyFill="1" applyBorder="1" applyAlignment="1">
      <alignment horizontal="right" vertical="top"/>
    </xf>
    <xf numFmtId="3" fontId="33" fillId="8" borderId="98" xfId="0" applyNumberFormat="1" applyFont="1" applyFill="1" applyBorder="1" applyAlignment="1">
      <alignment horizontal="right" vertical="top"/>
    </xf>
    <xf numFmtId="177" fontId="33" fillId="8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8" borderId="100" xfId="0" applyNumberFormat="1" applyFont="1" applyFill="1" applyBorder="1" applyAlignment="1">
      <alignment horizontal="right" vertical="top"/>
    </xf>
    <xf numFmtId="3" fontId="35" fillId="8" borderId="102" xfId="0" applyNumberFormat="1" applyFont="1" applyFill="1" applyBorder="1" applyAlignment="1">
      <alignment horizontal="right" vertical="top"/>
    </xf>
    <xf numFmtId="3" fontId="35" fillId="8" borderId="103" xfId="0" applyNumberFormat="1" applyFont="1" applyFill="1" applyBorder="1" applyAlignment="1">
      <alignment horizontal="right" vertical="top"/>
    </xf>
    <xf numFmtId="0" fontId="35" fillId="8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8" borderId="105" xfId="0" applyFont="1" applyFill="1" applyBorder="1" applyAlignment="1">
      <alignment horizontal="right" vertical="top"/>
    </xf>
    <xf numFmtId="0" fontId="33" fillId="8" borderId="99" xfId="0" applyFont="1" applyFill="1" applyBorder="1" applyAlignment="1">
      <alignment horizontal="right" vertical="top"/>
    </xf>
    <xf numFmtId="0" fontId="33" fillId="8" borderId="100" xfId="0" applyFont="1" applyFill="1" applyBorder="1" applyAlignment="1">
      <alignment horizontal="right" vertical="top"/>
    </xf>
    <xf numFmtId="177" fontId="35" fillId="8" borderId="104" xfId="0" applyNumberFormat="1" applyFont="1" applyFill="1" applyBorder="1" applyAlignment="1">
      <alignment horizontal="right" vertical="top"/>
    </xf>
    <xf numFmtId="177" fontId="35" fillId="8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8" borderId="109" xfId="0" applyNumberFormat="1" applyFont="1" applyFill="1" applyBorder="1" applyAlignment="1">
      <alignment horizontal="right" vertical="top"/>
    </xf>
    <xf numFmtId="0" fontId="37" fillId="9" borderId="96" xfId="0" applyFont="1" applyFill="1" applyBorder="1" applyAlignment="1">
      <alignment vertical="top"/>
    </xf>
    <xf numFmtId="0" fontId="37" fillId="9" borderId="96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4"/>
    </xf>
    <xf numFmtId="0" fontId="38" fillId="9" borderId="101" xfId="0" applyFont="1" applyFill="1" applyBorder="1" applyAlignment="1">
      <alignment vertical="top" indent="6"/>
    </xf>
    <xf numFmtId="0" fontId="37" fillId="9" borderId="96" xfId="0" applyFont="1" applyFill="1" applyBorder="1" applyAlignment="1">
      <alignment vertical="top" indent="8"/>
    </xf>
    <xf numFmtId="0" fontId="38" fillId="9" borderId="101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6"/>
    </xf>
    <xf numFmtId="0" fontId="38" fillId="9" borderId="101" xfId="0" applyFont="1" applyFill="1" applyBorder="1" applyAlignment="1">
      <alignment vertical="top" indent="4"/>
    </xf>
    <xf numFmtId="0" fontId="32" fillId="9" borderId="96" xfId="0" applyFont="1" applyFill="1" applyBorder="1"/>
    <xf numFmtId="0" fontId="38" fillId="9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66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1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4" xfId="0" applyNumberFormat="1" applyFont="1" applyFill="1" applyBorder="1"/>
    <xf numFmtId="9" fontId="32" fillId="0" borderId="72" xfId="0" applyNumberFormat="1" applyFont="1" applyFill="1" applyBorder="1"/>
    <xf numFmtId="9" fontId="32" fillId="0" borderId="67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2.0071379523714543</c:v>
                </c:pt>
                <c:pt idx="1">
                  <c:v>1.9698659273059576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105392"/>
        <c:axId val="158511518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2.3488379739117051</c:v>
                </c:pt>
                <c:pt idx="1">
                  <c:v>2.3488379739117051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103216"/>
        <c:axId val="1585102672"/>
      </c:scatterChart>
      <c:catAx>
        <c:axId val="158510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511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115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85105392"/>
        <c:crosses val="autoZero"/>
        <c:crossBetween val="between"/>
      </c:valAx>
      <c:valAx>
        <c:axId val="15851032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85102672"/>
        <c:crosses val="max"/>
        <c:crossBetween val="midCat"/>
      </c:valAx>
      <c:valAx>
        <c:axId val="15851026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851032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8" totalsRowShown="0" headerRowDxfId="55" tableBorderDxfId="54">
  <autoFilter ref="A7:S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3"/>
    <tableColumn id="2" name="popis" dataDxfId="52"/>
    <tableColumn id="3" name="01 uv_sk" dataDxfId="51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name="02 uv_pla" dataDxfId="5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name="03 uv_pln" dataDxfId="4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name="04 uv_rozd" dataDxfId="4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name="05 h_vram" dataDxfId="4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name="06 h_naduv" dataDxfId="4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name="07 h_nadzk" dataDxfId="4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name="08 h_oon" dataDxfId="4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name="09 m_kl" dataDxfId="4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name="10 m_gr" dataDxfId="4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name="11 m_jo" dataDxfId="4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name="12 m_oc" dataDxfId="4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name="13 m_sk" dataDxfId="3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name="14_vzsk" dataDxfId="3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name="15_vzpl" dataDxfId="3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name="16_vzpln" dataDxfId="36">
      <calculatedColumnFormula>IF(Tabulka[[#This Row],[15_vzpl]]=0,"",Tabulka[[#This Row],[14_vzsk]]/Tabulka[[#This Row],[15_vzpl]])</calculatedColumnFormula>
    </tableColumn>
    <tableColumn id="20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72" t="s">
        <v>89</v>
      </c>
      <c r="B1" s="272"/>
    </row>
    <row r="2" spans="1:3" ht="14.4" customHeight="1" thickBot="1" x14ac:dyDescent="0.35">
      <c r="A2" s="199" t="s">
        <v>202</v>
      </c>
      <c r="B2" s="41"/>
    </row>
    <row r="3" spans="1:3" ht="14.4" customHeight="1" thickBot="1" x14ac:dyDescent="0.35">
      <c r="A3" s="268" t="s">
        <v>109</v>
      </c>
      <c r="B3" s="269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" customHeight="1" x14ac:dyDescent="0.3">
      <c r="A5" s="118" t="str">
        <f t="shared" si="0"/>
        <v>HI</v>
      </c>
      <c r="B5" s="65" t="s">
        <v>107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204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90</v>
      </c>
      <c r="B10" s="269"/>
    </row>
    <row r="11" spans="1:3" ht="14.4" customHeight="1" x14ac:dyDescent="0.3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" customHeight="1" x14ac:dyDescent="0.3">
      <c r="A12" s="119" t="str">
        <f t="shared" ref="A12:A13" si="2">HYPERLINK("#'"&amp;C12&amp;"'!A1",C12)</f>
        <v>MŽ Detail</v>
      </c>
      <c r="B12" s="66" t="s">
        <v>373</v>
      </c>
      <c r="C12" s="42" t="s">
        <v>96</v>
      </c>
    </row>
    <row r="13" spans="1:3" ht="14.4" customHeight="1" thickBot="1" x14ac:dyDescent="0.35">
      <c r="A13" s="121" t="str">
        <f t="shared" si="2"/>
        <v>Osobní náklady</v>
      </c>
      <c r="B13" s="66" t="s">
        <v>87</v>
      </c>
      <c r="C13" s="42" t="s">
        <v>97</v>
      </c>
    </row>
    <row r="14" spans="1:3" ht="14.4" customHeight="1" thickBot="1" x14ac:dyDescent="0.35">
      <c r="A14" s="69"/>
      <c r="B14" s="69"/>
    </row>
    <row r="15" spans="1:3" ht="14.4" customHeight="1" thickBot="1" x14ac:dyDescent="0.35">
      <c r="A15" s="271" t="s">
        <v>91</v>
      </c>
      <c r="B15" s="269"/>
    </row>
    <row r="16" spans="1:3" ht="14.4" customHeight="1" x14ac:dyDescent="0.3">
      <c r="A16" s="122" t="str">
        <f t="shared" ref="A16:A21" si="3">HYPERLINK("#'"&amp;C16&amp;"'!A1",C16)</f>
        <v>ZV Vykáz.-A</v>
      </c>
      <c r="B16" s="65" t="s">
        <v>376</v>
      </c>
      <c r="C16" s="42" t="s">
        <v>100</v>
      </c>
    </row>
    <row r="17" spans="1:3" ht="14.4" customHeight="1" x14ac:dyDescent="0.3">
      <c r="A17" s="119" t="str">
        <f t="shared" ref="A17" si="4">HYPERLINK("#'"&amp;C17&amp;"'!A1",C17)</f>
        <v>ZV Vykáz.-A Lékaři</v>
      </c>
      <c r="B17" s="66" t="s">
        <v>384</v>
      </c>
      <c r="C17" s="42" t="s">
        <v>142</v>
      </c>
    </row>
    <row r="18" spans="1:3" ht="14.4" customHeight="1" x14ac:dyDescent="0.3">
      <c r="A18" s="119" t="str">
        <f t="shared" si="3"/>
        <v>ZV Vykáz.-A Detail</v>
      </c>
      <c r="B18" s="66" t="s">
        <v>408</v>
      </c>
      <c r="C18" s="42" t="s">
        <v>101</v>
      </c>
    </row>
    <row r="19" spans="1:3" ht="14.4" customHeight="1" x14ac:dyDescent="0.3">
      <c r="A19" s="223" t="str">
        <f>HYPERLINK("#'"&amp;C19&amp;"'!A1",C19)</f>
        <v>ZV Vykáz.-A Det.Lék.</v>
      </c>
      <c r="B19" s="66" t="s">
        <v>410</v>
      </c>
      <c r="C19" s="42" t="s">
        <v>146</v>
      </c>
    </row>
    <row r="20" spans="1:3" ht="14.4" customHeight="1" x14ac:dyDescent="0.3">
      <c r="A20" s="119" t="str">
        <f t="shared" si="3"/>
        <v>ZV Vykáz.-H</v>
      </c>
      <c r="B20" s="66" t="s">
        <v>104</v>
      </c>
      <c r="C20" s="42" t="s">
        <v>102</v>
      </c>
    </row>
    <row r="21" spans="1:3" ht="14.4" customHeight="1" x14ac:dyDescent="0.3">
      <c r="A21" s="119" t="str">
        <f t="shared" si="3"/>
        <v>ZV Vykáz.-H Detail</v>
      </c>
      <c r="B21" s="66" t="s">
        <v>421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47" t="s">
        <v>376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</row>
    <row r="2" spans="1:28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105</v>
      </c>
      <c r="B3" s="188">
        <f>SUBTOTAL(9,B6:B1048576)/4</f>
        <v>367837.67000000004</v>
      </c>
      <c r="C3" s="189">
        <f t="shared" ref="C3:Z3" si="0">SUBTOTAL(9,C6:C1048576)</f>
        <v>0</v>
      </c>
      <c r="D3" s="189"/>
      <c r="E3" s="189">
        <f>SUBTOTAL(9,E6:E1048576)/4</f>
        <v>455483.33</v>
      </c>
      <c r="F3" s="189"/>
      <c r="G3" s="189">
        <f t="shared" si="0"/>
        <v>4.9530906391398135</v>
      </c>
      <c r="H3" s="189">
        <f>SUBTOTAL(9,H6:H1048576)/4</f>
        <v>613076.33000000007</v>
      </c>
      <c r="I3" s="192">
        <f>IF(B3&lt;&gt;0,H3/B3,"")</f>
        <v>1.6667034945061501</v>
      </c>
      <c r="J3" s="190">
        <f>IF(E3&lt;&gt;0,H3/E3,"")</f>
        <v>1.3459907083756502</v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0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533000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48" t="s">
        <v>143</v>
      </c>
      <c r="B4" s="349" t="s">
        <v>80</v>
      </c>
      <c r="C4" s="350"/>
      <c r="D4" s="351"/>
      <c r="E4" s="350"/>
      <c r="F4" s="351"/>
      <c r="G4" s="350"/>
      <c r="H4" s="350"/>
      <c r="I4" s="351"/>
      <c r="J4" s="352"/>
      <c r="K4" s="349" t="s">
        <v>81</v>
      </c>
      <c r="L4" s="351"/>
      <c r="M4" s="350"/>
      <c r="N4" s="350"/>
      <c r="O4" s="351"/>
      <c r="P4" s="350"/>
      <c r="Q4" s="350"/>
      <c r="R4" s="351"/>
      <c r="S4" s="352"/>
      <c r="T4" s="349" t="s">
        <v>82</v>
      </c>
      <c r="U4" s="351"/>
      <c r="V4" s="350"/>
      <c r="W4" s="350"/>
      <c r="X4" s="351"/>
      <c r="Y4" s="350"/>
      <c r="Z4" s="350"/>
      <c r="AA4" s="351"/>
      <c r="AB4" s="352"/>
    </row>
    <row r="5" spans="1:28" ht="14.4" customHeight="1" thickBot="1" x14ac:dyDescent="0.35">
      <c r="A5" s="424"/>
      <c r="B5" s="425">
        <v>2015</v>
      </c>
      <c r="C5" s="426"/>
      <c r="D5" s="426"/>
      <c r="E5" s="426">
        <v>2018</v>
      </c>
      <c r="F5" s="426"/>
      <c r="G5" s="426"/>
      <c r="H5" s="426">
        <v>2019</v>
      </c>
      <c r="I5" s="427" t="s">
        <v>144</v>
      </c>
      <c r="J5" s="428" t="s">
        <v>2</v>
      </c>
      <c r="K5" s="425">
        <v>2015</v>
      </c>
      <c r="L5" s="426"/>
      <c r="M5" s="426"/>
      <c r="N5" s="426">
        <v>2018</v>
      </c>
      <c r="O5" s="426"/>
      <c r="P5" s="426"/>
      <c r="Q5" s="426">
        <v>2019</v>
      </c>
      <c r="R5" s="427" t="s">
        <v>144</v>
      </c>
      <c r="S5" s="428" t="s">
        <v>2</v>
      </c>
      <c r="T5" s="425">
        <v>2015</v>
      </c>
      <c r="U5" s="426"/>
      <c r="V5" s="426"/>
      <c r="W5" s="426">
        <v>2018</v>
      </c>
      <c r="X5" s="426"/>
      <c r="Y5" s="426"/>
      <c r="Z5" s="426">
        <v>2019</v>
      </c>
      <c r="AA5" s="427" t="s">
        <v>144</v>
      </c>
      <c r="AB5" s="428" t="s">
        <v>2</v>
      </c>
    </row>
    <row r="6" spans="1:28" ht="14.4" customHeight="1" x14ac:dyDescent="0.3">
      <c r="A6" s="429" t="s">
        <v>374</v>
      </c>
      <c r="B6" s="430">
        <v>367837.67</v>
      </c>
      <c r="C6" s="431"/>
      <c r="D6" s="431">
        <v>1</v>
      </c>
      <c r="E6" s="430">
        <v>455483.33</v>
      </c>
      <c r="F6" s="431"/>
      <c r="G6" s="431">
        <v>1.2382726597849536</v>
      </c>
      <c r="H6" s="430">
        <v>613076.33000000007</v>
      </c>
      <c r="I6" s="431"/>
      <c r="J6" s="431">
        <v>1.6667034945061503</v>
      </c>
      <c r="K6" s="430"/>
      <c r="L6" s="431"/>
      <c r="M6" s="431"/>
      <c r="N6" s="430"/>
      <c r="O6" s="431"/>
      <c r="P6" s="431"/>
      <c r="Q6" s="430">
        <v>0</v>
      </c>
      <c r="R6" s="431"/>
      <c r="S6" s="431"/>
      <c r="T6" s="430"/>
      <c r="U6" s="431"/>
      <c r="V6" s="431"/>
      <c r="W6" s="430"/>
      <c r="X6" s="431"/>
      <c r="Y6" s="431"/>
      <c r="Z6" s="430">
        <v>266500</v>
      </c>
      <c r="AA6" s="431"/>
      <c r="AB6" s="432"/>
    </row>
    <row r="7" spans="1:28" ht="14.4" customHeight="1" thickBot="1" x14ac:dyDescent="0.35">
      <c r="A7" s="436" t="s">
        <v>375</v>
      </c>
      <c r="B7" s="433">
        <v>367837.67</v>
      </c>
      <c r="C7" s="434"/>
      <c r="D7" s="434">
        <v>1</v>
      </c>
      <c r="E7" s="433">
        <v>455483.33</v>
      </c>
      <c r="F7" s="434"/>
      <c r="G7" s="434">
        <v>1.2382726597849536</v>
      </c>
      <c r="H7" s="433">
        <v>613076.33000000007</v>
      </c>
      <c r="I7" s="434"/>
      <c r="J7" s="434">
        <v>1.6667034945061503</v>
      </c>
      <c r="K7" s="433"/>
      <c r="L7" s="434"/>
      <c r="M7" s="434"/>
      <c r="N7" s="433"/>
      <c r="O7" s="434"/>
      <c r="P7" s="434"/>
      <c r="Q7" s="433">
        <v>0</v>
      </c>
      <c r="R7" s="434"/>
      <c r="S7" s="434"/>
      <c r="T7" s="433"/>
      <c r="U7" s="434"/>
      <c r="V7" s="434"/>
      <c r="W7" s="433"/>
      <c r="X7" s="434"/>
      <c r="Y7" s="434"/>
      <c r="Z7" s="433">
        <v>266500</v>
      </c>
      <c r="AA7" s="434"/>
      <c r="AB7" s="435"/>
    </row>
    <row r="8" spans="1:28" ht="14.4" customHeight="1" thickBot="1" x14ac:dyDescent="0.35"/>
    <row r="9" spans="1:28" ht="14.4" customHeight="1" x14ac:dyDescent="0.3">
      <c r="A9" s="429" t="s">
        <v>270</v>
      </c>
      <c r="B9" s="430">
        <v>367837.67000000004</v>
      </c>
      <c r="C9" s="431"/>
      <c r="D9" s="431">
        <v>1</v>
      </c>
      <c r="E9" s="430">
        <v>455483.33</v>
      </c>
      <c r="F9" s="431"/>
      <c r="G9" s="431">
        <v>1.2382726597849534</v>
      </c>
      <c r="H9" s="430">
        <v>613076.33000000007</v>
      </c>
      <c r="I9" s="431"/>
      <c r="J9" s="432">
        <v>1.6667034945061501</v>
      </c>
    </row>
    <row r="10" spans="1:28" ht="14.4" customHeight="1" thickBot="1" x14ac:dyDescent="0.35">
      <c r="A10" s="436" t="s">
        <v>377</v>
      </c>
      <c r="B10" s="433">
        <v>367837.67000000004</v>
      </c>
      <c r="C10" s="434"/>
      <c r="D10" s="434">
        <v>1</v>
      </c>
      <c r="E10" s="433">
        <v>455483.33</v>
      </c>
      <c r="F10" s="434"/>
      <c r="G10" s="434">
        <v>1.2382726597849534</v>
      </c>
      <c r="H10" s="433">
        <v>613076.33000000007</v>
      </c>
      <c r="I10" s="434"/>
      <c r="J10" s="435">
        <v>1.6667034945061501</v>
      </c>
    </row>
    <row r="11" spans="1:28" ht="14.4" customHeight="1" x14ac:dyDescent="0.3">
      <c r="A11" s="437" t="s">
        <v>179</v>
      </c>
    </row>
    <row r="12" spans="1:28" ht="14.4" customHeight="1" x14ac:dyDescent="0.3">
      <c r="A12" s="438" t="s">
        <v>378</v>
      </c>
    </row>
    <row r="13" spans="1:28" ht="14.4" customHeight="1" x14ac:dyDescent="0.3">
      <c r="A13" s="437" t="s">
        <v>379</v>
      </c>
    </row>
    <row r="14" spans="1:28" ht="14.4" customHeight="1" x14ac:dyDescent="0.3">
      <c r="A14" s="437" t="s">
        <v>380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47" t="s">
        <v>384</v>
      </c>
      <c r="B1" s="272"/>
      <c r="C1" s="272"/>
      <c r="D1" s="272"/>
      <c r="E1" s="272"/>
      <c r="F1" s="272"/>
      <c r="G1" s="272"/>
    </row>
    <row r="2" spans="1:7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8" t="s">
        <v>105</v>
      </c>
      <c r="B3" s="215">
        <f t="shared" ref="B3:G3" si="0">SUBTOTAL(9,B6:B1048576)</f>
        <v>495</v>
      </c>
      <c r="C3" s="216">
        <f t="shared" si="0"/>
        <v>734</v>
      </c>
      <c r="D3" s="227">
        <f t="shared" si="0"/>
        <v>787</v>
      </c>
      <c r="E3" s="191">
        <f t="shared" si="0"/>
        <v>367837.67000000004</v>
      </c>
      <c r="F3" s="189">
        <f t="shared" si="0"/>
        <v>455483.33</v>
      </c>
      <c r="G3" s="217">
        <f t="shared" si="0"/>
        <v>613076.33000000007</v>
      </c>
    </row>
    <row r="4" spans="1:7" ht="14.4" customHeight="1" x14ac:dyDescent="0.3">
      <c r="A4" s="348" t="s">
        <v>106</v>
      </c>
      <c r="B4" s="353" t="s">
        <v>141</v>
      </c>
      <c r="C4" s="351"/>
      <c r="D4" s="354"/>
      <c r="E4" s="353" t="s">
        <v>80</v>
      </c>
      <c r="F4" s="351"/>
      <c r="G4" s="354"/>
    </row>
    <row r="5" spans="1:7" ht="14.4" customHeight="1" thickBot="1" x14ac:dyDescent="0.35">
      <c r="A5" s="424"/>
      <c r="B5" s="425">
        <v>2015</v>
      </c>
      <c r="C5" s="426">
        <v>2018</v>
      </c>
      <c r="D5" s="439">
        <v>2019</v>
      </c>
      <c r="E5" s="425">
        <v>2015</v>
      </c>
      <c r="F5" s="426">
        <v>2018</v>
      </c>
      <c r="G5" s="439">
        <v>2019</v>
      </c>
    </row>
    <row r="6" spans="1:7" ht="14.4" customHeight="1" x14ac:dyDescent="0.3">
      <c r="A6" s="446" t="s">
        <v>381</v>
      </c>
      <c r="B6" s="410"/>
      <c r="C6" s="410"/>
      <c r="D6" s="410">
        <v>1</v>
      </c>
      <c r="E6" s="440"/>
      <c r="F6" s="440"/>
      <c r="G6" s="441">
        <v>0</v>
      </c>
    </row>
    <row r="7" spans="1:7" ht="14.4" customHeight="1" x14ac:dyDescent="0.3">
      <c r="A7" s="447" t="s">
        <v>382</v>
      </c>
      <c r="B7" s="416"/>
      <c r="C7" s="416"/>
      <c r="D7" s="416">
        <v>5</v>
      </c>
      <c r="E7" s="442"/>
      <c r="F7" s="442"/>
      <c r="G7" s="443">
        <v>1052.67</v>
      </c>
    </row>
    <row r="8" spans="1:7" ht="14.4" customHeight="1" thickBot="1" x14ac:dyDescent="0.35">
      <c r="A8" s="448" t="s">
        <v>383</v>
      </c>
      <c r="B8" s="422">
        <v>495</v>
      </c>
      <c r="C8" s="422">
        <v>734</v>
      </c>
      <c r="D8" s="422">
        <v>781</v>
      </c>
      <c r="E8" s="444">
        <v>367837.67000000004</v>
      </c>
      <c r="F8" s="444">
        <v>455483.33</v>
      </c>
      <c r="G8" s="445">
        <v>612023.66</v>
      </c>
    </row>
    <row r="9" spans="1:7" ht="14.4" customHeight="1" x14ac:dyDescent="0.3">
      <c r="A9" s="437" t="s">
        <v>179</v>
      </c>
    </row>
    <row r="10" spans="1:7" ht="14.4" customHeight="1" x14ac:dyDescent="0.3">
      <c r="A10" s="438" t="s">
        <v>378</v>
      </c>
    </row>
    <row r="11" spans="1:7" ht="14.4" customHeight="1" x14ac:dyDescent="0.3">
      <c r="A11" s="437" t="s">
        <v>379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72" t="s">
        <v>408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4.4" customHeight="1" thickBot="1" x14ac:dyDescent="0.35">
      <c r="A2" s="199" t="s">
        <v>202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105</v>
      </c>
      <c r="G3" s="77">
        <f t="shared" ref="G3:P3" si="0">SUBTOTAL(9,G6:G1048576)</f>
        <v>495</v>
      </c>
      <c r="H3" s="78">
        <f t="shared" si="0"/>
        <v>367837.67</v>
      </c>
      <c r="I3" s="58"/>
      <c r="J3" s="58"/>
      <c r="K3" s="78">
        <f t="shared" si="0"/>
        <v>734</v>
      </c>
      <c r="L3" s="78">
        <f t="shared" si="0"/>
        <v>455483.33</v>
      </c>
      <c r="M3" s="58"/>
      <c r="N3" s="58"/>
      <c r="O3" s="78">
        <f t="shared" si="0"/>
        <v>788</v>
      </c>
      <c r="P3" s="78">
        <f t="shared" si="0"/>
        <v>879576.33000000007</v>
      </c>
      <c r="Q3" s="59">
        <f>IF(L3=0,0,P3/L3)</f>
        <v>1.9310834712655676</v>
      </c>
      <c r="R3" s="79">
        <f>IF(O3=0,0,P3/O3)</f>
        <v>1116.2136167512692</v>
      </c>
    </row>
    <row r="4" spans="1:18" ht="14.4" customHeight="1" x14ac:dyDescent="0.3">
      <c r="A4" s="355" t="s">
        <v>145</v>
      </c>
      <c r="B4" s="355" t="s">
        <v>76</v>
      </c>
      <c r="C4" s="363" t="s">
        <v>0</v>
      </c>
      <c r="D4" s="357" t="s">
        <v>77</v>
      </c>
      <c r="E4" s="362" t="s">
        <v>52</v>
      </c>
      <c r="F4" s="358" t="s">
        <v>51</v>
      </c>
      <c r="G4" s="359">
        <v>2015</v>
      </c>
      <c r="H4" s="360"/>
      <c r="I4" s="76"/>
      <c r="J4" s="76"/>
      <c r="K4" s="359">
        <v>2018</v>
      </c>
      <c r="L4" s="360"/>
      <c r="M4" s="76"/>
      <c r="N4" s="76"/>
      <c r="O4" s="359">
        <v>2019</v>
      </c>
      <c r="P4" s="360"/>
      <c r="Q4" s="361" t="s">
        <v>2</v>
      </c>
      <c r="R4" s="356" t="s">
        <v>79</v>
      </c>
    </row>
    <row r="5" spans="1:18" ht="14.4" customHeight="1" thickBot="1" x14ac:dyDescent="0.35">
      <c r="A5" s="449"/>
      <c r="B5" s="449"/>
      <c r="C5" s="450"/>
      <c r="D5" s="451"/>
      <c r="E5" s="452"/>
      <c r="F5" s="453"/>
      <c r="G5" s="454" t="s">
        <v>53</v>
      </c>
      <c r="H5" s="455" t="s">
        <v>10</v>
      </c>
      <c r="I5" s="456"/>
      <c r="J5" s="456"/>
      <c r="K5" s="454" t="s">
        <v>53</v>
      </c>
      <c r="L5" s="455" t="s">
        <v>10</v>
      </c>
      <c r="M5" s="456"/>
      <c r="N5" s="456"/>
      <c r="O5" s="454" t="s">
        <v>53</v>
      </c>
      <c r="P5" s="455" t="s">
        <v>10</v>
      </c>
      <c r="Q5" s="457"/>
      <c r="R5" s="458"/>
    </row>
    <row r="6" spans="1:18" ht="14.4" customHeight="1" x14ac:dyDescent="0.3">
      <c r="A6" s="406" t="s">
        <v>385</v>
      </c>
      <c r="B6" s="407" t="s">
        <v>386</v>
      </c>
      <c r="C6" s="407" t="s">
        <v>270</v>
      </c>
      <c r="D6" s="407" t="s">
        <v>387</v>
      </c>
      <c r="E6" s="407" t="s">
        <v>388</v>
      </c>
      <c r="F6" s="407" t="s">
        <v>389</v>
      </c>
      <c r="G6" s="410"/>
      <c r="H6" s="410"/>
      <c r="I6" s="407"/>
      <c r="J6" s="407"/>
      <c r="K6" s="410"/>
      <c r="L6" s="410"/>
      <c r="M6" s="407"/>
      <c r="N6" s="407"/>
      <c r="O6" s="410">
        <v>1</v>
      </c>
      <c r="P6" s="410">
        <v>266500</v>
      </c>
      <c r="Q6" s="459"/>
      <c r="R6" s="411">
        <v>266500</v>
      </c>
    </row>
    <row r="7" spans="1:18" ht="14.4" customHeight="1" x14ac:dyDescent="0.3">
      <c r="A7" s="412" t="s">
        <v>385</v>
      </c>
      <c r="B7" s="413" t="s">
        <v>386</v>
      </c>
      <c r="C7" s="413" t="s">
        <v>270</v>
      </c>
      <c r="D7" s="413" t="s">
        <v>390</v>
      </c>
      <c r="E7" s="413" t="s">
        <v>391</v>
      </c>
      <c r="F7" s="413" t="s">
        <v>392</v>
      </c>
      <c r="G7" s="416">
        <v>43</v>
      </c>
      <c r="H7" s="416">
        <v>1591</v>
      </c>
      <c r="I7" s="413">
        <v>1</v>
      </c>
      <c r="J7" s="413">
        <v>37</v>
      </c>
      <c r="K7" s="416">
        <v>66</v>
      </c>
      <c r="L7" s="416">
        <v>2442</v>
      </c>
      <c r="M7" s="413">
        <v>1.5348837209302326</v>
      </c>
      <c r="N7" s="413">
        <v>37</v>
      </c>
      <c r="O7" s="416">
        <v>51</v>
      </c>
      <c r="P7" s="416">
        <v>1938</v>
      </c>
      <c r="Q7" s="460">
        <v>1.2181018227529856</v>
      </c>
      <c r="R7" s="417">
        <v>38</v>
      </c>
    </row>
    <row r="8" spans="1:18" ht="14.4" customHeight="1" x14ac:dyDescent="0.3">
      <c r="A8" s="412" t="s">
        <v>385</v>
      </c>
      <c r="B8" s="413" t="s">
        <v>386</v>
      </c>
      <c r="C8" s="413" t="s">
        <v>270</v>
      </c>
      <c r="D8" s="413" t="s">
        <v>390</v>
      </c>
      <c r="E8" s="413" t="s">
        <v>393</v>
      </c>
      <c r="F8" s="413" t="s">
        <v>394</v>
      </c>
      <c r="G8" s="416"/>
      <c r="H8" s="416"/>
      <c r="I8" s="413"/>
      <c r="J8" s="413"/>
      <c r="K8" s="416"/>
      <c r="L8" s="416"/>
      <c r="M8" s="413"/>
      <c r="N8" s="413"/>
      <c r="O8" s="416">
        <v>1</v>
      </c>
      <c r="P8" s="416">
        <v>0</v>
      </c>
      <c r="Q8" s="460"/>
      <c r="R8" s="417">
        <v>0</v>
      </c>
    </row>
    <row r="9" spans="1:18" ht="14.4" customHeight="1" x14ac:dyDescent="0.3">
      <c r="A9" s="412" t="s">
        <v>385</v>
      </c>
      <c r="B9" s="413" t="s">
        <v>386</v>
      </c>
      <c r="C9" s="413" t="s">
        <v>270</v>
      </c>
      <c r="D9" s="413" t="s">
        <v>390</v>
      </c>
      <c r="E9" s="413" t="s">
        <v>395</v>
      </c>
      <c r="F9" s="413" t="s">
        <v>396</v>
      </c>
      <c r="G9" s="416">
        <v>22</v>
      </c>
      <c r="H9" s="416">
        <v>10340</v>
      </c>
      <c r="I9" s="413">
        <v>1</v>
      </c>
      <c r="J9" s="413">
        <v>470</v>
      </c>
      <c r="K9" s="416">
        <v>32</v>
      </c>
      <c r="L9" s="416">
        <v>15072</v>
      </c>
      <c r="M9" s="413">
        <v>1.4576402321083173</v>
      </c>
      <c r="N9" s="413">
        <v>471</v>
      </c>
      <c r="O9" s="416">
        <v>55</v>
      </c>
      <c r="P9" s="416">
        <v>26070</v>
      </c>
      <c r="Q9" s="460">
        <v>2.521276595744681</v>
      </c>
      <c r="R9" s="417">
        <v>474</v>
      </c>
    </row>
    <row r="10" spans="1:18" ht="14.4" customHeight="1" x14ac:dyDescent="0.3">
      <c r="A10" s="412" t="s">
        <v>385</v>
      </c>
      <c r="B10" s="413" t="s">
        <v>386</v>
      </c>
      <c r="C10" s="413" t="s">
        <v>270</v>
      </c>
      <c r="D10" s="413" t="s">
        <v>390</v>
      </c>
      <c r="E10" s="413" t="s">
        <v>397</v>
      </c>
      <c r="F10" s="413" t="s">
        <v>398</v>
      </c>
      <c r="G10" s="416">
        <v>26</v>
      </c>
      <c r="H10" s="416">
        <v>866.67</v>
      </c>
      <c r="I10" s="413">
        <v>1</v>
      </c>
      <c r="J10" s="413">
        <v>33.333461538461535</v>
      </c>
      <c r="K10" s="416">
        <v>34</v>
      </c>
      <c r="L10" s="416">
        <v>1133.33</v>
      </c>
      <c r="M10" s="413">
        <v>1.3076834319868</v>
      </c>
      <c r="N10" s="413">
        <v>33.333235294117642</v>
      </c>
      <c r="O10" s="416">
        <v>58</v>
      </c>
      <c r="P10" s="416">
        <v>1933.33</v>
      </c>
      <c r="Q10" s="460">
        <v>2.2307568047815201</v>
      </c>
      <c r="R10" s="417">
        <v>33.333275862068966</v>
      </c>
    </row>
    <row r="11" spans="1:18" ht="14.4" customHeight="1" x14ac:dyDescent="0.3">
      <c r="A11" s="412" t="s">
        <v>385</v>
      </c>
      <c r="B11" s="413" t="s">
        <v>386</v>
      </c>
      <c r="C11" s="413" t="s">
        <v>270</v>
      </c>
      <c r="D11" s="413" t="s">
        <v>390</v>
      </c>
      <c r="E11" s="413" t="s">
        <v>399</v>
      </c>
      <c r="F11" s="413" t="s">
        <v>400</v>
      </c>
      <c r="G11" s="416">
        <v>4</v>
      </c>
      <c r="H11" s="416">
        <v>940</v>
      </c>
      <c r="I11" s="413">
        <v>1</v>
      </c>
      <c r="J11" s="413">
        <v>235</v>
      </c>
      <c r="K11" s="416">
        <v>4</v>
      </c>
      <c r="L11" s="416">
        <v>944</v>
      </c>
      <c r="M11" s="413">
        <v>1.0042553191489361</v>
      </c>
      <c r="N11" s="413">
        <v>236</v>
      </c>
      <c r="O11" s="416">
        <v>3</v>
      </c>
      <c r="P11" s="416">
        <v>711</v>
      </c>
      <c r="Q11" s="460">
        <v>0.75638297872340421</v>
      </c>
      <c r="R11" s="417">
        <v>237</v>
      </c>
    </row>
    <row r="12" spans="1:18" ht="14.4" customHeight="1" x14ac:dyDescent="0.3">
      <c r="A12" s="412" t="s">
        <v>385</v>
      </c>
      <c r="B12" s="413" t="s">
        <v>386</v>
      </c>
      <c r="C12" s="413" t="s">
        <v>270</v>
      </c>
      <c r="D12" s="413" t="s">
        <v>390</v>
      </c>
      <c r="E12" s="413" t="s">
        <v>401</v>
      </c>
      <c r="F12" s="413" t="s">
        <v>402</v>
      </c>
      <c r="G12" s="416">
        <v>325</v>
      </c>
      <c r="H12" s="416">
        <v>85150</v>
      </c>
      <c r="I12" s="413">
        <v>1</v>
      </c>
      <c r="J12" s="413">
        <v>262</v>
      </c>
      <c r="K12" s="416">
        <v>514</v>
      </c>
      <c r="L12" s="416">
        <v>134668</v>
      </c>
      <c r="M12" s="413">
        <v>1.5815384615384616</v>
      </c>
      <c r="N12" s="413">
        <v>262</v>
      </c>
      <c r="O12" s="416">
        <v>495</v>
      </c>
      <c r="P12" s="416">
        <v>129690</v>
      </c>
      <c r="Q12" s="460">
        <v>1.523076923076923</v>
      </c>
      <c r="R12" s="417">
        <v>262</v>
      </c>
    </row>
    <row r="13" spans="1:18" ht="14.4" customHeight="1" x14ac:dyDescent="0.3">
      <c r="A13" s="412" t="s">
        <v>385</v>
      </c>
      <c r="B13" s="413" t="s">
        <v>386</v>
      </c>
      <c r="C13" s="413" t="s">
        <v>270</v>
      </c>
      <c r="D13" s="413" t="s">
        <v>390</v>
      </c>
      <c r="E13" s="413" t="s">
        <v>403</v>
      </c>
      <c r="F13" s="413" t="s">
        <v>404</v>
      </c>
      <c r="G13" s="416">
        <v>75</v>
      </c>
      <c r="H13" s="416">
        <v>268950</v>
      </c>
      <c r="I13" s="413">
        <v>1</v>
      </c>
      <c r="J13" s="413">
        <v>3586</v>
      </c>
      <c r="K13" s="416">
        <v>84</v>
      </c>
      <c r="L13" s="416">
        <v>301224</v>
      </c>
      <c r="M13" s="413">
        <v>1.1200000000000001</v>
      </c>
      <c r="N13" s="413">
        <v>3586</v>
      </c>
      <c r="O13" s="416">
        <v>119</v>
      </c>
      <c r="P13" s="416">
        <v>426734</v>
      </c>
      <c r="Q13" s="460">
        <v>1.5866666666666667</v>
      </c>
      <c r="R13" s="417">
        <v>3586</v>
      </c>
    </row>
    <row r="14" spans="1:18" ht="14.4" customHeight="1" x14ac:dyDescent="0.3">
      <c r="A14" s="412" t="s">
        <v>385</v>
      </c>
      <c r="B14" s="413" t="s">
        <v>386</v>
      </c>
      <c r="C14" s="413" t="s">
        <v>270</v>
      </c>
      <c r="D14" s="413" t="s">
        <v>390</v>
      </c>
      <c r="E14" s="413" t="s">
        <v>405</v>
      </c>
      <c r="F14" s="413" t="s">
        <v>404</v>
      </c>
      <c r="G14" s="416"/>
      <c r="H14" s="416"/>
      <c r="I14" s="413"/>
      <c r="J14" s="413"/>
      <c r="K14" s="416"/>
      <c r="L14" s="416"/>
      <c r="M14" s="413"/>
      <c r="N14" s="413"/>
      <c r="O14" s="416">
        <v>5</v>
      </c>
      <c r="P14" s="416">
        <v>26000</v>
      </c>
      <c r="Q14" s="460"/>
      <c r="R14" s="417">
        <v>5200</v>
      </c>
    </row>
    <row r="15" spans="1:18" ht="14.4" customHeight="1" thickBot="1" x14ac:dyDescent="0.35">
      <c r="A15" s="418" t="s">
        <v>385</v>
      </c>
      <c r="B15" s="419" t="s">
        <v>386</v>
      </c>
      <c r="C15" s="419" t="s">
        <v>406</v>
      </c>
      <c r="D15" s="419" t="s">
        <v>387</v>
      </c>
      <c r="E15" s="419" t="s">
        <v>388</v>
      </c>
      <c r="F15" s="419" t="s">
        <v>407</v>
      </c>
      <c r="G15" s="422"/>
      <c r="H15" s="422"/>
      <c r="I15" s="419"/>
      <c r="J15" s="419"/>
      <c r="K15" s="422"/>
      <c r="L15" s="422"/>
      <c r="M15" s="419"/>
      <c r="N15" s="419"/>
      <c r="O15" s="422">
        <v>0</v>
      </c>
      <c r="P15" s="422">
        <v>0</v>
      </c>
      <c r="Q15" s="461"/>
      <c r="R15" s="42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72" t="s">
        <v>410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4.4" customHeight="1" thickBot="1" x14ac:dyDescent="0.35">
      <c r="A2" s="199" t="s">
        <v>202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105</v>
      </c>
      <c r="H3" s="77">
        <f t="shared" ref="H3:Q3" si="0">SUBTOTAL(9,H6:H1048576)</f>
        <v>495</v>
      </c>
      <c r="I3" s="78">
        <f t="shared" si="0"/>
        <v>367837.67</v>
      </c>
      <c r="J3" s="58"/>
      <c r="K3" s="58"/>
      <c r="L3" s="78">
        <f t="shared" si="0"/>
        <v>734</v>
      </c>
      <c r="M3" s="78">
        <f t="shared" si="0"/>
        <v>455483.33</v>
      </c>
      <c r="N3" s="58"/>
      <c r="O3" s="58"/>
      <c r="P3" s="78">
        <f t="shared" si="0"/>
        <v>788</v>
      </c>
      <c r="Q3" s="78">
        <f t="shared" si="0"/>
        <v>879576.33</v>
      </c>
      <c r="R3" s="59">
        <f>IF(M3=0,0,Q3/M3)</f>
        <v>1.9310834712655673</v>
      </c>
      <c r="S3" s="79">
        <f>IF(P3=0,0,Q3/P3)</f>
        <v>1116.213616751269</v>
      </c>
    </row>
    <row r="4" spans="1:19" ht="14.4" customHeight="1" x14ac:dyDescent="0.3">
      <c r="A4" s="355" t="s">
        <v>145</v>
      </c>
      <c r="B4" s="355" t="s">
        <v>76</v>
      </c>
      <c r="C4" s="363" t="s">
        <v>0</v>
      </c>
      <c r="D4" s="222" t="s">
        <v>106</v>
      </c>
      <c r="E4" s="357" t="s">
        <v>77</v>
      </c>
      <c r="F4" s="362" t="s">
        <v>52</v>
      </c>
      <c r="G4" s="358" t="s">
        <v>51</v>
      </c>
      <c r="H4" s="359">
        <v>2015</v>
      </c>
      <c r="I4" s="360"/>
      <c r="J4" s="76"/>
      <c r="K4" s="76"/>
      <c r="L4" s="359">
        <v>2018</v>
      </c>
      <c r="M4" s="360"/>
      <c r="N4" s="76"/>
      <c r="O4" s="76"/>
      <c r="P4" s="359">
        <v>2019</v>
      </c>
      <c r="Q4" s="360"/>
      <c r="R4" s="361" t="s">
        <v>2</v>
      </c>
      <c r="S4" s="356" t="s">
        <v>79</v>
      </c>
    </row>
    <row r="5" spans="1:19" ht="14.4" customHeight="1" thickBot="1" x14ac:dyDescent="0.35">
      <c r="A5" s="449"/>
      <c r="B5" s="449"/>
      <c r="C5" s="450"/>
      <c r="D5" s="462"/>
      <c r="E5" s="451"/>
      <c r="F5" s="452"/>
      <c r="G5" s="453"/>
      <c r="H5" s="454" t="s">
        <v>53</v>
      </c>
      <c r="I5" s="455" t="s">
        <v>10</v>
      </c>
      <c r="J5" s="456"/>
      <c r="K5" s="456"/>
      <c r="L5" s="454" t="s">
        <v>53</v>
      </c>
      <c r="M5" s="455" t="s">
        <v>10</v>
      </c>
      <c r="N5" s="456"/>
      <c r="O5" s="456"/>
      <c r="P5" s="454" t="s">
        <v>53</v>
      </c>
      <c r="Q5" s="455" t="s">
        <v>10</v>
      </c>
      <c r="R5" s="457"/>
      <c r="S5" s="458"/>
    </row>
    <row r="6" spans="1:19" ht="14.4" customHeight="1" x14ac:dyDescent="0.3">
      <c r="A6" s="406" t="s">
        <v>385</v>
      </c>
      <c r="B6" s="407" t="s">
        <v>386</v>
      </c>
      <c r="C6" s="407" t="s">
        <v>270</v>
      </c>
      <c r="D6" s="407" t="s">
        <v>381</v>
      </c>
      <c r="E6" s="407" t="s">
        <v>387</v>
      </c>
      <c r="F6" s="407" t="s">
        <v>388</v>
      </c>
      <c r="G6" s="407" t="s">
        <v>389</v>
      </c>
      <c r="H6" s="410"/>
      <c r="I6" s="410"/>
      <c r="J6" s="407"/>
      <c r="K6" s="407"/>
      <c r="L6" s="410"/>
      <c r="M6" s="410"/>
      <c r="N6" s="407"/>
      <c r="O6" s="407"/>
      <c r="P6" s="410">
        <v>1</v>
      </c>
      <c r="Q6" s="410">
        <v>266500</v>
      </c>
      <c r="R6" s="459"/>
      <c r="S6" s="411">
        <v>266500</v>
      </c>
    </row>
    <row r="7" spans="1:19" ht="14.4" customHeight="1" x14ac:dyDescent="0.3">
      <c r="A7" s="412" t="s">
        <v>385</v>
      </c>
      <c r="B7" s="413" t="s">
        <v>386</v>
      </c>
      <c r="C7" s="413" t="s">
        <v>270</v>
      </c>
      <c r="D7" s="413" t="s">
        <v>381</v>
      </c>
      <c r="E7" s="413" t="s">
        <v>390</v>
      </c>
      <c r="F7" s="413" t="s">
        <v>393</v>
      </c>
      <c r="G7" s="413" t="s">
        <v>394</v>
      </c>
      <c r="H7" s="416"/>
      <c r="I7" s="416"/>
      <c r="J7" s="413"/>
      <c r="K7" s="413"/>
      <c r="L7" s="416"/>
      <c r="M7" s="416"/>
      <c r="N7" s="413"/>
      <c r="O7" s="413"/>
      <c r="P7" s="416">
        <v>1</v>
      </c>
      <c r="Q7" s="416">
        <v>0</v>
      </c>
      <c r="R7" s="460"/>
      <c r="S7" s="417">
        <v>0</v>
      </c>
    </row>
    <row r="8" spans="1:19" ht="14.4" customHeight="1" x14ac:dyDescent="0.3">
      <c r="A8" s="412" t="s">
        <v>385</v>
      </c>
      <c r="B8" s="413" t="s">
        <v>386</v>
      </c>
      <c r="C8" s="413" t="s">
        <v>270</v>
      </c>
      <c r="D8" s="413" t="s">
        <v>382</v>
      </c>
      <c r="E8" s="413" t="s">
        <v>390</v>
      </c>
      <c r="F8" s="413" t="s">
        <v>391</v>
      </c>
      <c r="G8" s="413" t="s">
        <v>392</v>
      </c>
      <c r="H8" s="416"/>
      <c r="I8" s="416"/>
      <c r="J8" s="413"/>
      <c r="K8" s="413"/>
      <c r="L8" s="416"/>
      <c r="M8" s="416"/>
      <c r="N8" s="413"/>
      <c r="O8" s="413"/>
      <c r="P8" s="416">
        <v>1</v>
      </c>
      <c r="Q8" s="416">
        <v>38</v>
      </c>
      <c r="R8" s="460"/>
      <c r="S8" s="417">
        <v>38</v>
      </c>
    </row>
    <row r="9" spans="1:19" ht="14.4" customHeight="1" x14ac:dyDescent="0.3">
      <c r="A9" s="412" t="s">
        <v>385</v>
      </c>
      <c r="B9" s="413" t="s">
        <v>386</v>
      </c>
      <c r="C9" s="413" t="s">
        <v>270</v>
      </c>
      <c r="D9" s="413" t="s">
        <v>382</v>
      </c>
      <c r="E9" s="413" t="s">
        <v>390</v>
      </c>
      <c r="F9" s="413" t="s">
        <v>395</v>
      </c>
      <c r="G9" s="413" t="s">
        <v>396</v>
      </c>
      <c r="H9" s="416"/>
      <c r="I9" s="416"/>
      <c r="J9" s="413"/>
      <c r="K9" s="413"/>
      <c r="L9" s="416"/>
      <c r="M9" s="416"/>
      <c r="N9" s="413"/>
      <c r="O9" s="413"/>
      <c r="P9" s="416">
        <v>2</v>
      </c>
      <c r="Q9" s="416">
        <v>948</v>
      </c>
      <c r="R9" s="460"/>
      <c r="S9" s="417">
        <v>474</v>
      </c>
    </row>
    <row r="10" spans="1:19" ht="14.4" customHeight="1" x14ac:dyDescent="0.3">
      <c r="A10" s="412" t="s">
        <v>385</v>
      </c>
      <c r="B10" s="413" t="s">
        <v>386</v>
      </c>
      <c r="C10" s="413" t="s">
        <v>270</v>
      </c>
      <c r="D10" s="413" t="s">
        <v>382</v>
      </c>
      <c r="E10" s="413" t="s">
        <v>390</v>
      </c>
      <c r="F10" s="413" t="s">
        <v>397</v>
      </c>
      <c r="G10" s="413" t="s">
        <v>398</v>
      </c>
      <c r="H10" s="416"/>
      <c r="I10" s="416"/>
      <c r="J10" s="413"/>
      <c r="K10" s="413"/>
      <c r="L10" s="416"/>
      <c r="M10" s="416"/>
      <c r="N10" s="413"/>
      <c r="O10" s="413"/>
      <c r="P10" s="416">
        <v>2</v>
      </c>
      <c r="Q10" s="416">
        <v>66.67</v>
      </c>
      <c r="R10" s="460"/>
      <c r="S10" s="417">
        <v>33.335000000000001</v>
      </c>
    </row>
    <row r="11" spans="1:19" ht="14.4" customHeight="1" x14ac:dyDescent="0.3">
      <c r="A11" s="412" t="s">
        <v>385</v>
      </c>
      <c r="B11" s="413" t="s">
        <v>386</v>
      </c>
      <c r="C11" s="413" t="s">
        <v>270</v>
      </c>
      <c r="D11" s="413" t="s">
        <v>383</v>
      </c>
      <c r="E11" s="413" t="s">
        <v>390</v>
      </c>
      <c r="F11" s="413" t="s">
        <v>391</v>
      </c>
      <c r="G11" s="413" t="s">
        <v>392</v>
      </c>
      <c r="H11" s="416">
        <v>43</v>
      </c>
      <c r="I11" s="416">
        <v>1591</v>
      </c>
      <c r="J11" s="413">
        <v>1</v>
      </c>
      <c r="K11" s="413">
        <v>37</v>
      </c>
      <c r="L11" s="416">
        <v>66</v>
      </c>
      <c r="M11" s="416">
        <v>2442</v>
      </c>
      <c r="N11" s="413">
        <v>1.5348837209302326</v>
      </c>
      <c r="O11" s="413">
        <v>37</v>
      </c>
      <c r="P11" s="416">
        <v>50</v>
      </c>
      <c r="Q11" s="416">
        <v>1900</v>
      </c>
      <c r="R11" s="460">
        <v>1.1942174732872408</v>
      </c>
      <c r="S11" s="417">
        <v>38</v>
      </c>
    </row>
    <row r="12" spans="1:19" ht="14.4" customHeight="1" x14ac:dyDescent="0.3">
      <c r="A12" s="412" t="s">
        <v>385</v>
      </c>
      <c r="B12" s="413" t="s">
        <v>386</v>
      </c>
      <c r="C12" s="413" t="s">
        <v>270</v>
      </c>
      <c r="D12" s="413" t="s">
        <v>383</v>
      </c>
      <c r="E12" s="413" t="s">
        <v>390</v>
      </c>
      <c r="F12" s="413" t="s">
        <v>395</v>
      </c>
      <c r="G12" s="413" t="s">
        <v>396</v>
      </c>
      <c r="H12" s="416">
        <v>22</v>
      </c>
      <c r="I12" s="416">
        <v>10340</v>
      </c>
      <c r="J12" s="413">
        <v>1</v>
      </c>
      <c r="K12" s="413">
        <v>470</v>
      </c>
      <c r="L12" s="416">
        <v>32</v>
      </c>
      <c r="M12" s="416">
        <v>15072</v>
      </c>
      <c r="N12" s="413">
        <v>1.4576402321083173</v>
      </c>
      <c r="O12" s="413">
        <v>471</v>
      </c>
      <c r="P12" s="416">
        <v>53</v>
      </c>
      <c r="Q12" s="416">
        <v>25122</v>
      </c>
      <c r="R12" s="460">
        <v>2.4295938104448744</v>
      </c>
      <c r="S12" s="417">
        <v>474</v>
      </c>
    </row>
    <row r="13" spans="1:19" ht="14.4" customHeight="1" x14ac:dyDescent="0.3">
      <c r="A13" s="412" t="s">
        <v>385</v>
      </c>
      <c r="B13" s="413" t="s">
        <v>386</v>
      </c>
      <c r="C13" s="413" t="s">
        <v>270</v>
      </c>
      <c r="D13" s="413" t="s">
        <v>383</v>
      </c>
      <c r="E13" s="413" t="s">
        <v>390</v>
      </c>
      <c r="F13" s="413" t="s">
        <v>397</v>
      </c>
      <c r="G13" s="413" t="s">
        <v>398</v>
      </c>
      <c r="H13" s="416">
        <v>26</v>
      </c>
      <c r="I13" s="416">
        <v>866.67</v>
      </c>
      <c r="J13" s="413">
        <v>1</v>
      </c>
      <c r="K13" s="413">
        <v>33.333461538461535</v>
      </c>
      <c r="L13" s="416">
        <v>34</v>
      </c>
      <c r="M13" s="416">
        <v>1133.33</v>
      </c>
      <c r="N13" s="413">
        <v>1.3076834319868</v>
      </c>
      <c r="O13" s="413">
        <v>33.333235294117642</v>
      </c>
      <c r="P13" s="416">
        <v>56</v>
      </c>
      <c r="Q13" s="416">
        <v>1866.6599999999999</v>
      </c>
      <c r="R13" s="460">
        <v>2.1538301775762401</v>
      </c>
      <c r="S13" s="417">
        <v>33.333214285714284</v>
      </c>
    </row>
    <row r="14" spans="1:19" ht="14.4" customHeight="1" x14ac:dyDescent="0.3">
      <c r="A14" s="412" t="s">
        <v>385</v>
      </c>
      <c r="B14" s="413" t="s">
        <v>386</v>
      </c>
      <c r="C14" s="413" t="s">
        <v>270</v>
      </c>
      <c r="D14" s="413" t="s">
        <v>383</v>
      </c>
      <c r="E14" s="413" t="s">
        <v>390</v>
      </c>
      <c r="F14" s="413" t="s">
        <v>399</v>
      </c>
      <c r="G14" s="413" t="s">
        <v>400</v>
      </c>
      <c r="H14" s="416">
        <v>4</v>
      </c>
      <c r="I14" s="416">
        <v>940</v>
      </c>
      <c r="J14" s="413">
        <v>1</v>
      </c>
      <c r="K14" s="413">
        <v>235</v>
      </c>
      <c r="L14" s="416">
        <v>4</v>
      </c>
      <c r="M14" s="416">
        <v>944</v>
      </c>
      <c r="N14" s="413">
        <v>1.0042553191489361</v>
      </c>
      <c r="O14" s="413">
        <v>236</v>
      </c>
      <c r="P14" s="416">
        <v>3</v>
      </c>
      <c r="Q14" s="416">
        <v>711</v>
      </c>
      <c r="R14" s="460">
        <v>0.75638297872340421</v>
      </c>
      <c r="S14" s="417">
        <v>237</v>
      </c>
    </row>
    <row r="15" spans="1:19" ht="14.4" customHeight="1" x14ac:dyDescent="0.3">
      <c r="A15" s="412" t="s">
        <v>385</v>
      </c>
      <c r="B15" s="413" t="s">
        <v>386</v>
      </c>
      <c r="C15" s="413" t="s">
        <v>270</v>
      </c>
      <c r="D15" s="413" t="s">
        <v>383</v>
      </c>
      <c r="E15" s="413" t="s">
        <v>390</v>
      </c>
      <c r="F15" s="413" t="s">
        <v>401</v>
      </c>
      <c r="G15" s="413" t="s">
        <v>402</v>
      </c>
      <c r="H15" s="416">
        <v>325</v>
      </c>
      <c r="I15" s="416">
        <v>85150</v>
      </c>
      <c r="J15" s="413">
        <v>1</v>
      </c>
      <c r="K15" s="413">
        <v>262</v>
      </c>
      <c r="L15" s="416">
        <v>514</v>
      </c>
      <c r="M15" s="416">
        <v>134668</v>
      </c>
      <c r="N15" s="413">
        <v>1.5815384615384616</v>
      </c>
      <c r="O15" s="413">
        <v>262</v>
      </c>
      <c r="P15" s="416">
        <v>495</v>
      </c>
      <c r="Q15" s="416">
        <v>129690</v>
      </c>
      <c r="R15" s="460">
        <v>1.523076923076923</v>
      </c>
      <c r="S15" s="417">
        <v>262</v>
      </c>
    </row>
    <row r="16" spans="1:19" ht="14.4" customHeight="1" x14ac:dyDescent="0.3">
      <c r="A16" s="412" t="s">
        <v>385</v>
      </c>
      <c r="B16" s="413" t="s">
        <v>386</v>
      </c>
      <c r="C16" s="413" t="s">
        <v>270</v>
      </c>
      <c r="D16" s="413" t="s">
        <v>383</v>
      </c>
      <c r="E16" s="413" t="s">
        <v>390</v>
      </c>
      <c r="F16" s="413" t="s">
        <v>403</v>
      </c>
      <c r="G16" s="413" t="s">
        <v>404</v>
      </c>
      <c r="H16" s="416">
        <v>75</v>
      </c>
      <c r="I16" s="416">
        <v>268950</v>
      </c>
      <c r="J16" s="413">
        <v>1</v>
      </c>
      <c r="K16" s="413">
        <v>3586</v>
      </c>
      <c r="L16" s="416">
        <v>84</v>
      </c>
      <c r="M16" s="416">
        <v>301224</v>
      </c>
      <c r="N16" s="413">
        <v>1.1200000000000001</v>
      </c>
      <c r="O16" s="413">
        <v>3586</v>
      </c>
      <c r="P16" s="416">
        <v>119</v>
      </c>
      <c r="Q16" s="416">
        <v>426734</v>
      </c>
      <c r="R16" s="460">
        <v>1.5866666666666667</v>
      </c>
      <c r="S16" s="417">
        <v>3586</v>
      </c>
    </row>
    <row r="17" spans="1:19" ht="14.4" customHeight="1" x14ac:dyDescent="0.3">
      <c r="A17" s="412" t="s">
        <v>385</v>
      </c>
      <c r="B17" s="413" t="s">
        <v>386</v>
      </c>
      <c r="C17" s="413" t="s">
        <v>270</v>
      </c>
      <c r="D17" s="413" t="s">
        <v>383</v>
      </c>
      <c r="E17" s="413" t="s">
        <v>390</v>
      </c>
      <c r="F17" s="413" t="s">
        <v>405</v>
      </c>
      <c r="G17" s="413" t="s">
        <v>404</v>
      </c>
      <c r="H17" s="416"/>
      <c r="I17" s="416"/>
      <c r="J17" s="413"/>
      <c r="K17" s="413"/>
      <c r="L17" s="416"/>
      <c r="M17" s="416"/>
      <c r="N17" s="413"/>
      <c r="O17" s="413"/>
      <c r="P17" s="416">
        <v>5</v>
      </c>
      <c r="Q17" s="416">
        <v>26000</v>
      </c>
      <c r="R17" s="460"/>
      <c r="S17" s="417">
        <v>5200</v>
      </c>
    </row>
    <row r="18" spans="1:19" ht="14.4" customHeight="1" thickBot="1" x14ac:dyDescent="0.35">
      <c r="A18" s="418" t="s">
        <v>385</v>
      </c>
      <c r="B18" s="419" t="s">
        <v>386</v>
      </c>
      <c r="C18" s="419" t="s">
        <v>406</v>
      </c>
      <c r="D18" s="419" t="s">
        <v>409</v>
      </c>
      <c r="E18" s="419" t="s">
        <v>387</v>
      </c>
      <c r="F18" s="419" t="s">
        <v>388</v>
      </c>
      <c r="G18" s="419" t="s">
        <v>407</v>
      </c>
      <c r="H18" s="422"/>
      <c r="I18" s="422"/>
      <c r="J18" s="419"/>
      <c r="K18" s="419"/>
      <c r="L18" s="422"/>
      <c r="M18" s="422"/>
      <c r="N18" s="419"/>
      <c r="O18" s="419"/>
      <c r="P18" s="422">
        <v>0</v>
      </c>
      <c r="Q18" s="422">
        <v>0</v>
      </c>
      <c r="R18" s="461"/>
      <c r="S18" s="42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84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199" t="s">
        <v>202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105</v>
      </c>
      <c r="B3" s="188">
        <f>SUBTOTAL(9,B6:B1048576)</f>
        <v>3273.33</v>
      </c>
      <c r="C3" s="189">
        <f t="shared" ref="C3:R3" si="0">SUBTOTAL(9,C6:C1048576)</f>
        <v>4</v>
      </c>
      <c r="D3" s="189">
        <f t="shared" si="0"/>
        <v>2099.66</v>
      </c>
      <c r="E3" s="189">
        <f t="shared" si="0"/>
        <v>8.4545060746298333</v>
      </c>
      <c r="F3" s="189">
        <f t="shared" si="0"/>
        <v>5833</v>
      </c>
      <c r="G3" s="192">
        <f>IF(D3&lt;&gt;0,F3/D3,"")</f>
        <v>2.7780688301915548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48" t="s">
        <v>86</v>
      </c>
      <c r="B4" s="349" t="s">
        <v>80</v>
      </c>
      <c r="C4" s="350"/>
      <c r="D4" s="350"/>
      <c r="E4" s="350"/>
      <c r="F4" s="350"/>
      <c r="G4" s="352"/>
      <c r="H4" s="349" t="s">
        <v>81</v>
      </c>
      <c r="I4" s="350"/>
      <c r="J4" s="350"/>
      <c r="K4" s="350"/>
      <c r="L4" s="350"/>
      <c r="M4" s="352"/>
      <c r="N4" s="349" t="s">
        <v>82</v>
      </c>
      <c r="O4" s="350"/>
      <c r="P4" s="350"/>
      <c r="Q4" s="350"/>
      <c r="R4" s="350"/>
      <c r="S4" s="352"/>
    </row>
    <row r="5" spans="1:19" ht="14.4" customHeight="1" thickBot="1" x14ac:dyDescent="0.35">
      <c r="A5" s="424"/>
      <c r="B5" s="425">
        <v>2015</v>
      </c>
      <c r="C5" s="426"/>
      <c r="D5" s="426">
        <v>2018</v>
      </c>
      <c r="E5" s="426"/>
      <c r="F5" s="426">
        <v>2019</v>
      </c>
      <c r="G5" s="463" t="s">
        <v>2</v>
      </c>
      <c r="H5" s="425">
        <v>2015</v>
      </c>
      <c r="I5" s="426"/>
      <c r="J5" s="426">
        <v>2018</v>
      </c>
      <c r="K5" s="426"/>
      <c r="L5" s="426">
        <v>2019</v>
      </c>
      <c r="M5" s="463" t="s">
        <v>2</v>
      </c>
      <c r="N5" s="425">
        <v>2015</v>
      </c>
      <c r="O5" s="426"/>
      <c r="P5" s="426">
        <v>2018</v>
      </c>
      <c r="Q5" s="426"/>
      <c r="R5" s="426">
        <v>2019</v>
      </c>
      <c r="S5" s="463" t="s">
        <v>2</v>
      </c>
    </row>
    <row r="6" spans="1:19" ht="14.4" customHeight="1" x14ac:dyDescent="0.3">
      <c r="A6" s="446" t="s">
        <v>411</v>
      </c>
      <c r="B6" s="440">
        <v>37</v>
      </c>
      <c r="C6" s="407">
        <v>1</v>
      </c>
      <c r="D6" s="440">
        <v>273</v>
      </c>
      <c r="E6" s="407">
        <v>7.3783783783783781</v>
      </c>
      <c r="F6" s="440"/>
      <c r="G6" s="459"/>
      <c r="H6" s="440"/>
      <c r="I6" s="407"/>
      <c r="J6" s="440"/>
      <c r="K6" s="407"/>
      <c r="L6" s="440"/>
      <c r="M6" s="459"/>
      <c r="N6" s="440"/>
      <c r="O6" s="407"/>
      <c r="P6" s="440"/>
      <c r="Q6" s="407"/>
      <c r="R6" s="440"/>
      <c r="S6" s="464"/>
    </row>
    <row r="7" spans="1:19" ht="14.4" customHeight="1" x14ac:dyDescent="0.3">
      <c r="A7" s="447" t="s">
        <v>412</v>
      </c>
      <c r="B7" s="442">
        <v>1678.33</v>
      </c>
      <c r="C7" s="413">
        <v>1</v>
      </c>
      <c r="D7" s="442">
        <v>574.66</v>
      </c>
      <c r="E7" s="413">
        <v>0.34239988560056722</v>
      </c>
      <c r="F7" s="442">
        <v>114</v>
      </c>
      <c r="G7" s="460">
        <v>6.7924663206878275E-2</v>
      </c>
      <c r="H7" s="442"/>
      <c r="I7" s="413"/>
      <c r="J7" s="442"/>
      <c r="K7" s="413"/>
      <c r="L7" s="442"/>
      <c r="M7" s="460"/>
      <c r="N7" s="442"/>
      <c r="O7" s="413"/>
      <c r="P7" s="442"/>
      <c r="Q7" s="413"/>
      <c r="R7" s="442"/>
      <c r="S7" s="465"/>
    </row>
    <row r="8" spans="1:19" ht="14.4" customHeight="1" x14ac:dyDescent="0.3">
      <c r="A8" s="447" t="s">
        <v>413</v>
      </c>
      <c r="B8" s="442"/>
      <c r="C8" s="413"/>
      <c r="D8" s="442">
        <v>508</v>
      </c>
      <c r="E8" s="413"/>
      <c r="F8" s="442">
        <v>474</v>
      </c>
      <c r="G8" s="460"/>
      <c r="H8" s="442"/>
      <c r="I8" s="413"/>
      <c r="J8" s="442"/>
      <c r="K8" s="413"/>
      <c r="L8" s="442"/>
      <c r="M8" s="460"/>
      <c r="N8" s="442"/>
      <c r="O8" s="413"/>
      <c r="P8" s="442"/>
      <c r="Q8" s="413"/>
      <c r="R8" s="442"/>
      <c r="S8" s="465"/>
    </row>
    <row r="9" spans="1:19" ht="14.4" customHeight="1" x14ac:dyDescent="0.3">
      <c r="A9" s="447" t="s">
        <v>414</v>
      </c>
      <c r="B9" s="442">
        <v>544</v>
      </c>
      <c r="C9" s="413">
        <v>1</v>
      </c>
      <c r="D9" s="442"/>
      <c r="E9" s="413"/>
      <c r="F9" s="442">
        <v>4534</v>
      </c>
      <c r="G9" s="460">
        <v>8.3345588235294112</v>
      </c>
      <c r="H9" s="442"/>
      <c r="I9" s="413"/>
      <c r="J9" s="442"/>
      <c r="K9" s="413"/>
      <c r="L9" s="442"/>
      <c r="M9" s="460"/>
      <c r="N9" s="442"/>
      <c r="O9" s="413"/>
      <c r="P9" s="442"/>
      <c r="Q9" s="413"/>
      <c r="R9" s="442"/>
      <c r="S9" s="465"/>
    </row>
    <row r="10" spans="1:19" ht="14.4" customHeight="1" thickBot="1" x14ac:dyDescent="0.35">
      <c r="A10" s="448" t="s">
        <v>415</v>
      </c>
      <c r="B10" s="444">
        <v>1014</v>
      </c>
      <c r="C10" s="419">
        <v>1</v>
      </c>
      <c r="D10" s="444">
        <v>744</v>
      </c>
      <c r="E10" s="419">
        <v>0.73372781065088755</v>
      </c>
      <c r="F10" s="444">
        <v>711</v>
      </c>
      <c r="G10" s="461">
        <v>0.70118343195266275</v>
      </c>
      <c r="H10" s="444"/>
      <c r="I10" s="419"/>
      <c r="J10" s="444"/>
      <c r="K10" s="419"/>
      <c r="L10" s="444"/>
      <c r="M10" s="461"/>
      <c r="N10" s="444"/>
      <c r="O10" s="419"/>
      <c r="P10" s="444"/>
      <c r="Q10" s="419"/>
      <c r="R10" s="444"/>
      <c r="S10" s="46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72" t="s">
        <v>421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199" t="s">
        <v>202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105</v>
      </c>
      <c r="F3" s="77">
        <f t="shared" ref="F3:O3" si="0">SUBTOTAL(9,F6:F1048576)</f>
        <v>13</v>
      </c>
      <c r="G3" s="78">
        <f t="shared" si="0"/>
        <v>3273.33</v>
      </c>
      <c r="H3" s="78"/>
      <c r="I3" s="78"/>
      <c r="J3" s="78">
        <f t="shared" si="0"/>
        <v>11</v>
      </c>
      <c r="K3" s="78">
        <f t="shared" si="0"/>
        <v>2099.66</v>
      </c>
      <c r="L3" s="78"/>
      <c r="M3" s="78"/>
      <c r="N3" s="78">
        <f t="shared" si="0"/>
        <v>9</v>
      </c>
      <c r="O3" s="78">
        <f t="shared" si="0"/>
        <v>5833</v>
      </c>
      <c r="P3" s="59">
        <f>IF(K3=0,0,O3/K3)</f>
        <v>2.7780688301915548</v>
      </c>
      <c r="Q3" s="79">
        <f>IF(N3=0,0,O3/N3)</f>
        <v>648.11111111111109</v>
      </c>
    </row>
    <row r="4" spans="1:17" ht="14.4" customHeight="1" x14ac:dyDescent="0.3">
      <c r="A4" s="357" t="s">
        <v>50</v>
      </c>
      <c r="B4" s="355" t="s">
        <v>76</v>
      </c>
      <c r="C4" s="357" t="s">
        <v>77</v>
      </c>
      <c r="D4" s="366" t="s">
        <v>78</v>
      </c>
      <c r="E4" s="358" t="s">
        <v>51</v>
      </c>
      <c r="F4" s="364">
        <v>2015</v>
      </c>
      <c r="G4" s="365"/>
      <c r="H4" s="80"/>
      <c r="I4" s="80"/>
      <c r="J4" s="364">
        <v>2018</v>
      </c>
      <c r="K4" s="365"/>
      <c r="L4" s="80"/>
      <c r="M4" s="80"/>
      <c r="N4" s="364">
        <v>2019</v>
      </c>
      <c r="O4" s="365"/>
      <c r="P4" s="367" t="s">
        <v>2</v>
      </c>
      <c r="Q4" s="356" t="s">
        <v>79</v>
      </c>
    </row>
    <row r="5" spans="1:17" ht="14.4" customHeight="1" thickBot="1" x14ac:dyDescent="0.35">
      <c r="A5" s="451"/>
      <c r="B5" s="449"/>
      <c r="C5" s="451"/>
      <c r="D5" s="467"/>
      <c r="E5" s="453"/>
      <c r="F5" s="468" t="s">
        <v>53</v>
      </c>
      <c r="G5" s="469" t="s">
        <v>10</v>
      </c>
      <c r="H5" s="470"/>
      <c r="I5" s="470"/>
      <c r="J5" s="468" t="s">
        <v>53</v>
      </c>
      <c r="K5" s="469" t="s">
        <v>10</v>
      </c>
      <c r="L5" s="470"/>
      <c r="M5" s="470"/>
      <c r="N5" s="468" t="s">
        <v>53</v>
      </c>
      <c r="O5" s="469" t="s">
        <v>10</v>
      </c>
      <c r="P5" s="471"/>
      <c r="Q5" s="458"/>
    </row>
    <row r="6" spans="1:17" ht="14.4" customHeight="1" x14ac:dyDescent="0.3">
      <c r="A6" s="406" t="s">
        <v>416</v>
      </c>
      <c r="B6" s="407" t="s">
        <v>386</v>
      </c>
      <c r="C6" s="407" t="s">
        <v>390</v>
      </c>
      <c r="D6" s="407" t="s">
        <v>391</v>
      </c>
      <c r="E6" s="407" t="s">
        <v>392</v>
      </c>
      <c r="F6" s="410">
        <v>1</v>
      </c>
      <c r="G6" s="410">
        <v>37</v>
      </c>
      <c r="H6" s="410">
        <v>1</v>
      </c>
      <c r="I6" s="410">
        <v>37</v>
      </c>
      <c r="J6" s="410">
        <v>1</v>
      </c>
      <c r="K6" s="410">
        <v>37</v>
      </c>
      <c r="L6" s="410">
        <v>1</v>
      </c>
      <c r="M6" s="410">
        <v>37</v>
      </c>
      <c r="N6" s="410"/>
      <c r="O6" s="410"/>
      <c r="P6" s="459"/>
      <c r="Q6" s="411"/>
    </row>
    <row r="7" spans="1:17" ht="14.4" customHeight="1" x14ac:dyDescent="0.3">
      <c r="A7" s="412" t="s">
        <v>416</v>
      </c>
      <c r="B7" s="413" t="s">
        <v>386</v>
      </c>
      <c r="C7" s="413" t="s">
        <v>390</v>
      </c>
      <c r="D7" s="413" t="s">
        <v>399</v>
      </c>
      <c r="E7" s="413" t="s">
        <v>400</v>
      </c>
      <c r="F7" s="416"/>
      <c r="G7" s="416"/>
      <c r="H7" s="416"/>
      <c r="I7" s="416"/>
      <c r="J7" s="416">
        <v>1</v>
      </c>
      <c r="K7" s="416">
        <v>236</v>
      </c>
      <c r="L7" s="416"/>
      <c r="M7" s="416">
        <v>236</v>
      </c>
      <c r="N7" s="416"/>
      <c r="O7" s="416"/>
      <c r="P7" s="460"/>
      <c r="Q7" s="417"/>
    </row>
    <row r="8" spans="1:17" ht="14.4" customHeight="1" x14ac:dyDescent="0.3">
      <c r="A8" s="412" t="s">
        <v>417</v>
      </c>
      <c r="B8" s="413" t="s">
        <v>386</v>
      </c>
      <c r="C8" s="413" t="s">
        <v>390</v>
      </c>
      <c r="D8" s="413" t="s">
        <v>391</v>
      </c>
      <c r="E8" s="413" t="s">
        <v>392</v>
      </c>
      <c r="F8" s="416"/>
      <c r="G8" s="416"/>
      <c r="H8" s="416"/>
      <c r="I8" s="416"/>
      <c r="J8" s="416">
        <v>1</v>
      </c>
      <c r="K8" s="416">
        <v>37</v>
      </c>
      <c r="L8" s="416"/>
      <c r="M8" s="416">
        <v>37</v>
      </c>
      <c r="N8" s="416">
        <v>3</v>
      </c>
      <c r="O8" s="416">
        <v>114</v>
      </c>
      <c r="P8" s="460"/>
      <c r="Q8" s="417">
        <v>38</v>
      </c>
    </row>
    <row r="9" spans="1:17" ht="14.4" customHeight="1" x14ac:dyDescent="0.3">
      <c r="A9" s="412" t="s">
        <v>417</v>
      </c>
      <c r="B9" s="413" t="s">
        <v>386</v>
      </c>
      <c r="C9" s="413" t="s">
        <v>390</v>
      </c>
      <c r="D9" s="413" t="s">
        <v>395</v>
      </c>
      <c r="E9" s="413" t="s">
        <v>396</v>
      </c>
      <c r="F9" s="416">
        <v>3</v>
      </c>
      <c r="G9" s="416">
        <v>1410</v>
      </c>
      <c r="H9" s="416">
        <v>1</v>
      </c>
      <c r="I9" s="416">
        <v>470</v>
      </c>
      <c r="J9" s="416">
        <v>1</v>
      </c>
      <c r="K9" s="416">
        <v>471</v>
      </c>
      <c r="L9" s="416">
        <v>0.33404255319148934</v>
      </c>
      <c r="M9" s="416">
        <v>471</v>
      </c>
      <c r="N9" s="416"/>
      <c r="O9" s="416"/>
      <c r="P9" s="460"/>
      <c r="Q9" s="417"/>
    </row>
    <row r="10" spans="1:17" ht="14.4" customHeight="1" x14ac:dyDescent="0.3">
      <c r="A10" s="412" t="s">
        <v>417</v>
      </c>
      <c r="B10" s="413" t="s">
        <v>386</v>
      </c>
      <c r="C10" s="413" t="s">
        <v>390</v>
      </c>
      <c r="D10" s="413" t="s">
        <v>397</v>
      </c>
      <c r="E10" s="413" t="s">
        <v>398</v>
      </c>
      <c r="F10" s="416">
        <v>1</v>
      </c>
      <c r="G10" s="416">
        <v>33.33</v>
      </c>
      <c r="H10" s="416">
        <v>1</v>
      </c>
      <c r="I10" s="416">
        <v>33.33</v>
      </c>
      <c r="J10" s="416">
        <v>2</v>
      </c>
      <c r="K10" s="416">
        <v>66.66</v>
      </c>
      <c r="L10" s="416">
        <v>2</v>
      </c>
      <c r="M10" s="416">
        <v>33.33</v>
      </c>
      <c r="N10" s="416"/>
      <c r="O10" s="416"/>
      <c r="P10" s="460"/>
      <c r="Q10" s="417"/>
    </row>
    <row r="11" spans="1:17" ht="14.4" customHeight="1" x14ac:dyDescent="0.3">
      <c r="A11" s="412" t="s">
        <v>417</v>
      </c>
      <c r="B11" s="413" t="s">
        <v>386</v>
      </c>
      <c r="C11" s="413" t="s">
        <v>390</v>
      </c>
      <c r="D11" s="413" t="s">
        <v>399</v>
      </c>
      <c r="E11" s="413" t="s">
        <v>400</v>
      </c>
      <c r="F11" s="416">
        <v>1</v>
      </c>
      <c r="G11" s="416">
        <v>235</v>
      </c>
      <c r="H11" s="416">
        <v>1</v>
      </c>
      <c r="I11" s="416">
        <v>235</v>
      </c>
      <c r="J11" s="416"/>
      <c r="K11" s="416"/>
      <c r="L11" s="416"/>
      <c r="M11" s="416"/>
      <c r="N11" s="416"/>
      <c r="O11" s="416"/>
      <c r="P11" s="460"/>
      <c r="Q11" s="417"/>
    </row>
    <row r="12" spans="1:17" ht="14.4" customHeight="1" x14ac:dyDescent="0.3">
      <c r="A12" s="412" t="s">
        <v>418</v>
      </c>
      <c r="B12" s="413" t="s">
        <v>386</v>
      </c>
      <c r="C12" s="413" t="s">
        <v>390</v>
      </c>
      <c r="D12" s="413" t="s">
        <v>391</v>
      </c>
      <c r="E12" s="413" t="s">
        <v>392</v>
      </c>
      <c r="F12" s="416"/>
      <c r="G12" s="416"/>
      <c r="H12" s="416"/>
      <c r="I12" s="416"/>
      <c r="J12" s="416">
        <v>1</v>
      </c>
      <c r="K12" s="416">
        <v>37</v>
      </c>
      <c r="L12" s="416"/>
      <c r="M12" s="416">
        <v>37</v>
      </c>
      <c r="N12" s="416"/>
      <c r="O12" s="416"/>
      <c r="P12" s="460"/>
      <c r="Q12" s="417"/>
    </row>
    <row r="13" spans="1:17" ht="14.4" customHeight="1" x14ac:dyDescent="0.3">
      <c r="A13" s="412" t="s">
        <v>418</v>
      </c>
      <c r="B13" s="413" t="s">
        <v>386</v>
      </c>
      <c r="C13" s="413" t="s">
        <v>390</v>
      </c>
      <c r="D13" s="413" t="s">
        <v>395</v>
      </c>
      <c r="E13" s="413" t="s">
        <v>396</v>
      </c>
      <c r="F13" s="416"/>
      <c r="G13" s="416"/>
      <c r="H13" s="416"/>
      <c r="I13" s="416"/>
      <c r="J13" s="416">
        <v>1</v>
      </c>
      <c r="K13" s="416">
        <v>471</v>
      </c>
      <c r="L13" s="416"/>
      <c r="M13" s="416">
        <v>471</v>
      </c>
      <c r="N13" s="416">
        <v>1</v>
      </c>
      <c r="O13" s="416">
        <v>474</v>
      </c>
      <c r="P13" s="460"/>
      <c r="Q13" s="417">
        <v>474</v>
      </c>
    </row>
    <row r="14" spans="1:17" ht="14.4" customHeight="1" x14ac:dyDescent="0.3">
      <c r="A14" s="412" t="s">
        <v>419</v>
      </c>
      <c r="B14" s="413" t="s">
        <v>386</v>
      </c>
      <c r="C14" s="413" t="s">
        <v>390</v>
      </c>
      <c r="D14" s="413" t="s">
        <v>391</v>
      </c>
      <c r="E14" s="413" t="s">
        <v>392</v>
      </c>
      <c r="F14" s="416">
        <v>2</v>
      </c>
      <c r="G14" s="416">
        <v>74</v>
      </c>
      <c r="H14" s="416">
        <v>1</v>
      </c>
      <c r="I14" s="416">
        <v>37</v>
      </c>
      <c r="J14" s="416"/>
      <c r="K14" s="416"/>
      <c r="L14" s="416"/>
      <c r="M14" s="416"/>
      <c r="N14" s="416"/>
      <c r="O14" s="416"/>
      <c r="P14" s="460"/>
      <c r="Q14" s="417"/>
    </row>
    <row r="15" spans="1:17" ht="14.4" customHeight="1" x14ac:dyDescent="0.3">
      <c r="A15" s="412" t="s">
        <v>419</v>
      </c>
      <c r="B15" s="413" t="s">
        <v>386</v>
      </c>
      <c r="C15" s="413" t="s">
        <v>390</v>
      </c>
      <c r="D15" s="413" t="s">
        <v>395</v>
      </c>
      <c r="E15" s="413" t="s">
        <v>396</v>
      </c>
      <c r="F15" s="416">
        <v>1</v>
      </c>
      <c r="G15" s="416">
        <v>470</v>
      </c>
      <c r="H15" s="416">
        <v>1</v>
      </c>
      <c r="I15" s="416">
        <v>470</v>
      </c>
      <c r="J15" s="416"/>
      <c r="K15" s="416"/>
      <c r="L15" s="416"/>
      <c r="M15" s="416"/>
      <c r="N15" s="416">
        <v>2</v>
      </c>
      <c r="O15" s="416">
        <v>948</v>
      </c>
      <c r="P15" s="460">
        <v>2.0170212765957447</v>
      </c>
      <c r="Q15" s="417">
        <v>474</v>
      </c>
    </row>
    <row r="16" spans="1:17" ht="14.4" customHeight="1" x14ac:dyDescent="0.3">
      <c r="A16" s="412" t="s">
        <v>419</v>
      </c>
      <c r="B16" s="413" t="s">
        <v>386</v>
      </c>
      <c r="C16" s="413" t="s">
        <v>390</v>
      </c>
      <c r="D16" s="413" t="s">
        <v>403</v>
      </c>
      <c r="E16" s="413" t="s">
        <v>404</v>
      </c>
      <c r="F16" s="416"/>
      <c r="G16" s="416"/>
      <c r="H16" s="416"/>
      <c r="I16" s="416"/>
      <c r="J16" s="416"/>
      <c r="K16" s="416"/>
      <c r="L16" s="416"/>
      <c r="M16" s="416"/>
      <c r="N16" s="416">
        <v>1</v>
      </c>
      <c r="O16" s="416">
        <v>3586</v>
      </c>
      <c r="P16" s="460"/>
      <c r="Q16" s="417">
        <v>3586</v>
      </c>
    </row>
    <row r="17" spans="1:17" ht="14.4" customHeight="1" x14ac:dyDescent="0.3">
      <c r="A17" s="412" t="s">
        <v>420</v>
      </c>
      <c r="B17" s="413" t="s">
        <v>386</v>
      </c>
      <c r="C17" s="413" t="s">
        <v>390</v>
      </c>
      <c r="D17" s="413" t="s">
        <v>391</v>
      </c>
      <c r="E17" s="413" t="s">
        <v>392</v>
      </c>
      <c r="F17" s="416">
        <v>2</v>
      </c>
      <c r="G17" s="416">
        <v>74</v>
      </c>
      <c r="H17" s="416">
        <v>1</v>
      </c>
      <c r="I17" s="416">
        <v>37</v>
      </c>
      <c r="J17" s="416">
        <v>1</v>
      </c>
      <c r="K17" s="416">
        <v>37</v>
      </c>
      <c r="L17" s="416">
        <v>0.5</v>
      </c>
      <c r="M17" s="416">
        <v>37</v>
      </c>
      <c r="N17" s="416"/>
      <c r="O17" s="416"/>
      <c r="P17" s="460"/>
      <c r="Q17" s="417"/>
    </row>
    <row r="18" spans="1:17" ht="14.4" customHeight="1" x14ac:dyDescent="0.3">
      <c r="A18" s="412" t="s">
        <v>420</v>
      </c>
      <c r="B18" s="413" t="s">
        <v>386</v>
      </c>
      <c r="C18" s="413" t="s">
        <v>390</v>
      </c>
      <c r="D18" s="413" t="s">
        <v>395</v>
      </c>
      <c r="E18" s="413" t="s">
        <v>396</v>
      </c>
      <c r="F18" s="416">
        <v>2</v>
      </c>
      <c r="G18" s="416">
        <v>940</v>
      </c>
      <c r="H18" s="416">
        <v>1</v>
      </c>
      <c r="I18" s="416">
        <v>470</v>
      </c>
      <c r="J18" s="416">
        <v>1</v>
      </c>
      <c r="K18" s="416">
        <v>471</v>
      </c>
      <c r="L18" s="416">
        <v>0.50106382978723407</v>
      </c>
      <c r="M18" s="416">
        <v>471</v>
      </c>
      <c r="N18" s="416">
        <v>1</v>
      </c>
      <c r="O18" s="416">
        <v>474</v>
      </c>
      <c r="P18" s="460">
        <v>0.50425531914893618</v>
      </c>
      <c r="Q18" s="417">
        <v>474</v>
      </c>
    </row>
    <row r="19" spans="1:17" ht="14.4" customHeight="1" thickBot="1" x14ac:dyDescent="0.35">
      <c r="A19" s="418" t="s">
        <v>420</v>
      </c>
      <c r="B19" s="419" t="s">
        <v>386</v>
      </c>
      <c r="C19" s="419" t="s">
        <v>390</v>
      </c>
      <c r="D19" s="419" t="s">
        <v>399</v>
      </c>
      <c r="E19" s="419" t="s">
        <v>400</v>
      </c>
      <c r="F19" s="422"/>
      <c r="G19" s="422"/>
      <c r="H19" s="422"/>
      <c r="I19" s="422"/>
      <c r="J19" s="422">
        <v>1</v>
      </c>
      <c r="K19" s="422">
        <v>236</v>
      </c>
      <c r="L19" s="422"/>
      <c r="M19" s="422">
        <v>236</v>
      </c>
      <c r="N19" s="422">
        <v>1</v>
      </c>
      <c r="O19" s="422">
        <v>237</v>
      </c>
      <c r="P19" s="461"/>
      <c r="Q19" s="423">
        <v>237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72" t="s">
        <v>98</v>
      </c>
      <c r="B1" s="272"/>
      <c r="C1" s="273"/>
      <c r="D1" s="273"/>
      <c r="E1" s="273"/>
    </row>
    <row r="2" spans="1:5" ht="14.4" customHeight="1" thickBot="1" x14ac:dyDescent="0.35">
      <c r="A2" s="199" t="s">
        <v>202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193.91858231985569</v>
      </c>
      <c r="D4" s="133">
        <f ca="1">IF(ISERROR(VLOOKUP("Náklady celkem",INDIRECT("HI!$A:$G"),5,0)),0,VLOOKUP("Náklady celkem",INDIRECT("HI!$A:$G"),5,0))</f>
        <v>311.22743000000008</v>
      </c>
      <c r="E4" s="134">
        <f ca="1">IF(C4=0,0,D4/C4)</f>
        <v>1.6049386617660566</v>
      </c>
    </row>
    <row r="5" spans="1:5" ht="14.4" customHeight="1" x14ac:dyDescent="0.3">
      <c r="A5" s="135" t="s">
        <v>112</v>
      </c>
      <c r="B5" s="136"/>
      <c r="C5" s="137"/>
      <c r="D5" s="137"/>
      <c r="E5" s="138"/>
    </row>
    <row r="6" spans="1:5" ht="14.4" customHeight="1" x14ac:dyDescent="0.3">
      <c r="A6" s="139" t="s">
        <v>117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113</v>
      </c>
      <c r="B8" s="140"/>
      <c r="C8" s="141"/>
      <c r="D8" s="141"/>
      <c r="E8" s="138"/>
    </row>
    <row r="9" spans="1:5" ht="14.4" customHeight="1" x14ac:dyDescent="0.3">
      <c r="A9" s="143" t="s">
        <v>114</v>
      </c>
      <c r="B9" s="140"/>
      <c r="C9" s="141"/>
      <c r="D9" s="141"/>
      <c r="E9" s="138"/>
    </row>
    <row r="10" spans="1:5" ht="14.4" customHeight="1" x14ac:dyDescent="0.3">
      <c r="A10" s="144" t="s">
        <v>118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176.00000097656249</v>
      </c>
      <c r="D11" s="141">
        <f>IF(ISERROR(HI!E6),"",HI!E6)</f>
        <v>295.73855000000003</v>
      </c>
      <c r="E11" s="138">
        <f t="shared" si="0"/>
        <v>1.680332661130967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455.48333000000002</v>
      </c>
      <c r="D14" s="156">
        <f ca="1">IF(ISERROR(VLOOKUP("Výnosy celkem",INDIRECT("HI!$A:$G"),5,0)),0,VLOOKUP("Výnosy celkem",INDIRECT("HI!$A:$G"),5,0))</f>
        <v>613.0763300000001</v>
      </c>
      <c r="E14" s="157">
        <f t="shared" ref="E14:E19" ca="1" si="1">IF(C14=0,0,D14/C14)</f>
        <v>1.3459907083756502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455.48333000000002</v>
      </c>
      <c r="D15" s="137">
        <f ca="1">IF(ISERROR(VLOOKUP("Ambulance *",INDIRECT("HI!$A:$G"),5,0)),0,VLOOKUP("Ambulance *",INDIRECT("HI!$A:$G"),5,0))</f>
        <v>613.0763300000001</v>
      </c>
      <c r="E15" s="138">
        <f t="shared" ca="1" si="1"/>
        <v>1.3459907083756502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100</v>
      </c>
      <c r="C16" s="142">
        <v>1</v>
      </c>
      <c r="D16" s="142">
        <f>IF(ISERROR(VLOOKUP("Celkem:",'ZV Vykáz.-A'!$A:$AB,10,0)),"",VLOOKUP("Celkem:",'ZV Vykáz.-A'!$A:$AB,10,0))</f>
        <v>1.3459907083756502</v>
      </c>
      <c r="E16" s="138">
        <f t="shared" si="1"/>
        <v>1.3459907083756502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100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1.6667034945061503</v>
      </c>
      <c r="E17" s="138">
        <f t="shared" si="1"/>
        <v>1.6667034945061503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100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102</v>
      </c>
      <c r="C19" s="142">
        <v>0.85</v>
      </c>
      <c r="D19" s="142">
        <f>IF(ISERROR(VLOOKUP("Celkem:",'ZV Vykáz.-H'!$A:$S,7,0)),"",VLOOKUP("Celkem:",'ZV Vykáz.-H'!$A:$S,7,0))</f>
        <v>2.7780688301915548</v>
      </c>
      <c r="E19" s="138">
        <f t="shared" si="1"/>
        <v>3.2683162708135938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115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116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83" t="s">
        <v>107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14.4" customHeight="1" thickBot="1" x14ac:dyDescent="0.35">
      <c r="A2" s="199" t="s">
        <v>202</v>
      </c>
      <c r="B2" s="86"/>
      <c r="C2" s="86"/>
      <c r="D2" s="86"/>
      <c r="E2" s="86"/>
      <c r="F2" s="86"/>
    </row>
    <row r="3" spans="1:10" ht="14.4" customHeight="1" x14ac:dyDescent="0.3">
      <c r="A3" s="274"/>
      <c r="B3" s="82">
        <v>2015</v>
      </c>
      <c r="C3" s="40">
        <v>2018</v>
      </c>
      <c r="D3" s="7"/>
      <c r="E3" s="278">
        <v>2019</v>
      </c>
      <c r="F3" s="279"/>
      <c r="G3" s="279"/>
      <c r="H3" s="280"/>
      <c r="I3" s="281">
        <v>2017</v>
      </c>
      <c r="J3" s="282"/>
    </row>
    <row r="4" spans="1:10" ht="14.4" customHeight="1" thickBot="1" x14ac:dyDescent="0.35">
      <c r="A4" s="275"/>
      <c r="B4" s="276" t="s">
        <v>54</v>
      </c>
      <c r="C4" s="277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147</v>
      </c>
      <c r="J4" s="225" t="s">
        <v>148</v>
      </c>
    </row>
    <row r="5" spans="1:10" ht="14.4" customHeight="1" x14ac:dyDescent="0.3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101.36216999999999</v>
      </c>
      <c r="C6" s="31">
        <v>221.69481999999999</v>
      </c>
      <c r="D6" s="8"/>
      <c r="E6" s="93">
        <v>295.73855000000003</v>
      </c>
      <c r="F6" s="30">
        <v>176.00000097656249</v>
      </c>
      <c r="G6" s="94">
        <f>E6-F6</f>
        <v>119.73854902343754</v>
      </c>
      <c r="H6" s="98">
        <f>IF(F6&lt;0.00000001,"",E6/F6)</f>
        <v>1.680332661130967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" customHeight="1" thickBot="1" x14ac:dyDescent="0.35">
      <c r="A8" s="1" t="s">
        <v>57</v>
      </c>
      <c r="B8" s="11">
        <v>7.4334599999999824</v>
      </c>
      <c r="C8" s="33">
        <v>10.121770000000055</v>
      </c>
      <c r="D8" s="8"/>
      <c r="E8" s="95">
        <v>15.488880000000051</v>
      </c>
      <c r="F8" s="32">
        <v>17.918581343293198</v>
      </c>
      <c r="G8" s="96">
        <f>E8-F8</f>
        <v>-2.4297013432931465</v>
      </c>
      <c r="H8" s="99">
        <f>IF(F8&lt;0.00000001,"",E8/F8)</f>
        <v>0.86440325287232811</v>
      </c>
    </row>
    <row r="9" spans="1:10" ht="14.4" customHeight="1" thickBot="1" x14ac:dyDescent="0.35">
      <c r="A9" s="2" t="s">
        <v>58</v>
      </c>
      <c r="B9" s="3">
        <v>108.79562999999997</v>
      </c>
      <c r="C9" s="35">
        <v>231.81659000000005</v>
      </c>
      <c r="D9" s="8"/>
      <c r="E9" s="3">
        <v>311.22743000000008</v>
      </c>
      <c r="F9" s="34">
        <v>193.91858231985569</v>
      </c>
      <c r="G9" s="34">
        <f>E9-F9</f>
        <v>117.3088476801444</v>
      </c>
      <c r="H9" s="100">
        <f>IF(F9&lt;0.00000001,"",E9/F9)</f>
        <v>1.6049386617660566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367.83767000000006</v>
      </c>
      <c r="C11" s="29">
        <f>IF(ISERROR(VLOOKUP("Celkem:",'ZV Vykáz.-A'!A:H,5,0)),0,VLOOKUP("Celkem:",'ZV Vykáz.-A'!A:H,5,0)/1000)</f>
        <v>455.48333000000002</v>
      </c>
      <c r="D11" s="8"/>
      <c r="E11" s="92">
        <f>IF(ISERROR(VLOOKUP("Celkem:",'ZV Vykáz.-A'!A:H,8,0)),0,VLOOKUP("Celkem:",'ZV Vykáz.-A'!A:H,8,0)/1000)</f>
        <v>613.0763300000001</v>
      </c>
      <c r="F11" s="28">
        <f>C11</f>
        <v>455.48333000000002</v>
      </c>
      <c r="G11" s="91">
        <f>E11-F11</f>
        <v>157.59300000000007</v>
      </c>
      <c r="H11" s="97">
        <f>IF(F11&lt;0.00000001,"",E11/F11)</f>
        <v>1.3459907083756502</v>
      </c>
      <c r="I11" s="91">
        <f>E11-B11</f>
        <v>245.23866000000004</v>
      </c>
      <c r="J11" s="97">
        <f>IF(B11&lt;0.00000001,"",E11/B11)</f>
        <v>1.6667034945061499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367.83767000000006</v>
      </c>
      <c r="C13" s="37">
        <f>SUM(C11:C12)</f>
        <v>455.48333000000002</v>
      </c>
      <c r="D13" s="8"/>
      <c r="E13" s="5">
        <f>SUM(E11:E12)</f>
        <v>613.0763300000001</v>
      </c>
      <c r="F13" s="36">
        <f>SUM(F11:F12)</f>
        <v>455.48333000000002</v>
      </c>
      <c r="G13" s="36">
        <f>E13-F13</f>
        <v>157.59300000000007</v>
      </c>
      <c r="H13" s="101">
        <f>IF(F13&lt;0.00000001,"",E13/F13)</f>
        <v>1.3459907083756502</v>
      </c>
      <c r="I13" s="36">
        <f>SUM(I11:I12)</f>
        <v>245.23866000000004</v>
      </c>
      <c r="J13" s="101">
        <f>IF(B13&lt;0.00000001,"",E13/B13)</f>
        <v>1.6667034945061499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3.3809967367255482</v>
      </c>
      <c r="C15" s="39">
        <f>IF(C9=0,"",C13/C9)</f>
        <v>1.9648435429060531</v>
      </c>
      <c r="D15" s="8"/>
      <c r="E15" s="6">
        <f>IF(E9=0,"",E13/E9)</f>
        <v>1.9698659915676453</v>
      </c>
      <c r="F15" s="38">
        <f>IF(F9=0,"",F13/F9)</f>
        <v>2.3488379739117051</v>
      </c>
      <c r="G15" s="38">
        <f>IF(ISERROR(F15-E15),"",E15-F15)</f>
        <v>-0.37897198234405982</v>
      </c>
      <c r="H15" s="102">
        <f>IF(ISERROR(F15-E15),"",IF(F15&lt;0.00000001,"",E15/F15))</f>
        <v>0.83865554518733876</v>
      </c>
    </row>
    <row r="17" spans="1:8" ht="14.4" customHeight="1" x14ac:dyDescent="0.3">
      <c r="A17" s="88" t="s">
        <v>120</v>
      </c>
    </row>
    <row r="18" spans="1:8" ht="14.4" customHeight="1" x14ac:dyDescent="0.3">
      <c r="A18" s="202" t="s">
        <v>132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131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140</v>
      </c>
    </row>
    <row r="21" spans="1:8" ht="14.4" customHeight="1" x14ac:dyDescent="0.3">
      <c r="A21" s="89" t="s">
        <v>121</v>
      </c>
    </row>
    <row r="22" spans="1:8" ht="14.4" customHeight="1" x14ac:dyDescent="0.3">
      <c r="A22" s="90" t="s">
        <v>181</v>
      </c>
    </row>
    <row r="23" spans="1:8" ht="14.4" customHeight="1" x14ac:dyDescent="0.3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72" t="s">
        <v>85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199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2.0071379523714543</v>
      </c>
      <c r="C4" s="174">
        <f t="shared" ref="C4:M4" si="0">(C10+C8)/C6</f>
        <v>1.9698659273059576</v>
      </c>
      <c r="D4" s="174">
        <f t="shared" si="0"/>
        <v>1.9698659273059576</v>
      </c>
      <c r="E4" s="174">
        <f t="shared" si="0"/>
        <v>1.9698659273059576</v>
      </c>
      <c r="F4" s="174">
        <f t="shared" si="0"/>
        <v>1.9698659273059576</v>
      </c>
      <c r="G4" s="174">
        <f t="shared" si="0"/>
        <v>1.9698659273059576</v>
      </c>
      <c r="H4" s="174">
        <f t="shared" si="0"/>
        <v>1.9698659273059576</v>
      </c>
      <c r="I4" s="174">
        <f t="shared" si="0"/>
        <v>1.9698659273059576</v>
      </c>
      <c r="J4" s="174">
        <f t="shared" si="0"/>
        <v>1.9698659273059576</v>
      </c>
      <c r="K4" s="174">
        <f t="shared" si="0"/>
        <v>1.9698659273059576</v>
      </c>
      <c r="L4" s="174">
        <f t="shared" si="0"/>
        <v>1.9698659273059576</v>
      </c>
      <c r="M4" s="174">
        <f t="shared" si="0"/>
        <v>1.9698659273059576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160.83464000000001</v>
      </c>
      <c r="C5" s="174">
        <f>IF(ISERROR(VLOOKUP($A5,'Man Tab'!$A:$Q,COLUMN()+2,0)),0,VLOOKUP($A5,'Man Tab'!$A:$Q,COLUMN()+2,0))</f>
        <v>150.39278999999999</v>
      </c>
      <c r="D5" s="174">
        <f>IF(ISERROR(VLOOKUP($A5,'Man Tab'!$A:$Q,COLUMN()+2,0)),0,VLOOKUP($A5,'Man Tab'!$A:$Q,COLUMN()+2,0))</f>
        <v>0</v>
      </c>
      <c r="E5" s="174">
        <f>IF(ISERROR(VLOOKUP($A5,'Man Tab'!$A:$Q,COLUMN()+2,0)),0,VLOOKUP($A5,'Man Tab'!$A:$Q,COLUMN()+2,0))</f>
        <v>0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58</v>
      </c>
      <c r="B6" s="176">
        <f>B5</f>
        <v>160.83464000000001</v>
      </c>
      <c r="C6" s="176">
        <f t="shared" ref="C6:M6" si="1">C5+B6</f>
        <v>311.22743000000003</v>
      </c>
      <c r="D6" s="176">
        <f t="shared" si="1"/>
        <v>311.22743000000003</v>
      </c>
      <c r="E6" s="176">
        <f t="shared" si="1"/>
        <v>311.22743000000003</v>
      </c>
      <c r="F6" s="176">
        <f t="shared" si="1"/>
        <v>311.22743000000003</v>
      </c>
      <c r="G6" s="176">
        <f t="shared" si="1"/>
        <v>311.22743000000003</v>
      </c>
      <c r="H6" s="176">
        <f t="shared" si="1"/>
        <v>311.22743000000003</v>
      </c>
      <c r="I6" s="176">
        <f t="shared" si="1"/>
        <v>311.22743000000003</v>
      </c>
      <c r="J6" s="176">
        <f t="shared" si="1"/>
        <v>311.22743000000003</v>
      </c>
      <c r="K6" s="176">
        <f t="shared" si="1"/>
        <v>311.22743000000003</v>
      </c>
      <c r="L6" s="176">
        <f t="shared" si="1"/>
        <v>311.22743000000003</v>
      </c>
      <c r="M6" s="176">
        <f t="shared" si="1"/>
        <v>311.22743000000003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322817.31</v>
      </c>
      <c r="C9" s="175">
        <v>290259</v>
      </c>
      <c r="D9" s="175">
        <v>0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322.81731000000002</v>
      </c>
      <c r="C10" s="176">
        <f t="shared" ref="C10:M10" si="3">C9/1000+B10</f>
        <v>613.07631000000003</v>
      </c>
      <c r="D10" s="176">
        <f t="shared" si="3"/>
        <v>613.07631000000003</v>
      </c>
      <c r="E10" s="176">
        <f t="shared" si="3"/>
        <v>613.07631000000003</v>
      </c>
      <c r="F10" s="176">
        <f t="shared" si="3"/>
        <v>613.07631000000003</v>
      </c>
      <c r="G10" s="176">
        <f t="shared" si="3"/>
        <v>613.07631000000003</v>
      </c>
      <c r="H10" s="176">
        <f t="shared" si="3"/>
        <v>613.07631000000003</v>
      </c>
      <c r="I10" s="176">
        <f t="shared" si="3"/>
        <v>613.07631000000003</v>
      </c>
      <c r="J10" s="176">
        <f t="shared" si="3"/>
        <v>613.07631000000003</v>
      </c>
      <c r="K10" s="176">
        <f t="shared" si="3"/>
        <v>613.07631000000003</v>
      </c>
      <c r="L10" s="176">
        <f t="shared" si="3"/>
        <v>613.07631000000003</v>
      </c>
      <c r="M10" s="176">
        <f t="shared" si="3"/>
        <v>613.07631000000003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2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2.3488379739117051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2.3488379739117051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84" t="s">
        <v>204</v>
      </c>
      <c r="B1" s="284"/>
      <c r="C1" s="284"/>
      <c r="D1" s="284"/>
      <c r="E1" s="284"/>
      <c r="F1" s="284"/>
      <c r="G1" s="284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7" customFormat="1" ht="14.4" customHeight="1" thickBot="1" x14ac:dyDescent="0.3">
      <c r="A2" s="199" t="s">
        <v>202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85" t="s">
        <v>11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112"/>
      <c r="Q3" s="114"/>
    </row>
    <row r="4" spans="1:17" ht="14.4" customHeight="1" x14ac:dyDescent="0.3">
      <c r="A4" s="61"/>
      <c r="B4" s="20">
        <v>2019</v>
      </c>
      <c r="C4" s="113" t="s">
        <v>12</v>
      </c>
      <c r="D4" s="218" t="s">
        <v>182</v>
      </c>
      <c r="E4" s="218" t="s">
        <v>183</v>
      </c>
      <c r="F4" s="218" t="s">
        <v>184</v>
      </c>
      <c r="G4" s="218" t="s">
        <v>185</v>
      </c>
      <c r="H4" s="218" t="s">
        <v>186</v>
      </c>
      <c r="I4" s="218" t="s">
        <v>187</v>
      </c>
      <c r="J4" s="218" t="s">
        <v>188</v>
      </c>
      <c r="K4" s="218" t="s">
        <v>189</v>
      </c>
      <c r="L4" s="218" t="s">
        <v>190</v>
      </c>
      <c r="M4" s="218" t="s">
        <v>191</v>
      </c>
      <c r="N4" s="218" t="s">
        <v>192</v>
      </c>
      <c r="O4" s="218" t="s">
        <v>193</v>
      </c>
      <c r="P4" s="287" t="s">
        <v>3</v>
      </c>
      <c r="Q4" s="288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203</v>
      </c>
    </row>
    <row r="7" spans="1:17" ht="14.4" customHeight="1" x14ac:dyDescent="0.3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203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203</v>
      </c>
    </row>
    <row r="9" spans="1:17" ht="14.4" customHeight="1" x14ac:dyDescent="0.3">
      <c r="A9" s="15" t="s">
        <v>19</v>
      </c>
      <c r="B9" s="46">
        <v>1056</v>
      </c>
      <c r="C9" s="47">
        <v>88</v>
      </c>
      <c r="D9" s="47">
        <v>152.79295999999999</v>
      </c>
      <c r="E9" s="47">
        <v>142.94559000000001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295.738550000001</v>
      </c>
      <c r="Q9" s="71">
        <v>1.680332670454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203</v>
      </c>
    </row>
    <row r="11" spans="1:17" ht="14.4" customHeight="1" x14ac:dyDescent="0.3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</v>
      </c>
      <c r="Q11" s="71" t="s">
        <v>203</v>
      </c>
    </row>
    <row r="12" spans="1:17" ht="14.4" customHeight="1" x14ac:dyDescent="0.3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203</v>
      </c>
    </row>
    <row r="13" spans="1:17" ht="14.4" customHeight="1" x14ac:dyDescent="0.3">
      <c r="A13" s="15" t="s">
        <v>23</v>
      </c>
      <c r="B13" s="46">
        <v>10</v>
      </c>
      <c r="C13" s="47">
        <v>0.83333333333299997</v>
      </c>
      <c r="D13" s="47">
        <v>1.39768</v>
      </c>
      <c r="E13" s="47">
        <v>1.5484500000000001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2.9461300000000001</v>
      </c>
      <c r="Q13" s="71">
        <v>1.7676780000000001</v>
      </c>
    </row>
    <row r="14" spans="1:17" ht="14.4" customHeight="1" x14ac:dyDescent="0.3">
      <c r="A14" s="15" t="s">
        <v>24</v>
      </c>
      <c r="B14" s="46">
        <v>33.104974979166997</v>
      </c>
      <c r="C14" s="47">
        <v>2.7587479149299998</v>
      </c>
      <c r="D14" s="47">
        <v>4.1109999999999998</v>
      </c>
      <c r="E14" s="47">
        <v>3.3660000000000001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7.4770000000000003</v>
      </c>
      <c r="Q14" s="71">
        <v>1.355143751905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203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203</v>
      </c>
    </row>
    <row r="17" spans="1:17" ht="14.4" customHeight="1" x14ac:dyDescent="0.3">
      <c r="A17" s="15" t="s">
        <v>27</v>
      </c>
      <c r="B17" s="46">
        <v>26.292734722066001</v>
      </c>
      <c r="C17" s="47">
        <v>2.1910612268379999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1">
        <v>0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203</v>
      </c>
    </row>
    <row r="19" spans="1:17" ht="14.4" customHeight="1" x14ac:dyDescent="0.3">
      <c r="A19" s="15" t="s">
        <v>29</v>
      </c>
      <c r="B19" s="46">
        <v>8.1137781164489997</v>
      </c>
      <c r="C19" s="47">
        <v>0.67614817637000002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71">
        <v>0</v>
      </c>
    </row>
    <row r="20" spans="1:17" ht="14.4" customHeight="1" x14ac:dyDescent="0.3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203</v>
      </c>
    </row>
    <row r="21" spans="1:17" ht="14.4" customHeight="1" x14ac:dyDescent="0.3">
      <c r="A21" s="16" t="s">
        <v>31</v>
      </c>
      <c r="B21" s="46">
        <v>29.999999999999002</v>
      </c>
      <c r="C21" s="47">
        <v>2.4999999999989999</v>
      </c>
      <c r="D21" s="47">
        <v>2.5329999999999999</v>
      </c>
      <c r="E21" s="47">
        <v>2.5329999999999999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5.0659999999999998</v>
      </c>
      <c r="Q21" s="71">
        <v>1.0132000000000001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203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203</v>
      </c>
    </row>
    <row r="24" spans="1:17" ht="14.4" customHeight="1" x14ac:dyDescent="0.3">
      <c r="A24" s="16" t="s">
        <v>34</v>
      </c>
      <c r="B24" s="46">
        <v>2.2737367544323201E-13</v>
      </c>
      <c r="C24" s="47">
        <v>2.8421709430404001E-14</v>
      </c>
      <c r="D24" s="47">
        <v>0</v>
      </c>
      <c r="E24" s="47">
        <v>-2.4999999900000001E-4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-2.4999999900000001E-4</v>
      </c>
      <c r="Q24" s="71"/>
    </row>
    <row r="25" spans="1:17" ht="14.4" customHeight="1" x14ac:dyDescent="0.3">
      <c r="A25" s="17" t="s">
        <v>35</v>
      </c>
      <c r="B25" s="49">
        <v>1163.5114878176801</v>
      </c>
      <c r="C25" s="50">
        <v>96.959290651472998</v>
      </c>
      <c r="D25" s="50">
        <v>160.83464000000001</v>
      </c>
      <c r="E25" s="50">
        <v>150.39278999999999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311.22743000000099</v>
      </c>
      <c r="Q25" s="72">
        <v>1.6049386701820001</v>
      </c>
    </row>
    <row r="26" spans="1:17" ht="14.4" customHeight="1" x14ac:dyDescent="0.3">
      <c r="A26" s="15" t="s">
        <v>36</v>
      </c>
      <c r="B26" s="46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</v>
      </c>
      <c r="Q26" s="71" t="s">
        <v>203</v>
      </c>
    </row>
    <row r="27" spans="1:17" ht="14.4" customHeight="1" x14ac:dyDescent="0.3">
      <c r="A27" s="18" t="s">
        <v>37</v>
      </c>
      <c r="B27" s="49">
        <v>1163.5114878176801</v>
      </c>
      <c r="C27" s="50">
        <v>96.959290651472998</v>
      </c>
      <c r="D27" s="50">
        <v>160.83464000000001</v>
      </c>
      <c r="E27" s="50">
        <v>150.39278999999999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311.22743000000099</v>
      </c>
      <c r="Q27" s="72">
        <v>1.6049386701820001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>
        <v>0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203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203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180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284" t="s">
        <v>43</v>
      </c>
      <c r="B1" s="284"/>
      <c r="C1" s="284"/>
      <c r="D1" s="284"/>
      <c r="E1" s="284"/>
      <c r="F1" s="284"/>
      <c r="G1" s="284"/>
      <c r="H1" s="289"/>
      <c r="I1" s="289"/>
      <c r="J1" s="289"/>
      <c r="K1" s="289"/>
    </row>
    <row r="2" spans="1:11" s="55" customFormat="1" ht="14.4" customHeight="1" thickBot="1" x14ac:dyDescent="0.35">
      <c r="A2" s="199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5" t="s">
        <v>44</v>
      </c>
      <c r="C3" s="286"/>
      <c r="D3" s="286"/>
      <c r="E3" s="286"/>
      <c r="F3" s="292" t="s">
        <v>45</v>
      </c>
      <c r="G3" s="286"/>
      <c r="H3" s="286"/>
      <c r="I3" s="286"/>
      <c r="J3" s="286"/>
      <c r="K3" s="293"/>
    </row>
    <row r="4" spans="1:11" ht="14.4" customHeight="1" x14ac:dyDescent="0.3">
      <c r="A4" s="61"/>
      <c r="B4" s="290"/>
      <c r="C4" s="291"/>
      <c r="D4" s="291"/>
      <c r="E4" s="291"/>
      <c r="F4" s="294" t="s">
        <v>198</v>
      </c>
      <c r="G4" s="296" t="s">
        <v>46</v>
      </c>
      <c r="H4" s="115" t="s">
        <v>110</v>
      </c>
      <c r="I4" s="294" t="s">
        <v>47</v>
      </c>
      <c r="J4" s="296" t="s">
        <v>200</v>
      </c>
      <c r="K4" s="297" t="s">
        <v>201</v>
      </c>
    </row>
    <row r="5" spans="1:11" ht="42" thickBot="1" x14ac:dyDescent="0.35">
      <c r="A5" s="62"/>
      <c r="B5" s="24" t="s">
        <v>194</v>
      </c>
      <c r="C5" s="25" t="s">
        <v>195</v>
      </c>
      <c r="D5" s="26" t="s">
        <v>196</v>
      </c>
      <c r="E5" s="26" t="s">
        <v>197</v>
      </c>
      <c r="F5" s="295"/>
      <c r="G5" s="295"/>
      <c r="H5" s="25" t="s">
        <v>199</v>
      </c>
      <c r="I5" s="295"/>
      <c r="J5" s="295"/>
      <c r="K5" s="298"/>
    </row>
    <row r="6" spans="1:11" ht="14.4" customHeight="1" thickBot="1" x14ac:dyDescent="0.35">
      <c r="A6" s="386" t="s">
        <v>205</v>
      </c>
      <c r="B6" s="368">
        <v>1228.7020465456401</v>
      </c>
      <c r="C6" s="368">
        <v>1305.92004</v>
      </c>
      <c r="D6" s="369">
        <v>77.217993454362002</v>
      </c>
      <c r="E6" s="370">
        <v>1.0628451736290001</v>
      </c>
      <c r="F6" s="368">
        <v>1163.5114878176801</v>
      </c>
      <c r="G6" s="369">
        <v>193.91858130294699</v>
      </c>
      <c r="H6" s="371">
        <v>150.39278999999999</v>
      </c>
      <c r="I6" s="368">
        <v>311.22743000000099</v>
      </c>
      <c r="J6" s="369">
        <v>117.30884869705299</v>
      </c>
      <c r="K6" s="372">
        <v>0.26748977836299997</v>
      </c>
    </row>
    <row r="7" spans="1:11" ht="14.4" customHeight="1" thickBot="1" x14ac:dyDescent="0.35">
      <c r="A7" s="387" t="s">
        <v>206</v>
      </c>
      <c r="B7" s="368">
        <v>1219.6855515377799</v>
      </c>
      <c r="C7" s="368">
        <v>1264.01567</v>
      </c>
      <c r="D7" s="369">
        <v>44.330118462224</v>
      </c>
      <c r="E7" s="370">
        <v>1.0363455305389999</v>
      </c>
      <c r="F7" s="368">
        <v>1099.10497497917</v>
      </c>
      <c r="G7" s="369">
        <v>183.18416249652799</v>
      </c>
      <c r="H7" s="371">
        <v>147.85979</v>
      </c>
      <c r="I7" s="368">
        <v>306.16143000000102</v>
      </c>
      <c r="J7" s="369">
        <v>122.977267503473</v>
      </c>
      <c r="K7" s="372">
        <v>0.278555221721</v>
      </c>
    </row>
    <row r="8" spans="1:11" ht="14.4" customHeight="1" thickBot="1" x14ac:dyDescent="0.35">
      <c r="A8" s="388" t="s">
        <v>207</v>
      </c>
      <c r="B8" s="368">
        <v>1191</v>
      </c>
      <c r="C8" s="368">
        <v>1235.9416699999999</v>
      </c>
      <c r="D8" s="369">
        <v>44.941670000000997</v>
      </c>
      <c r="E8" s="370">
        <v>1.0377343996640001</v>
      </c>
      <c r="F8" s="368">
        <v>1066</v>
      </c>
      <c r="G8" s="369">
        <v>177.666666666667</v>
      </c>
      <c r="H8" s="371">
        <v>144.49378999999999</v>
      </c>
      <c r="I8" s="368">
        <v>298.68443000000099</v>
      </c>
      <c r="J8" s="369">
        <v>121.017763333334</v>
      </c>
      <c r="K8" s="372">
        <v>0.28019177298300002</v>
      </c>
    </row>
    <row r="9" spans="1:11" ht="14.4" customHeight="1" thickBot="1" x14ac:dyDescent="0.35">
      <c r="A9" s="389" t="s">
        <v>208</v>
      </c>
      <c r="B9" s="373">
        <v>0</v>
      </c>
      <c r="C9" s="373">
        <v>1.9E-3</v>
      </c>
      <c r="D9" s="374">
        <v>1.9E-3</v>
      </c>
      <c r="E9" s="375" t="s">
        <v>203</v>
      </c>
      <c r="F9" s="373">
        <v>0</v>
      </c>
      <c r="G9" s="374">
        <v>0</v>
      </c>
      <c r="H9" s="376">
        <v>-2.5000000000000001E-4</v>
      </c>
      <c r="I9" s="373">
        <v>-2.5000000000000001E-4</v>
      </c>
      <c r="J9" s="374">
        <v>-2.5000000000000001E-4</v>
      </c>
      <c r="K9" s="377" t="s">
        <v>203</v>
      </c>
    </row>
    <row r="10" spans="1:11" ht="14.4" customHeight="1" thickBot="1" x14ac:dyDescent="0.35">
      <c r="A10" s="390" t="s">
        <v>209</v>
      </c>
      <c r="B10" s="368">
        <v>0</v>
      </c>
      <c r="C10" s="368">
        <v>1.9E-3</v>
      </c>
      <c r="D10" s="369">
        <v>1.9E-3</v>
      </c>
      <c r="E10" s="378" t="s">
        <v>203</v>
      </c>
      <c r="F10" s="368">
        <v>0</v>
      </c>
      <c r="G10" s="369">
        <v>0</v>
      </c>
      <c r="H10" s="371">
        <v>-2.5000000000000001E-4</v>
      </c>
      <c r="I10" s="368">
        <v>-2.5000000000000001E-4</v>
      </c>
      <c r="J10" s="369">
        <v>-2.5000000000000001E-4</v>
      </c>
      <c r="K10" s="379" t="s">
        <v>203</v>
      </c>
    </row>
    <row r="11" spans="1:11" ht="14.4" customHeight="1" thickBot="1" x14ac:dyDescent="0.35">
      <c r="A11" s="389" t="s">
        <v>210</v>
      </c>
      <c r="B11" s="373">
        <v>1186</v>
      </c>
      <c r="C11" s="373">
        <v>1223.1061199999999</v>
      </c>
      <c r="D11" s="374">
        <v>37.106120000000999</v>
      </c>
      <c r="E11" s="380">
        <v>1.0312867790889999</v>
      </c>
      <c r="F11" s="373">
        <v>1056</v>
      </c>
      <c r="G11" s="374">
        <v>176</v>
      </c>
      <c r="H11" s="376">
        <v>142.94559000000001</v>
      </c>
      <c r="I11" s="373">
        <v>295.738550000001</v>
      </c>
      <c r="J11" s="374">
        <v>119.738550000001</v>
      </c>
      <c r="K11" s="381">
        <v>0.28005544507500002</v>
      </c>
    </row>
    <row r="12" spans="1:11" ht="14.4" customHeight="1" thickBot="1" x14ac:dyDescent="0.35">
      <c r="A12" s="390" t="s">
        <v>211</v>
      </c>
      <c r="B12" s="368">
        <v>130</v>
      </c>
      <c r="C12" s="368">
        <v>176.01545999999999</v>
      </c>
      <c r="D12" s="369">
        <v>46.015459999999997</v>
      </c>
      <c r="E12" s="370">
        <v>1.3539650769230001</v>
      </c>
      <c r="F12" s="368">
        <v>150</v>
      </c>
      <c r="G12" s="369">
        <v>25</v>
      </c>
      <c r="H12" s="371">
        <v>15.123699999999999</v>
      </c>
      <c r="I12" s="368">
        <v>35.035510000000002</v>
      </c>
      <c r="J12" s="369">
        <v>10.03551</v>
      </c>
      <c r="K12" s="372">
        <v>0.233570066666</v>
      </c>
    </row>
    <row r="13" spans="1:11" ht="14.4" customHeight="1" thickBot="1" x14ac:dyDescent="0.35">
      <c r="A13" s="390" t="s">
        <v>212</v>
      </c>
      <c r="B13" s="368">
        <v>530</v>
      </c>
      <c r="C13" s="368">
        <v>478.63194000000101</v>
      </c>
      <c r="D13" s="369">
        <v>-51.368059999998998</v>
      </c>
      <c r="E13" s="370">
        <v>0.90307913207500001</v>
      </c>
      <c r="F13" s="368">
        <v>456</v>
      </c>
      <c r="G13" s="369">
        <v>76</v>
      </c>
      <c r="H13" s="371">
        <v>41.232750000000003</v>
      </c>
      <c r="I13" s="368">
        <v>117.08551</v>
      </c>
      <c r="J13" s="369">
        <v>41.085509999999999</v>
      </c>
      <c r="K13" s="372">
        <v>0.25676646929800001</v>
      </c>
    </row>
    <row r="14" spans="1:11" ht="14.4" customHeight="1" thickBot="1" x14ac:dyDescent="0.35">
      <c r="A14" s="390" t="s">
        <v>213</v>
      </c>
      <c r="B14" s="368">
        <v>280</v>
      </c>
      <c r="C14" s="368">
        <v>372.36425000000003</v>
      </c>
      <c r="D14" s="369">
        <v>92.364249999999998</v>
      </c>
      <c r="E14" s="370">
        <v>1.3298723214279999</v>
      </c>
      <c r="F14" s="368">
        <v>340</v>
      </c>
      <c r="G14" s="369">
        <v>56.666666666666003</v>
      </c>
      <c r="H14" s="371">
        <v>75.889579999999995</v>
      </c>
      <c r="I14" s="368">
        <v>129.06037000000001</v>
      </c>
      <c r="J14" s="369">
        <v>72.393703333332994</v>
      </c>
      <c r="K14" s="372">
        <v>0.37958932352899999</v>
      </c>
    </row>
    <row r="15" spans="1:11" ht="14.4" customHeight="1" thickBot="1" x14ac:dyDescent="0.35">
      <c r="A15" s="390" t="s">
        <v>214</v>
      </c>
      <c r="B15" s="368">
        <v>25</v>
      </c>
      <c r="C15" s="368">
        <v>23.436820000000001</v>
      </c>
      <c r="D15" s="369">
        <v>-1.5631799999989999</v>
      </c>
      <c r="E15" s="370">
        <v>0.9374728</v>
      </c>
      <c r="F15" s="368">
        <v>30</v>
      </c>
      <c r="G15" s="369">
        <v>5</v>
      </c>
      <c r="H15" s="371">
        <v>2.2687599999999999</v>
      </c>
      <c r="I15" s="368">
        <v>2.7027600000000001</v>
      </c>
      <c r="J15" s="369">
        <v>-2.2972399999999999</v>
      </c>
      <c r="K15" s="372">
        <v>9.0092000000000005E-2</v>
      </c>
    </row>
    <row r="16" spans="1:11" ht="14.4" customHeight="1" thickBot="1" x14ac:dyDescent="0.35">
      <c r="A16" s="390" t="s">
        <v>215</v>
      </c>
      <c r="B16" s="368">
        <v>40</v>
      </c>
      <c r="C16" s="368">
        <v>55.316499999999998</v>
      </c>
      <c r="D16" s="369">
        <v>15.3165</v>
      </c>
      <c r="E16" s="370">
        <v>1.3829125</v>
      </c>
      <c r="F16" s="368">
        <v>50</v>
      </c>
      <c r="G16" s="369">
        <v>8.333333333333</v>
      </c>
      <c r="H16" s="371">
        <v>8.4307999999999996</v>
      </c>
      <c r="I16" s="368">
        <v>11.8544</v>
      </c>
      <c r="J16" s="369">
        <v>3.521066666666</v>
      </c>
      <c r="K16" s="372">
        <v>0.23708799999999999</v>
      </c>
    </row>
    <row r="17" spans="1:11" ht="14.4" customHeight="1" thickBot="1" x14ac:dyDescent="0.35">
      <c r="A17" s="390" t="s">
        <v>216</v>
      </c>
      <c r="B17" s="368">
        <v>67</v>
      </c>
      <c r="C17" s="368">
        <v>16.63777</v>
      </c>
      <c r="D17" s="369">
        <v>-50.362229999999997</v>
      </c>
      <c r="E17" s="370">
        <v>0.24832492537299999</v>
      </c>
      <c r="F17" s="368">
        <v>30</v>
      </c>
      <c r="G17" s="369">
        <v>5</v>
      </c>
      <c r="H17" s="371">
        <v>0</v>
      </c>
      <c r="I17" s="368">
        <v>0</v>
      </c>
      <c r="J17" s="369">
        <v>-5</v>
      </c>
      <c r="K17" s="372">
        <v>0</v>
      </c>
    </row>
    <row r="18" spans="1:11" ht="14.4" customHeight="1" thickBot="1" x14ac:dyDescent="0.35">
      <c r="A18" s="390" t="s">
        <v>217</v>
      </c>
      <c r="B18" s="368">
        <v>114</v>
      </c>
      <c r="C18" s="368">
        <v>100.70338</v>
      </c>
      <c r="D18" s="369">
        <v>-13.296619999999001</v>
      </c>
      <c r="E18" s="370">
        <v>0.88336298245599998</v>
      </c>
      <c r="F18" s="368">
        <v>0</v>
      </c>
      <c r="G18" s="369">
        <v>0</v>
      </c>
      <c r="H18" s="371">
        <v>0</v>
      </c>
      <c r="I18" s="368">
        <v>-6.8212102632969797E-16</v>
      </c>
      <c r="J18" s="369">
        <v>-6.8212102632969797E-16</v>
      </c>
      <c r="K18" s="379" t="s">
        <v>203</v>
      </c>
    </row>
    <row r="19" spans="1:11" ht="14.4" customHeight="1" thickBot="1" x14ac:dyDescent="0.35">
      <c r="A19" s="389" t="s">
        <v>218</v>
      </c>
      <c r="B19" s="373">
        <v>5</v>
      </c>
      <c r="C19" s="373">
        <v>12.83365</v>
      </c>
      <c r="D19" s="374">
        <v>7.8336499999999996</v>
      </c>
      <c r="E19" s="380">
        <v>2.5667300000000002</v>
      </c>
      <c r="F19" s="373">
        <v>10</v>
      </c>
      <c r="G19" s="374">
        <v>1.6666666666659999</v>
      </c>
      <c r="H19" s="376">
        <v>1.5484500000000001</v>
      </c>
      <c r="I19" s="373">
        <v>2.9461300000000001</v>
      </c>
      <c r="J19" s="374">
        <v>1.2794633333330001</v>
      </c>
      <c r="K19" s="381">
        <v>0.29461300000000001</v>
      </c>
    </row>
    <row r="20" spans="1:11" ht="14.4" customHeight="1" thickBot="1" x14ac:dyDescent="0.35">
      <c r="A20" s="390" t="s">
        <v>219</v>
      </c>
      <c r="B20" s="368">
        <v>0</v>
      </c>
      <c r="C20" s="368">
        <v>1.66316</v>
      </c>
      <c r="D20" s="369">
        <v>1.66316</v>
      </c>
      <c r="E20" s="378" t="s">
        <v>203</v>
      </c>
      <c r="F20" s="368">
        <v>0</v>
      </c>
      <c r="G20" s="369">
        <v>0</v>
      </c>
      <c r="H20" s="371">
        <v>0</v>
      </c>
      <c r="I20" s="368">
        <v>0.11088000000000001</v>
      </c>
      <c r="J20" s="369">
        <v>0.11088000000000001</v>
      </c>
      <c r="K20" s="379" t="s">
        <v>203</v>
      </c>
    </row>
    <row r="21" spans="1:11" ht="14.4" customHeight="1" thickBot="1" x14ac:dyDescent="0.35">
      <c r="A21" s="390" t="s">
        <v>220</v>
      </c>
      <c r="B21" s="368">
        <v>5</v>
      </c>
      <c r="C21" s="368">
        <v>11.170489999999999</v>
      </c>
      <c r="D21" s="369">
        <v>6.17049</v>
      </c>
      <c r="E21" s="370">
        <v>2.2340979999999999</v>
      </c>
      <c r="F21" s="368">
        <v>10</v>
      </c>
      <c r="G21" s="369">
        <v>1.6666666666659999</v>
      </c>
      <c r="H21" s="371">
        <v>1.5484500000000001</v>
      </c>
      <c r="I21" s="368">
        <v>2.8352499999999998</v>
      </c>
      <c r="J21" s="369">
        <v>1.168583333333</v>
      </c>
      <c r="K21" s="372">
        <v>0.28352500000000003</v>
      </c>
    </row>
    <row r="22" spans="1:11" ht="14.4" customHeight="1" thickBot="1" x14ac:dyDescent="0.35">
      <c r="A22" s="388" t="s">
        <v>24</v>
      </c>
      <c r="B22" s="368">
        <v>28.685551537776998</v>
      </c>
      <c r="C22" s="368">
        <v>28.074000000000002</v>
      </c>
      <c r="D22" s="369">
        <v>-0.611551537777</v>
      </c>
      <c r="E22" s="370">
        <v>0.97868085133399996</v>
      </c>
      <c r="F22" s="368">
        <v>33.104974979166997</v>
      </c>
      <c r="G22" s="369">
        <v>5.5174958298609997</v>
      </c>
      <c r="H22" s="371">
        <v>3.3660000000000001</v>
      </c>
      <c r="I22" s="368">
        <v>7.4770000000000003</v>
      </c>
      <c r="J22" s="369">
        <v>1.959504170138</v>
      </c>
      <c r="K22" s="372">
        <v>0.22585729198400001</v>
      </c>
    </row>
    <row r="23" spans="1:11" ht="14.4" customHeight="1" thickBot="1" x14ac:dyDescent="0.35">
      <c r="A23" s="389" t="s">
        <v>221</v>
      </c>
      <c r="B23" s="373">
        <v>28.685551537776998</v>
      </c>
      <c r="C23" s="373">
        <v>28.074000000000002</v>
      </c>
      <c r="D23" s="374">
        <v>-0.611551537777</v>
      </c>
      <c r="E23" s="380">
        <v>0.97868085133399996</v>
      </c>
      <c r="F23" s="373">
        <v>33.104974979166997</v>
      </c>
      <c r="G23" s="374">
        <v>5.5174958298609997</v>
      </c>
      <c r="H23" s="376">
        <v>3.3660000000000001</v>
      </c>
      <c r="I23" s="373">
        <v>7.4770000000000003</v>
      </c>
      <c r="J23" s="374">
        <v>1.959504170138</v>
      </c>
      <c r="K23" s="381">
        <v>0.22585729198400001</v>
      </c>
    </row>
    <row r="24" spans="1:11" ht="14.4" customHeight="1" thickBot="1" x14ac:dyDescent="0.35">
      <c r="A24" s="390" t="s">
        <v>222</v>
      </c>
      <c r="B24" s="368">
        <v>10.553278101941</v>
      </c>
      <c r="C24" s="368">
        <v>10.997999999999999</v>
      </c>
      <c r="D24" s="369">
        <v>0.444721898058</v>
      </c>
      <c r="E24" s="370">
        <v>1.0421406404489999</v>
      </c>
      <c r="F24" s="368">
        <v>14.39904891236</v>
      </c>
      <c r="G24" s="369">
        <v>2.3998414853929999</v>
      </c>
      <c r="H24" s="371">
        <v>1.1619999999999999</v>
      </c>
      <c r="I24" s="368">
        <v>2.4980000000000002</v>
      </c>
      <c r="J24" s="369">
        <v>9.8158514606000002E-2</v>
      </c>
      <c r="K24" s="372">
        <v>0.173483680429</v>
      </c>
    </row>
    <row r="25" spans="1:11" ht="14.4" customHeight="1" thickBot="1" x14ac:dyDescent="0.35">
      <c r="A25" s="390" t="s">
        <v>223</v>
      </c>
      <c r="B25" s="368">
        <v>18.132273435836002</v>
      </c>
      <c r="C25" s="368">
        <v>17.076000000000001</v>
      </c>
      <c r="D25" s="369">
        <v>-1.056273435836</v>
      </c>
      <c r="E25" s="370">
        <v>0.94174622175300005</v>
      </c>
      <c r="F25" s="368">
        <v>18.705926066806001</v>
      </c>
      <c r="G25" s="369">
        <v>3.1176543444670002</v>
      </c>
      <c r="H25" s="371">
        <v>2.2040000000000002</v>
      </c>
      <c r="I25" s="368">
        <v>4.9790000000000001</v>
      </c>
      <c r="J25" s="369">
        <v>1.861345655532</v>
      </c>
      <c r="K25" s="372">
        <v>0.26617233395500001</v>
      </c>
    </row>
    <row r="26" spans="1:11" ht="14.4" customHeight="1" thickBot="1" x14ac:dyDescent="0.35">
      <c r="A26" s="391" t="s">
        <v>224</v>
      </c>
      <c r="B26" s="373">
        <v>9.0164950078609998</v>
      </c>
      <c r="C26" s="373">
        <v>29.900369999999999</v>
      </c>
      <c r="D26" s="374">
        <v>20.883874992138001</v>
      </c>
      <c r="E26" s="380">
        <v>3.316185499346</v>
      </c>
      <c r="F26" s="373">
        <v>34.406512838516001</v>
      </c>
      <c r="G26" s="374">
        <v>5.7344188064189998</v>
      </c>
      <c r="H26" s="376">
        <v>0</v>
      </c>
      <c r="I26" s="373">
        <v>0</v>
      </c>
      <c r="J26" s="374">
        <v>-5.7344188064189998</v>
      </c>
      <c r="K26" s="381">
        <v>0</v>
      </c>
    </row>
    <row r="27" spans="1:11" ht="14.4" customHeight="1" thickBot="1" x14ac:dyDescent="0.35">
      <c r="A27" s="388" t="s">
        <v>27</v>
      </c>
      <c r="B27" s="368">
        <v>2.1743096319649999</v>
      </c>
      <c r="C27" s="368">
        <v>21.746939999999999</v>
      </c>
      <c r="D27" s="369">
        <v>19.572630368034002</v>
      </c>
      <c r="E27" s="370">
        <v>10.001767770463999</v>
      </c>
      <c r="F27" s="368">
        <v>26.292734722066001</v>
      </c>
      <c r="G27" s="369">
        <v>4.3821224536769998</v>
      </c>
      <c r="H27" s="371">
        <v>0</v>
      </c>
      <c r="I27" s="368">
        <v>0</v>
      </c>
      <c r="J27" s="369">
        <v>-4.3821224536769998</v>
      </c>
      <c r="K27" s="372">
        <v>0</v>
      </c>
    </row>
    <row r="28" spans="1:11" ht="14.4" customHeight="1" thickBot="1" x14ac:dyDescent="0.35">
      <c r="A28" s="392" t="s">
        <v>225</v>
      </c>
      <c r="B28" s="368">
        <v>2.1743096319649999</v>
      </c>
      <c r="C28" s="368">
        <v>21.746939999999999</v>
      </c>
      <c r="D28" s="369">
        <v>19.572630368034002</v>
      </c>
      <c r="E28" s="370">
        <v>10.001767770463999</v>
      </c>
      <c r="F28" s="368">
        <v>26.292734722066001</v>
      </c>
      <c r="G28" s="369">
        <v>4.3821224536769998</v>
      </c>
      <c r="H28" s="371">
        <v>0</v>
      </c>
      <c r="I28" s="368">
        <v>0</v>
      </c>
      <c r="J28" s="369">
        <v>-4.3821224536769998</v>
      </c>
      <c r="K28" s="372">
        <v>0</v>
      </c>
    </row>
    <row r="29" spans="1:11" ht="14.4" customHeight="1" thickBot="1" x14ac:dyDescent="0.35">
      <c r="A29" s="390" t="s">
        <v>226</v>
      </c>
      <c r="B29" s="368">
        <v>2.1743096319649999</v>
      </c>
      <c r="C29" s="368">
        <v>21.589939999999999</v>
      </c>
      <c r="D29" s="369">
        <v>19.415630368034002</v>
      </c>
      <c r="E29" s="370">
        <v>9.9295609432060008</v>
      </c>
      <c r="F29" s="368">
        <v>25.856904618832001</v>
      </c>
      <c r="G29" s="369">
        <v>4.3094841031379998</v>
      </c>
      <c r="H29" s="371">
        <v>0</v>
      </c>
      <c r="I29" s="368">
        <v>0</v>
      </c>
      <c r="J29" s="369">
        <v>-4.3094841031379998</v>
      </c>
      <c r="K29" s="372">
        <v>0</v>
      </c>
    </row>
    <row r="30" spans="1:11" ht="14.4" customHeight="1" thickBot="1" x14ac:dyDescent="0.35">
      <c r="A30" s="390" t="s">
        <v>227</v>
      </c>
      <c r="B30" s="368">
        <v>0</v>
      </c>
      <c r="C30" s="368">
        <v>0.157</v>
      </c>
      <c r="D30" s="369">
        <v>0.157</v>
      </c>
      <c r="E30" s="378" t="s">
        <v>228</v>
      </c>
      <c r="F30" s="368">
        <v>8.0302356969999995E-3</v>
      </c>
      <c r="G30" s="369">
        <v>1.3383726159999999E-3</v>
      </c>
      <c r="H30" s="371">
        <v>0</v>
      </c>
      <c r="I30" s="368">
        <v>0</v>
      </c>
      <c r="J30" s="369">
        <v>-1.3383726159999999E-3</v>
      </c>
      <c r="K30" s="372">
        <v>0</v>
      </c>
    </row>
    <row r="31" spans="1:11" ht="14.4" customHeight="1" thickBot="1" x14ac:dyDescent="0.35">
      <c r="A31" s="390" t="s">
        <v>229</v>
      </c>
      <c r="B31" s="368">
        <v>0</v>
      </c>
      <c r="C31" s="368">
        <v>0</v>
      </c>
      <c r="D31" s="369">
        <v>0</v>
      </c>
      <c r="E31" s="370">
        <v>1</v>
      </c>
      <c r="F31" s="368">
        <v>0.27028123294900003</v>
      </c>
      <c r="G31" s="369">
        <v>4.5046872157999997E-2</v>
      </c>
      <c r="H31" s="371">
        <v>0</v>
      </c>
      <c r="I31" s="368">
        <v>0</v>
      </c>
      <c r="J31" s="369">
        <v>-4.5046872157999997E-2</v>
      </c>
      <c r="K31" s="372">
        <v>0</v>
      </c>
    </row>
    <row r="32" spans="1:11" ht="14.4" customHeight="1" thickBot="1" x14ac:dyDescent="0.35">
      <c r="A32" s="390" t="s">
        <v>230</v>
      </c>
      <c r="B32" s="368">
        <v>0</v>
      </c>
      <c r="C32" s="368">
        <v>0</v>
      </c>
      <c r="D32" s="369">
        <v>0</v>
      </c>
      <c r="E32" s="370">
        <v>1</v>
      </c>
      <c r="F32" s="368">
        <v>0.118942642443</v>
      </c>
      <c r="G32" s="369">
        <v>1.9823773740000002E-2</v>
      </c>
      <c r="H32" s="371">
        <v>0</v>
      </c>
      <c r="I32" s="368">
        <v>0</v>
      </c>
      <c r="J32" s="369">
        <v>-1.9823773740000002E-2</v>
      </c>
      <c r="K32" s="372">
        <v>0</v>
      </c>
    </row>
    <row r="33" spans="1:11" ht="14.4" customHeight="1" thickBot="1" x14ac:dyDescent="0.35">
      <c r="A33" s="390" t="s">
        <v>231</v>
      </c>
      <c r="B33" s="368">
        <v>0</v>
      </c>
      <c r="C33" s="368">
        <v>0</v>
      </c>
      <c r="D33" s="369">
        <v>0</v>
      </c>
      <c r="E33" s="370">
        <v>1</v>
      </c>
      <c r="F33" s="368">
        <v>3.8575992142999997E-2</v>
      </c>
      <c r="G33" s="369">
        <v>6.4293320229999998E-3</v>
      </c>
      <c r="H33" s="371">
        <v>0</v>
      </c>
      <c r="I33" s="368">
        <v>0</v>
      </c>
      <c r="J33" s="369">
        <v>-6.4293320229999998E-3</v>
      </c>
      <c r="K33" s="372">
        <v>0</v>
      </c>
    </row>
    <row r="34" spans="1:11" ht="14.4" customHeight="1" thickBot="1" x14ac:dyDescent="0.35">
      <c r="A34" s="388" t="s">
        <v>29</v>
      </c>
      <c r="B34" s="368">
        <v>6.8421853758960003</v>
      </c>
      <c r="C34" s="368">
        <v>8.1534300000000002</v>
      </c>
      <c r="D34" s="369">
        <v>1.311244624103</v>
      </c>
      <c r="E34" s="370">
        <v>1.1916412011749999</v>
      </c>
      <c r="F34" s="368">
        <v>8.1137781164489997</v>
      </c>
      <c r="G34" s="369">
        <v>1.3522963527409999</v>
      </c>
      <c r="H34" s="371">
        <v>0</v>
      </c>
      <c r="I34" s="368">
        <v>0</v>
      </c>
      <c r="J34" s="369">
        <v>-1.3522963527409999</v>
      </c>
      <c r="K34" s="372">
        <v>0</v>
      </c>
    </row>
    <row r="35" spans="1:11" ht="14.4" customHeight="1" thickBot="1" x14ac:dyDescent="0.35">
      <c r="A35" s="389" t="s">
        <v>232</v>
      </c>
      <c r="B35" s="373">
        <v>6.8421853758960003</v>
      </c>
      <c r="C35" s="373">
        <v>8.1534300000000002</v>
      </c>
      <c r="D35" s="374">
        <v>1.311244624103</v>
      </c>
      <c r="E35" s="380">
        <v>1.1916412011749999</v>
      </c>
      <c r="F35" s="373">
        <v>8.1137781164489997</v>
      </c>
      <c r="G35" s="374">
        <v>1.3522963527409999</v>
      </c>
      <c r="H35" s="376">
        <v>0</v>
      </c>
      <c r="I35" s="373">
        <v>0</v>
      </c>
      <c r="J35" s="374">
        <v>-1.3522963527409999</v>
      </c>
      <c r="K35" s="381">
        <v>0</v>
      </c>
    </row>
    <row r="36" spans="1:11" ht="14.4" customHeight="1" thickBot="1" x14ac:dyDescent="0.35">
      <c r="A36" s="390" t="s">
        <v>233</v>
      </c>
      <c r="B36" s="368">
        <v>6.8421853758960003</v>
      </c>
      <c r="C36" s="368">
        <v>8.1534300000000002</v>
      </c>
      <c r="D36" s="369">
        <v>1.311244624103</v>
      </c>
      <c r="E36" s="370">
        <v>1.1916412011749999</v>
      </c>
      <c r="F36" s="368">
        <v>8.1137781164489997</v>
      </c>
      <c r="G36" s="369">
        <v>1.3522963527409999</v>
      </c>
      <c r="H36" s="371">
        <v>0</v>
      </c>
      <c r="I36" s="368">
        <v>0</v>
      </c>
      <c r="J36" s="369">
        <v>-1.3522963527409999</v>
      </c>
      <c r="K36" s="372">
        <v>0</v>
      </c>
    </row>
    <row r="37" spans="1:11" ht="14.4" customHeight="1" thickBot="1" x14ac:dyDescent="0.35">
      <c r="A37" s="387" t="s">
        <v>234</v>
      </c>
      <c r="B37" s="368">
        <v>0</v>
      </c>
      <c r="C37" s="368">
        <v>12.004</v>
      </c>
      <c r="D37" s="369">
        <v>12.004</v>
      </c>
      <c r="E37" s="378" t="s">
        <v>228</v>
      </c>
      <c r="F37" s="368">
        <v>29.999999999999002</v>
      </c>
      <c r="G37" s="369">
        <v>4.9999999999989999</v>
      </c>
      <c r="H37" s="371">
        <v>2.5329999999999999</v>
      </c>
      <c r="I37" s="368">
        <v>5.0659999999999998</v>
      </c>
      <c r="J37" s="369">
        <v>6.6000000000000003E-2</v>
      </c>
      <c r="K37" s="372">
        <v>0.168866666666</v>
      </c>
    </row>
    <row r="38" spans="1:11" ht="14.4" customHeight="1" thickBot="1" x14ac:dyDescent="0.35">
      <c r="A38" s="388" t="s">
        <v>235</v>
      </c>
      <c r="B38" s="368">
        <v>0</v>
      </c>
      <c r="C38" s="368">
        <v>12.004</v>
      </c>
      <c r="D38" s="369">
        <v>12.004</v>
      </c>
      <c r="E38" s="378" t="s">
        <v>228</v>
      </c>
      <c r="F38" s="368">
        <v>29.999999999999002</v>
      </c>
      <c r="G38" s="369">
        <v>4.9999999999989999</v>
      </c>
      <c r="H38" s="371">
        <v>2.5329999999999999</v>
      </c>
      <c r="I38" s="368">
        <v>5.0659999999999998</v>
      </c>
      <c r="J38" s="369">
        <v>6.6000000000000003E-2</v>
      </c>
      <c r="K38" s="372">
        <v>0.168866666666</v>
      </c>
    </row>
    <row r="39" spans="1:11" ht="14.4" customHeight="1" thickBot="1" x14ac:dyDescent="0.35">
      <c r="A39" s="389" t="s">
        <v>236</v>
      </c>
      <c r="B39" s="373">
        <v>0</v>
      </c>
      <c r="C39" s="373">
        <v>12.004</v>
      </c>
      <c r="D39" s="374">
        <v>12.004</v>
      </c>
      <c r="E39" s="375" t="s">
        <v>228</v>
      </c>
      <c r="F39" s="373">
        <v>29.999999999999002</v>
      </c>
      <c r="G39" s="374">
        <v>4.9999999999989999</v>
      </c>
      <c r="H39" s="376">
        <v>2.5329999999999999</v>
      </c>
      <c r="I39" s="373">
        <v>5.0659999999999998</v>
      </c>
      <c r="J39" s="374">
        <v>6.6000000000000003E-2</v>
      </c>
      <c r="K39" s="381">
        <v>0.168866666666</v>
      </c>
    </row>
    <row r="40" spans="1:11" ht="14.4" customHeight="1" thickBot="1" x14ac:dyDescent="0.35">
      <c r="A40" s="390" t="s">
        <v>237</v>
      </c>
      <c r="B40" s="368">
        <v>0</v>
      </c>
      <c r="C40" s="368">
        <v>12.004</v>
      </c>
      <c r="D40" s="369">
        <v>12.004</v>
      </c>
      <c r="E40" s="378" t="s">
        <v>228</v>
      </c>
      <c r="F40" s="368">
        <v>29.999999999999002</v>
      </c>
      <c r="G40" s="369">
        <v>4.9999999999989999</v>
      </c>
      <c r="H40" s="371">
        <v>2.5329999999999999</v>
      </c>
      <c r="I40" s="368">
        <v>5.0659999999999998</v>
      </c>
      <c r="J40" s="369">
        <v>6.6000000000000003E-2</v>
      </c>
      <c r="K40" s="372">
        <v>0.168866666666</v>
      </c>
    </row>
    <row r="41" spans="1:11" ht="14.4" customHeight="1" thickBot="1" x14ac:dyDescent="0.35">
      <c r="A41" s="386" t="s">
        <v>238</v>
      </c>
      <c r="B41" s="368">
        <v>3545.7018054293799</v>
      </c>
      <c r="C41" s="368">
        <v>3071.5300099999999</v>
      </c>
      <c r="D41" s="369">
        <v>-474.17179542937799</v>
      </c>
      <c r="E41" s="370">
        <v>0.86626856361600002</v>
      </c>
      <c r="F41" s="368">
        <v>1548.65040345026</v>
      </c>
      <c r="G41" s="369">
        <v>258.10840057504299</v>
      </c>
      <c r="H41" s="371">
        <v>416.18823999999898</v>
      </c>
      <c r="I41" s="368">
        <v>1044.4192700000001</v>
      </c>
      <c r="J41" s="369">
        <v>786.31086942495699</v>
      </c>
      <c r="K41" s="372">
        <v>0.67440609428200005</v>
      </c>
    </row>
    <row r="42" spans="1:11" ht="14.4" customHeight="1" thickBot="1" x14ac:dyDescent="0.35">
      <c r="A42" s="387" t="s">
        <v>239</v>
      </c>
      <c r="B42" s="368">
        <v>3545.7018054293799</v>
      </c>
      <c r="C42" s="368">
        <v>3071.5300099999999</v>
      </c>
      <c r="D42" s="369">
        <v>-474.17179542937799</v>
      </c>
      <c r="E42" s="370">
        <v>0.86626856361600002</v>
      </c>
      <c r="F42" s="368">
        <v>1548.65040345026</v>
      </c>
      <c r="G42" s="369">
        <v>258.10840057504299</v>
      </c>
      <c r="H42" s="371">
        <v>416.18823999999898</v>
      </c>
      <c r="I42" s="368">
        <v>1044.4192700000001</v>
      </c>
      <c r="J42" s="369">
        <v>786.31086942495699</v>
      </c>
      <c r="K42" s="372">
        <v>0.67440609428200005</v>
      </c>
    </row>
    <row r="43" spans="1:11" ht="14.4" customHeight="1" thickBot="1" x14ac:dyDescent="0.35">
      <c r="A43" s="388" t="s">
        <v>240</v>
      </c>
      <c r="B43" s="368">
        <v>3545.7018054293799</v>
      </c>
      <c r="C43" s="368">
        <v>3071.5300099999999</v>
      </c>
      <c r="D43" s="369">
        <v>-474.17179542937799</v>
      </c>
      <c r="E43" s="370">
        <v>0.86626856361600002</v>
      </c>
      <c r="F43" s="368">
        <v>1548.65040345026</v>
      </c>
      <c r="G43" s="369">
        <v>258.10840057504299</v>
      </c>
      <c r="H43" s="371">
        <v>416.18823999999898</v>
      </c>
      <c r="I43" s="368">
        <v>1044.4192700000001</v>
      </c>
      <c r="J43" s="369">
        <v>786.31086942495699</v>
      </c>
      <c r="K43" s="372">
        <v>0.67440609428200005</v>
      </c>
    </row>
    <row r="44" spans="1:11" ht="14.4" customHeight="1" thickBot="1" x14ac:dyDescent="0.35">
      <c r="A44" s="389" t="s">
        <v>241</v>
      </c>
      <c r="B44" s="373">
        <v>353.55330439387399</v>
      </c>
      <c r="C44" s="373">
        <v>69.242289999999997</v>
      </c>
      <c r="D44" s="374">
        <v>-284.31101439387402</v>
      </c>
      <c r="E44" s="380">
        <v>0.195846818964</v>
      </c>
      <c r="F44" s="373">
        <v>0</v>
      </c>
      <c r="G44" s="374">
        <v>0</v>
      </c>
      <c r="H44" s="376">
        <v>0</v>
      </c>
      <c r="I44" s="373">
        <v>0</v>
      </c>
      <c r="J44" s="374">
        <v>0</v>
      </c>
      <c r="K44" s="377" t="s">
        <v>203</v>
      </c>
    </row>
    <row r="45" spans="1:11" ht="14.4" customHeight="1" thickBot="1" x14ac:dyDescent="0.35">
      <c r="A45" s="390" t="s">
        <v>242</v>
      </c>
      <c r="B45" s="368">
        <v>353.55330439387399</v>
      </c>
      <c r="C45" s="368">
        <v>69.241439999999997</v>
      </c>
      <c r="D45" s="369">
        <v>-284.31186439387398</v>
      </c>
      <c r="E45" s="370">
        <v>0.19584441480100001</v>
      </c>
      <c r="F45" s="368">
        <v>0</v>
      </c>
      <c r="G45" s="369">
        <v>0</v>
      </c>
      <c r="H45" s="371">
        <v>0</v>
      </c>
      <c r="I45" s="368">
        <v>0</v>
      </c>
      <c r="J45" s="369">
        <v>0</v>
      </c>
      <c r="K45" s="379" t="s">
        <v>203</v>
      </c>
    </row>
    <row r="46" spans="1:11" ht="14.4" customHeight="1" thickBot="1" x14ac:dyDescent="0.35">
      <c r="A46" s="390" t="s">
        <v>243</v>
      </c>
      <c r="B46" s="368">
        <v>0</v>
      </c>
      <c r="C46" s="368">
        <v>8.4999999899999996E-4</v>
      </c>
      <c r="D46" s="369">
        <v>8.4999999899999996E-4</v>
      </c>
      <c r="E46" s="378" t="s">
        <v>228</v>
      </c>
      <c r="F46" s="368">
        <v>0</v>
      </c>
      <c r="G46" s="369">
        <v>0</v>
      </c>
      <c r="H46" s="371">
        <v>0</v>
      </c>
      <c r="I46" s="368">
        <v>0</v>
      </c>
      <c r="J46" s="369">
        <v>0</v>
      </c>
      <c r="K46" s="379" t="s">
        <v>203</v>
      </c>
    </row>
    <row r="47" spans="1:11" ht="14.4" customHeight="1" thickBot="1" x14ac:dyDescent="0.35">
      <c r="A47" s="392" t="s">
        <v>244</v>
      </c>
      <c r="B47" s="368">
        <v>7.9451440637999998E-2</v>
      </c>
      <c r="C47" s="368">
        <v>24.467300000000002</v>
      </c>
      <c r="D47" s="369">
        <v>24.387848559361</v>
      </c>
      <c r="E47" s="370">
        <v>307.95288044231302</v>
      </c>
      <c r="F47" s="368">
        <v>49.177928409057998</v>
      </c>
      <c r="G47" s="369">
        <v>8.1963214015089996</v>
      </c>
      <c r="H47" s="371">
        <v>9.2457999999990008</v>
      </c>
      <c r="I47" s="368">
        <v>14.97983</v>
      </c>
      <c r="J47" s="369">
        <v>6.7835085984900001</v>
      </c>
      <c r="K47" s="372">
        <v>0.304604738032</v>
      </c>
    </row>
    <row r="48" spans="1:11" ht="14.4" customHeight="1" thickBot="1" x14ac:dyDescent="0.35">
      <c r="A48" s="390" t="s">
        <v>245</v>
      </c>
      <c r="B48" s="368">
        <v>0</v>
      </c>
      <c r="C48" s="368">
        <v>0</v>
      </c>
      <c r="D48" s="369">
        <v>0</v>
      </c>
      <c r="E48" s="370">
        <v>1</v>
      </c>
      <c r="F48" s="368">
        <v>49.177928409057998</v>
      </c>
      <c r="G48" s="369">
        <v>8.1963214015089996</v>
      </c>
      <c r="H48" s="371">
        <v>9.2457999999990008</v>
      </c>
      <c r="I48" s="368">
        <v>14.97983</v>
      </c>
      <c r="J48" s="369">
        <v>6.7835085984900001</v>
      </c>
      <c r="K48" s="372">
        <v>0.304604738032</v>
      </c>
    </row>
    <row r="49" spans="1:11" ht="14.4" customHeight="1" thickBot="1" x14ac:dyDescent="0.35">
      <c r="A49" s="390" t="s">
        <v>246</v>
      </c>
      <c r="B49" s="368">
        <v>7.9451440637999998E-2</v>
      </c>
      <c r="C49" s="368">
        <v>24.467300000000002</v>
      </c>
      <c r="D49" s="369">
        <v>24.387848559361</v>
      </c>
      <c r="E49" s="370">
        <v>307.95288044231302</v>
      </c>
      <c r="F49" s="368">
        <v>0</v>
      </c>
      <c r="G49" s="369">
        <v>0</v>
      </c>
      <c r="H49" s="371">
        <v>0</v>
      </c>
      <c r="I49" s="368">
        <v>0</v>
      </c>
      <c r="J49" s="369">
        <v>0</v>
      </c>
      <c r="K49" s="379" t="s">
        <v>203</v>
      </c>
    </row>
    <row r="50" spans="1:11" ht="14.4" customHeight="1" thickBot="1" x14ac:dyDescent="0.35">
      <c r="A50" s="389" t="s">
        <v>247</v>
      </c>
      <c r="B50" s="373">
        <v>3192.0690495948602</v>
      </c>
      <c r="C50" s="373">
        <v>2863.4964399999999</v>
      </c>
      <c r="D50" s="374">
        <v>-328.57260959486399</v>
      </c>
      <c r="E50" s="380">
        <v>0.89706594547600005</v>
      </c>
      <c r="F50" s="373">
        <v>1499.4724750411999</v>
      </c>
      <c r="G50" s="374">
        <v>249.91207917353299</v>
      </c>
      <c r="H50" s="376">
        <v>355.47908999999902</v>
      </c>
      <c r="I50" s="373">
        <v>974.51230999999996</v>
      </c>
      <c r="J50" s="374">
        <v>724.60023082646705</v>
      </c>
      <c r="K50" s="381">
        <v>0.649903433521</v>
      </c>
    </row>
    <row r="51" spans="1:11" ht="14.4" customHeight="1" thickBot="1" x14ac:dyDescent="0.35">
      <c r="A51" s="390" t="s">
        <v>248</v>
      </c>
      <c r="B51" s="368">
        <v>1876.53588074668</v>
      </c>
      <c r="C51" s="368">
        <v>1814.6880000000001</v>
      </c>
      <c r="D51" s="369">
        <v>-61.847880746681</v>
      </c>
      <c r="E51" s="370">
        <v>0.96704146114</v>
      </c>
      <c r="F51" s="368">
        <v>0</v>
      </c>
      <c r="G51" s="369">
        <v>0</v>
      </c>
      <c r="H51" s="371">
        <v>0</v>
      </c>
      <c r="I51" s="368">
        <v>0</v>
      </c>
      <c r="J51" s="369">
        <v>0</v>
      </c>
      <c r="K51" s="379" t="s">
        <v>203</v>
      </c>
    </row>
    <row r="52" spans="1:11" ht="14.4" customHeight="1" thickBot="1" x14ac:dyDescent="0.35">
      <c r="A52" s="390" t="s">
        <v>249</v>
      </c>
      <c r="B52" s="368">
        <v>1315.5331688481799</v>
      </c>
      <c r="C52" s="368">
        <v>1048.80844</v>
      </c>
      <c r="D52" s="369">
        <v>-266.72472884818302</v>
      </c>
      <c r="E52" s="370">
        <v>0.79724971200700001</v>
      </c>
      <c r="F52" s="368">
        <v>1499.4724750411999</v>
      </c>
      <c r="G52" s="369">
        <v>249.91207917353299</v>
      </c>
      <c r="H52" s="371">
        <v>355.47908999999902</v>
      </c>
      <c r="I52" s="368">
        <v>974.51230999999996</v>
      </c>
      <c r="J52" s="369">
        <v>724.60023082646705</v>
      </c>
      <c r="K52" s="372">
        <v>0.649903433521</v>
      </c>
    </row>
    <row r="53" spans="1:11" ht="14.4" customHeight="1" thickBot="1" x14ac:dyDescent="0.35">
      <c r="A53" s="389" t="s">
        <v>250</v>
      </c>
      <c r="B53" s="373">
        <v>0</v>
      </c>
      <c r="C53" s="373">
        <v>114.32398000000001</v>
      </c>
      <c r="D53" s="374">
        <v>114.32398000000001</v>
      </c>
      <c r="E53" s="375" t="s">
        <v>203</v>
      </c>
      <c r="F53" s="373">
        <v>0</v>
      </c>
      <c r="G53" s="374">
        <v>0</v>
      </c>
      <c r="H53" s="376">
        <v>51.463349999998997</v>
      </c>
      <c r="I53" s="373">
        <v>54.927129999999003</v>
      </c>
      <c r="J53" s="374">
        <v>54.927129999999003</v>
      </c>
      <c r="K53" s="377" t="s">
        <v>203</v>
      </c>
    </row>
    <row r="54" spans="1:11" ht="14.4" customHeight="1" thickBot="1" x14ac:dyDescent="0.35">
      <c r="A54" s="390" t="s">
        <v>251</v>
      </c>
      <c r="B54" s="368">
        <v>0</v>
      </c>
      <c r="C54" s="368">
        <v>47.887050000000002</v>
      </c>
      <c r="D54" s="369">
        <v>47.887050000000002</v>
      </c>
      <c r="E54" s="378" t="s">
        <v>203</v>
      </c>
      <c r="F54" s="368">
        <v>0</v>
      </c>
      <c r="G54" s="369">
        <v>0</v>
      </c>
      <c r="H54" s="371">
        <v>0</v>
      </c>
      <c r="I54" s="368">
        <v>0</v>
      </c>
      <c r="J54" s="369">
        <v>0</v>
      </c>
      <c r="K54" s="379" t="s">
        <v>203</v>
      </c>
    </row>
    <row r="55" spans="1:11" ht="14.4" customHeight="1" thickBot="1" x14ac:dyDescent="0.35">
      <c r="A55" s="390" t="s">
        <v>252</v>
      </c>
      <c r="B55" s="368">
        <v>0</v>
      </c>
      <c r="C55" s="368">
        <v>66.436930000000004</v>
      </c>
      <c r="D55" s="369">
        <v>66.436930000000004</v>
      </c>
      <c r="E55" s="378" t="s">
        <v>203</v>
      </c>
      <c r="F55" s="368">
        <v>0</v>
      </c>
      <c r="G55" s="369">
        <v>0</v>
      </c>
      <c r="H55" s="371">
        <v>51.463349999998997</v>
      </c>
      <c r="I55" s="368">
        <v>54.927129999999003</v>
      </c>
      <c r="J55" s="369">
        <v>54.927129999999003</v>
      </c>
      <c r="K55" s="379" t="s">
        <v>203</v>
      </c>
    </row>
    <row r="56" spans="1:11" ht="14.4" customHeight="1" thickBot="1" x14ac:dyDescent="0.35">
      <c r="A56" s="386" t="s">
        <v>253</v>
      </c>
      <c r="B56" s="368">
        <v>0</v>
      </c>
      <c r="C56" s="368">
        <v>0.11092</v>
      </c>
      <c r="D56" s="369">
        <v>0.11092</v>
      </c>
      <c r="E56" s="378" t="s">
        <v>203</v>
      </c>
      <c r="F56" s="368">
        <v>0</v>
      </c>
      <c r="G56" s="369">
        <v>0</v>
      </c>
      <c r="H56" s="371">
        <v>0</v>
      </c>
      <c r="I56" s="368">
        <v>0</v>
      </c>
      <c r="J56" s="369">
        <v>0</v>
      </c>
      <c r="K56" s="372">
        <v>2</v>
      </c>
    </row>
    <row r="57" spans="1:11" ht="14.4" customHeight="1" thickBot="1" x14ac:dyDescent="0.35">
      <c r="A57" s="391" t="s">
        <v>254</v>
      </c>
      <c r="B57" s="373">
        <v>0</v>
      </c>
      <c r="C57" s="373">
        <v>0.11092</v>
      </c>
      <c r="D57" s="374">
        <v>0.11092</v>
      </c>
      <c r="E57" s="375" t="s">
        <v>203</v>
      </c>
      <c r="F57" s="373">
        <v>0</v>
      </c>
      <c r="G57" s="374">
        <v>0</v>
      </c>
      <c r="H57" s="376">
        <v>0</v>
      </c>
      <c r="I57" s="373">
        <v>0</v>
      </c>
      <c r="J57" s="374">
        <v>0</v>
      </c>
      <c r="K57" s="381">
        <v>2</v>
      </c>
    </row>
    <row r="58" spans="1:11" ht="14.4" customHeight="1" thickBot="1" x14ac:dyDescent="0.35">
      <c r="A58" s="393" t="s">
        <v>255</v>
      </c>
      <c r="B58" s="373">
        <v>0</v>
      </c>
      <c r="C58" s="373">
        <v>0.11092</v>
      </c>
      <c r="D58" s="374">
        <v>0.11092</v>
      </c>
      <c r="E58" s="375" t="s">
        <v>203</v>
      </c>
      <c r="F58" s="373">
        <v>0</v>
      </c>
      <c r="G58" s="374">
        <v>0</v>
      </c>
      <c r="H58" s="376">
        <v>0</v>
      </c>
      <c r="I58" s="373">
        <v>0</v>
      </c>
      <c r="J58" s="374">
        <v>0</v>
      </c>
      <c r="K58" s="381">
        <v>2</v>
      </c>
    </row>
    <row r="59" spans="1:11" ht="14.4" customHeight="1" thickBot="1" x14ac:dyDescent="0.35">
      <c r="A59" s="389" t="s">
        <v>256</v>
      </c>
      <c r="B59" s="373">
        <v>0</v>
      </c>
      <c r="C59" s="373">
        <v>0.11092</v>
      </c>
      <c r="D59" s="374">
        <v>0.11092</v>
      </c>
      <c r="E59" s="375" t="s">
        <v>228</v>
      </c>
      <c r="F59" s="373">
        <v>0</v>
      </c>
      <c r="G59" s="374">
        <v>0</v>
      </c>
      <c r="H59" s="376">
        <v>0</v>
      </c>
      <c r="I59" s="373">
        <v>0</v>
      </c>
      <c r="J59" s="374">
        <v>0</v>
      </c>
      <c r="K59" s="381">
        <v>2</v>
      </c>
    </row>
    <row r="60" spans="1:11" ht="14.4" customHeight="1" thickBot="1" x14ac:dyDescent="0.35">
      <c r="A60" s="390" t="s">
        <v>257</v>
      </c>
      <c r="B60" s="368">
        <v>0</v>
      </c>
      <c r="C60" s="368">
        <v>0.11092</v>
      </c>
      <c r="D60" s="369">
        <v>0.11092</v>
      </c>
      <c r="E60" s="378" t="s">
        <v>228</v>
      </c>
      <c r="F60" s="368">
        <v>0</v>
      </c>
      <c r="G60" s="369">
        <v>0</v>
      </c>
      <c r="H60" s="371">
        <v>0</v>
      </c>
      <c r="I60" s="368">
        <v>0</v>
      </c>
      <c r="J60" s="369">
        <v>0</v>
      </c>
      <c r="K60" s="372">
        <v>2</v>
      </c>
    </row>
    <row r="61" spans="1:11" ht="14.4" customHeight="1" thickBot="1" x14ac:dyDescent="0.35">
      <c r="A61" s="394"/>
      <c r="B61" s="368">
        <v>2316.99975888374</v>
      </c>
      <c r="C61" s="368">
        <v>1765.7208900000001</v>
      </c>
      <c r="D61" s="369">
        <v>-551.27886888373996</v>
      </c>
      <c r="E61" s="370">
        <v>0.76207210778900003</v>
      </c>
      <c r="F61" s="368">
        <v>385.13891563257403</v>
      </c>
      <c r="G61" s="369">
        <v>64.189819272094994</v>
      </c>
      <c r="H61" s="371">
        <v>265.79544999999899</v>
      </c>
      <c r="I61" s="368">
        <v>733.19183999999905</v>
      </c>
      <c r="J61" s="369">
        <v>669.00202072790398</v>
      </c>
      <c r="K61" s="372">
        <v>1.9037074942050001</v>
      </c>
    </row>
    <row r="62" spans="1:11" ht="14.4" customHeight="1" thickBot="1" x14ac:dyDescent="0.35">
      <c r="A62" s="395" t="s">
        <v>48</v>
      </c>
      <c r="B62" s="382">
        <v>2316.99975888374</v>
      </c>
      <c r="C62" s="382">
        <v>1765.7208900000001</v>
      </c>
      <c r="D62" s="383">
        <v>-551.27886888373996</v>
      </c>
      <c r="E62" s="384" t="s">
        <v>203</v>
      </c>
      <c r="F62" s="382">
        <v>385.13891563257403</v>
      </c>
      <c r="G62" s="383">
        <v>64.189819272094994</v>
      </c>
      <c r="H62" s="382">
        <v>265.79544999999899</v>
      </c>
      <c r="I62" s="382">
        <v>733.19183999999905</v>
      </c>
      <c r="J62" s="383">
        <v>669.00202072790398</v>
      </c>
      <c r="K62" s="385">
        <v>1.9037074942050001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02" t="s">
        <v>108</v>
      </c>
      <c r="B1" s="303"/>
      <c r="C1" s="303"/>
      <c r="D1" s="303"/>
      <c r="E1" s="303"/>
      <c r="F1" s="303"/>
      <c r="G1" s="273"/>
      <c r="H1" s="304"/>
      <c r="I1" s="304"/>
    </row>
    <row r="2" spans="1:10" ht="14.4" customHeight="1" thickBot="1" x14ac:dyDescent="0.35">
      <c r="A2" s="199" t="s">
        <v>202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6"/>
      <c r="C3" s="205">
        <v>2015</v>
      </c>
      <c r="D3" s="206">
        <v>2018</v>
      </c>
      <c r="E3" s="7"/>
      <c r="F3" s="281">
        <v>2019</v>
      </c>
      <c r="G3" s="299"/>
      <c r="H3" s="299"/>
      <c r="I3" s="282"/>
    </row>
    <row r="4" spans="1:10" ht="14.4" customHeight="1" thickBot="1" x14ac:dyDescent="0.35">
      <c r="A4" s="210" t="s">
        <v>0</v>
      </c>
      <c r="B4" s="211" t="s">
        <v>139</v>
      </c>
      <c r="C4" s="300" t="s">
        <v>54</v>
      </c>
      <c r="D4" s="301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396" t="s">
        <v>258</v>
      </c>
      <c r="B5" s="397" t="s">
        <v>259</v>
      </c>
      <c r="C5" s="398" t="s">
        <v>260</v>
      </c>
      <c r="D5" s="398" t="s">
        <v>260</v>
      </c>
      <c r="E5" s="398"/>
      <c r="F5" s="398" t="s">
        <v>260</v>
      </c>
      <c r="G5" s="398" t="s">
        <v>260</v>
      </c>
      <c r="H5" s="398" t="s">
        <v>260</v>
      </c>
      <c r="I5" s="399" t="s">
        <v>260</v>
      </c>
      <c r="J5" s="400" t="s">
        <v>50</v>
      </c>
    </row>
    <row r="6" spans="1:10" ht="14.4" customHeight="1" x14ac:dyDescent="0.3">
      <c r="A6" s="396" t="s">
        <v>258</v>
      </c>
      <c r="B6" s="397" t="s">
        <v>261</v>
      </c>
      <c r="C6" s="398">
        <v>7.2390600000000003</v>
      </c>
      <c r="D6" s="398">
        <v>35.336340000000014</v>
      </c>
      <c r="E6" s="398"/>
      <c r="F6" s="398">
        <v>35.035510000000009</v>
      </c>
      <c r="G6" s="398">
        <v>25</v>
      </c>
      <c r="H6" s="398">
        <v>10.035510000000009</v>
      </c>
      <c r="I6" s="399">
        <v>1.4014204000000003</v>
      </c>
      <c r="J6" s="400" t="s">
        <v>1</v>
      </c>
    </row>
    <row r="7" spans="1:10" ht="14.4" customHeight="1" x14ac:dyDescent="0.3">
      <c r="A7" s="396" t="s">
        <v>258</v>
      </c>
      <c r="B7" s="397" t="s">
        <v>262</v>
      </c>
      <c r="C7" s="398">
        <v>64.600559999999987</v>
      </c>
      <c r="D7" s="398">
        <v>70.431380000000004</v>
      </c>
      <c r="E7" s="398"/>
      <c r="F7" s="398">
        <v>117.08550999999999</v>
      </c>
      <c r="G7" s="398">
        <v>76</v>
      </c>
      <c r="H7" s="398">
        <v>41.085509999999985</v>
      </c>
      <c r="I7" s="399">
        <v>1.5405988157894734</v>
      </c>
      <c r="J7" s="400" t="s">
        <v>1</v>
      </c>
    </row>
    <row r="8" spans="1:10" ht="14.4" customHeight="1" x14ac:dyDescent="0.3">
      <c r="A8" s="396" t="s">
        <v>258</v>
      </c>
      <c r="B8" s="397" t="s">
        <v>263</v>
      </c>
      <c r="C8" s="398">
        <v>14.405029999999996</v>
      </c>
      <c r="D8" s="398">
        <v>69.055549999999997</v>
      </c>
      <c r="E8" s="398"/>
      <c r="F8" s="398">
        <v>129.06037000000006</v>
      </c>
      <c r="G8" s="398">
        <v>56.666667968749998</v>
      </c>
      <c r="H8" s="398">
        <v>72.393702031250058</v>
      </c>
      <c r="I8" s="399">
        <v>2.2775358888433863</v>
      </c>
      <c r="J8" s="400" t="s">
        <v>1</v>
      </c>
    </row>
    <row r="9" spans="1:10" ht="14.4" customHeight="1" x14ac:dyDescent="0.3">
      <c r="A9" s="396" t="s">
        <v>258</v>
      </c>
      <c r="B9" s="397" t="s">
        <v>264</v>
      </c>
      <c r="C9" s="398">
        <v>2.0846999999999998</v>
      </c>
      <c r="D9" s="398">
        <v>4.1589099999999997</v>
      </c>
      <c r="E9" s="398"/>
      <c r="F9" s="398">
        <v>2.7027600000000001</v>
      </c>
      <c r="G9" s="398">
        <v>5</v>
      </c>
      <c r="H9" s="398">
        <v>-2.2972399999999999</v>
      </c>
      <c r="I9" s="399">
        <v>0.54055200000000003</v>
      </c>
      <c r="J9" s="400" t="s">
        <v>1</v>
      </c>
    </row>
    <row r="10" spans="1:10" ht="14.4" customHeight="1" x14ac:dyDescent="0.3">
      <c r="A10" s="396" t="s">
        <v>258</v>
      </c>
      <c r="B10" s="397" t="s">
        <v>265</v>
      </c>
      <c r="C10" s="398">
        <v>3.7743000000000002</v>
      </c>
      <c r="D10" s="398">
        <v>9.8183899999999991</v>
      </c>
      <c r="E10" s="398"/>
      <c r="F10" s="398">
        <v>11.854400000000002</v>
      </c>
      <c r="G10" s="398">
        <v>8.3333330078125005</v>
      </c>
      <c r="H10" s="398">
        <v>3.5210669921875013</v>
      </c>
      <c r="I10" s="399">
        <v>1.4225280555675024</v>
      </c>
      <c r="J10" s="400" t="s">
        <v>1</v>
      </c>
    </row>
    <row r="11" spans="1:10" ht="14.4" customHeight="1" x14ac:dyDescent="0.3">
      <c r="A11" s="396" t="s">
        <v>258</v>
      </c>
      <c r="B11" s="397" t="s">
        <v>266</v>
      </c>
      <c r="C11" s="398">
        <v>9.2585200000000007</v>
      </c>
      <c r="D11" s="398">
        <v>0</v>
      </c>
      <c r="E11" s="398"/>
      <c r="F11" s="398">
        <v>0</v>
      </c>
      <c r="G11" s="398">
        <v>5</v>
      </c>
      <c r="H11" s="398">
        <v>-5</v>
      </c>
      <c r="I11" s="399">
        <v>0</v>
      </c>
      <c r="J11" s="400" t="s">
        <v>1</v>
      </c>
    </row>
    <row r="12" spans="1:10" ht="14.4" customHeight="1" x14ac:dyDescent="0.3">
      <c r="A12" s="396" t="s">
        <v>258</v>
      </c>
      <c r="B12" s="397" t="s">
        <v>267</v>
      </c>
      <c r="C12" s="398">
        <v>0</v>
      </c>
      <c r="D12" s="398">
        <v>32.89425</v>
      </c>
      <c r="E12" s="398"/>
      <c r="F12" s="398">
        <v>-6.8212102632969619E-16</v>
      </c>
      <c r="G12" s="398">
        <v>0</v>
      </c>
      <c r="H12" s="398">
        <v>-6.8212102632969619E-16</v>
      </c>
      <c r="I12" s="399" t="s">
        <v>260</v>
      </c>
      <c r="J12" s="400" t="s">
        <v>1</v>
      </c>
    </row>
    <row r="13" spans="1:10" ht="14.4" customHeight="1" x14ac:dyDescent="0.3">
      <c r="A13" s="396" t="s">
        <v>258</v>
      </c>
      <c r="B13" s="397" t="s">
        <v>268</v>
      </c>
      <c r="C13" s="398">
        <v>101.36216999999998</v>
      </c>
      <c r="D13" s="398">
        <v>221.69482000000002</v>
      </c>
      <c r="E13" s="398"/>
      <c r="F13" s="398">
        <v>295.73855000000009</v>
      </c>
      <c r="G13" s="398">
        <v>176.00000097656252</v>
      </c>
      <c r="H13" s="398">
        <v>119.73854902343757</v>
      </c>
      <c r="I13" s="399">
        <v>1.680332661130967</v>
      </c>
      <c r="J13" s="400" t="s">
        <v>269</v>
      </c>
    </row>
    <row r="15" spans="1:10" ht="14.4" customHeight="1" x14ac:dyDescent="0.3">
      <c r="A15" s="396" t="s">
        <v>258</v>
      </c>
      <c r="B15" s="397" t="s">
        <v>259</v>
      </c>
      <c r="C15" s="398" t="s">
        <v>260</v>
      </c>
      <c r="D15" s="398" t="s">
        <v>260</v>
      </c>
      <c r="E15" s="398"/>
      <c r="F15" s="398" t="s">
        <v>260</v>
      </c>
      <c r="G15" s="398" t="s">
        <v>260</v>
      </c>
      <c r="H15" s="398" t="s">
        <v>260</v>
      </c>
      <c r="I15" s="399" t="s">
        <v>260</v>
      </c>
      <c r="J15" s="400" t="s">
        <v>50</v>
      </c>
    </row>
    <row r="16" spans="1:10" ht="14.4" customHeight="1" x14ac:dyDescent="0.3">
      <c r="A16" s="396" t="s">
        <v>270</v>
      </c>
      <c r="B16" s="397" t="s">
        <v>271</v>
      </c>
      <c r="C16" s="398" t="s">
        <v>260</v>
      </c>
      <c r="D16" s="398" t="s">
        <v>260</v>
      </c>
      <c r="E16" s="398"/>
      <c r="F16" s="398" t="s">
        <v>260</v>
      </c>
      <c r="G16" s="398" t="s">
        <v>260</v>
      </c>
      <c r="H16" s="398" t="s">
        <v>260</v>
      </c>
      <c r="I16" s="399" t="s">
        <v>260</v>
      </c>
      <c r="J16" s="400" t="s">
        <v>0</v>
      </c>
    </row>
    <row r="17" spans="1:10" ht="14.4" customHeight="1" x14ac:dyDescent="0.3">
      <c r="A17" s="396" t="s">
        <v>270</v>
      </c>
      <c r="B17" s="397" t="s">
        <v>261</v>
      </c>
      <c r="C17" s="398">
        <v>7.2390600000000003</v>
      </c>
      <c r="D17" s="398">
        <v>35.336340000000014</v>
      </c>
      <c r="E17" s="398"/>
      <c r="F17" s="398">
        <v>35.035510000000009</v>
      </c>
      <c r="G17" s="398">
        <v>25</v>
      </c>
      <c r="H17" s="398">
        <v>10.035510000000009</v>
      </c>
      <c r="I17" s="399">
        <v>1.4014204000000003</v>
      </c>
      <c r="J17" s="400" t="s">
        <v>1</v>
      </c>
    </row>
    <row r="18" spans="1:10" ht="14.4" customHeight="1" x14ac:dyDescent="0.3">
      <c r="A18" s="396" t="s">
        <v>270</v>
      </c>
      <c r="B18" s="397" t="s">
        <v>262</v>
      </c>
      <c r="C18" s="398">
        <v>64.600559999999987</v>
      </c>
      <c r="D18" s="398">
        <v>70.431380000000004</v>
      </c>
      <c r="E18" s="398"/>
      <c r="F18" s="398">
        <v>117.08550999999999</v>
      </c>
      <c r="G18" s="398">
        <v>76</v>
      </c>
      <c r="H18" s="398">
        <v>41.085509999999985</v>
      </c>
      <c r="I18" s="399">
        <v>1.5405988157894734</v>
      </c>
      <c r="J18" s="400" t="s">
        <v>1</v>
      </c>
    </row>
    <row r="19" spans="1:10" ht="14.4" customHeight="1" x14ac:dyDescent="0.3">
      <c r="A19" s="396" t="s">
        <v>270</v>
      </c>
      <c r="B19" s="397" t="s">
        <v>263</v>
      </c>
      <c r="C19" s="398">
        <v>14.405029999999996</v>
      </c>
      <c r="D19" s="398">
        <v>69.055549999999997</v>
      </c>
      <c r="E19" s="398"/>
      <c r="F19" s="398">
        <v>129.06037000000006</v>
      </c>
      <c r="G19" s="398">
        <v>57</v>
      </c>
      <c r="H19" s="398">
        <v>72.060370000000063</v>
      </c>
      <c r="I19" s="399">
        <v>2.264217017543861</v>
      </c>
      <c r="J19" s="400" t="s">
        <v>1</v>
      </c>
    </row>
    <row r="20" spans="1:10" ht="14.4" customHeight="1" x14ac:dyDescent="0.3">
      <c r="A20" s="396" t="s">
        <v>270</v>
      </c>
      <c r="B20" s="397" t="s">
        <v>264</v>
      </c>
      <c r="C20" s="398">
        <v>2.0846999999999998</v>
      </c>
      <c r="D20" s="398">
        <v>4.1589099999999997</v>
      </c>
      <c r="E20" s="398"/>
      <c r="F20" s="398">
        <v>2.7027600000000001</v>
      </c>
      <c r="G20" s="398">
        <v>5</v>
      </c>
      <c r="H20" s="398">
        <v>-2.2972399999999999</v>
      </c>
      <c r="I20" s="399">
        <v>0.54055200000000003</v>
      </c>
      <c r="J20" s="400" t="s">
        <v>1</v>
      </c>
    </row>
    <row r="21" spans="1:10" ht="14.4" customHeight="1" x14ac:dyDescent="0.3">
      <c r="A21" s="396" t="s">
        <v>270</v>
      </c>
      <c r="B21" s="397" t="s">
        <v>265</v>
      </c>
      <c r="C21" s="398">
        <v>3.7743000000000002</v>
      </c>
      <c r="D21" s="398">
        <v>9.8183899999999991</v>
      </c>
      <c r="E21" s="398"/>
      <c r="F21" s="398">
        <v>11.854400000000002</v>
      </c>
      <c r="G21" s="398">
        <v>8</v>
      </c>
      <c r="H21" s="398">
        <v>3.8544000000000018</v>
      </c>
      <c r="I21" s="399">
        <v>1.4818000000000002</v>
      </c>
      <c r="J21" s="400" t="s">
        <v>1</v>
      </c>
    </row>
    <row r="22" spans="1:10" ht="14.4" customHeight="1" x14ac:dyDescent="0.3">
      <c r="A22" s="396" t="s">
        <v>270</v>
      </c>
      <c r="B22" s="397" t="s">
        <v>266</v>
      </c>
      <c r="C22" s="398">
        <v>9.2585200000000007</v>
      </c>
      <c r="D22" s="398">
        <v>0</v>
      </c>
      <c r="E22" s="398"/>
      <c r="F22" s="398">
        <v>0</v>
      </c>
      <c r="G22" s="398">
        <v>5</v>
      </c>
      <c r="H22" s="398">
        <v>-5</v>
      </c>
      <c r="I22" s="399">
        <v>0</v>
      </c>
      <c r="J22" s="400" t="s">
        <v>1</v>
      </c>
    </row>
    <row r="23" spans="1:10" ht="14.4" customHeight="1" x14ac:dyDescent="0.3">
      <c r="A23" s="396" t="s">
        <v>270</v>
      </c>
      <c r="B23" s="397" t="s">
        <v>267</v>
      </c>
      <c r="C23" s="398">
        <v>0</v>
      </c>
      <c r="D23" s="398">
        <v>32.89425</v>
      </c>
      <c r="E23" s="398"/>
      <c r="F23" s="398">
        <v>-6.8212102632969619E-16</v>
      </c>
      <c r="G23" s="398">
        <v>0</v>
      </c>
      <c r="H23" s="398">
        <v>-6.8212102632969619E-16</v>
      </c>
      <c r="I23" s="399" t="s">
        <v>260</v>
      </c>
      <c r="J23" s="400" t="s">
        <v>1</v>
      </c>
    </row>
    <row r="24" spans="1:10" ht="14.4" customHeight="1" x14ac:dyDescent="0.3">
      <c r="A24" s="396" t="s">
        <v>270</v>
      </c>
      <c r="B24" s="397" t="s">
        <v>272</v>
      </c>
      <c r="C24" s="398">
        <v>101.36216999999998</v>
      </c>
      <c r="D24" s="398">
        <v>221.69482000000002</v>
      </c>
      <c r="E24" s="398"/>
      <c r="F24" s="398">
        <v>295.73855000000009</v>
      </c>
      <c r="G24" s="398">
        <v>176</v>
      </c>
      <c r="H24" s="398">
        <v>119.73855000000009</v>
      </c>
      <c r="I24" s="399">
        <v>1.680332670454546</v>
      </c>
      <c r="J24" s="400" t="s">
        <v>273</v>
      </c>
    </row>
    <row r="25" spans="1:10" ht="14.4" customHeight="1" x14ac:dyDescent="0.3">
      <c r="A25" s="396" t="s">
        <v>260</v>
      </c>
      <c r="B25" s="397" t="s">
        <v>260</v>
      </c>
      <c r="C25" s="398" t="s">
        <v>260</v>
      </c>
      <c r="D25" s="398" t="s">
        <v>260</v>
      </c>
      <c r="E25" s="398"/>
      <c r="F25" s="398" t="s">
        <v>260</v>
      </c>
      <c r="G25" s="398" t="s">
        <v>260</v>
      </c>
      <c r="H25" s="398" t="s">
        <v>260</v>
      </c>
      <c r="I25" s="399" t="s">
        <v>260</v>
      </c>
      <c r="J25" s="400" t="s">
        <v>274</v>
      </c>
    </row>
    <row r="26" spans="1:10" ht="14.4" customHeight="1" x14ac:dyDescent="0.3">
      <c r="A26" s="396" t="s">
        <v>258</v>
      </c>
      <c r="B26" s="397" t="s">
        <v>268</v>
      </c>
      <c r="C26" s="398">
        <v>101.36216999999998</v>
      </c>
      <c r="D26" s="398">
        <v>221.69482000000002</v>
      </c>
      <c r="E26" s="398"/>
      <c r="F26" s="398">
        <v>295.73855000000009</v>
      </c>
      <c r="G26" s="398">
        <v>176</v>
      </c>
      <c r="H26" s="398">
        <v>119.73855000000009</v>
      </c>
      <c r="I26" s="399">
        <v>1.680332670454546</v>
      </c>
      <c r="J26" s="400" t="s">
        <v>269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07" t="s">
        <v>373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99" t="s">
        <v>202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05"/>
      <c r="D3" s="306"/>
      <c r="E3" s="306"/>
      <c r="F3" s="306"/>
      <c r="G3" s="306"/>
      <c r="H3" s="116" t="s">
        <v>105</v>
      </c>
      <c r="I3" s="74">
        <f>IF(J3&lt;&gt;0,K3/J3,0)</f>
        <v>16.541793359537035</v>
      </c>
      <c r="J3" s="74">
        <f>SUBTOTAL(9,J5:J1048576)</f>
        <v>17393</v>
      </c>
      <c r="K3" s="75">
        <f>SUBTOTAL(9,K5:K1048576)</f>
        <v>287711.41190242767</v>
      </c>
    </row>
    <row r="4" spans="1:11" s="181" customFormat="1" ht="14.4" customHeight="1" thickBot="1" x14ac:dyDescent="0.35">
      <c r="A4" s="401" t="s">
        <v>4</v>
      </c>
      <c r="B4" s="402" t="s">
        <v>5</v>
      </c>
      <c r="C4" s="402" t="s">
        <v>0</v>
      </c>
      <c r="D4" s="402" t="s">
        <v>6</v>
      </c>
      <c r="E4" s="402" t="s">
        <v>7</v>
      </c>
      <c r="F4" s="402" t="s">
        <v>1</v>
      </c>
      <c r="G4" s="402" t="s">
        <v>52</v>
      </c>
      <c r="H4" s="403" t="s">
        <v>8</v>
      </c>
      <c r="I4" s="404" t="s">
        <v>111</v>
      </c>
      <c r="J4" s="404" t="s">
        <v>9</v>
      </c>
      <c r="K4" s="405" t="s">
        <v>119</v>
      </c>
    </row>
    <row r="5" spans="1:11" ht="14.4" customHeight="1" x14ac:dyDescent="0.3">
      <c r="A5" s="406" t="s">
        <v>258</v>
      </c>
      <c r="B5" s="407" t="s">
        <v>259</v>
      </c>
      <c r="C5" s="408" t="s">
        <v>270</v>
      </c>
      <c r="D5" s="409" t="s">
        <v>271</v>
      </c>
      <c r="E5" s="408" t="s">
        <v>275</v>
      </c>
      <c r="F5" s="409" t="s">
        <v>276</v>
      </c>
      <c r="G5" s="408" t="s">
        <v>277</v>
      </c>
      <c r="H5" s="408" t="s">
        <v>278</v>
      </c>
      <c r="I5" s="410">
        <v>0.41999998688697815</v>
      </c>
      <c r="J5" s="410">
        <v>1000</v>
      </c>
      <c r="K5" s="411">
        <v>419.75</v>
      </c>
    </row>
    <row r="6" spans="1:11" ht="14.4" customHeight="1" x14ac:dyDescent="0.3">
      <c r="A6" s="412" t="s">
        <v>258</v>
      </c>
      <c r="B6" s="413" t="s">
        <v>259</v>
      </c>
      <c r="C6" s="414" t="s">
        <v>270</v>
      </c>
      <c r="D6" s="415" t="s">
        <v>271</v>
      </c>
      <c r="E6" s="414" t="s">
        <v>275</v>
      </c>
      <c r="F6" s="415" t="s">
        <v>276</v>
      </c>
      <c r="G6" s="414" t="s">
        <v>279</v>
      </c>
      <c r="H6" s="414" t="s">
        <v>280</v>
      </c>
      <c r="I6" s="416">
        <v>0.57999998331069946</v>
      </c>
      <c r="J6" s="416">
        <v>800</v>
      </c>
      <c r="K6" s="417">
        <v>464</v>
      </c>
    </row>
    <row r="7" spans="1:11" ht="14.4" customHeight="1" x14ac:dyDescent="0.3">
      <c r="A7" s="412" t="s">
        <v>258</v>
      </c>
      <c r="B7" s="413" t="s">
        <v>259</v>
      </c>
      <c r="C7" s="414" t="s">
        <v>270</v>
      </c>
      <c r="D7" s="415" t="s">
        <v>271</v>
      </c>
      <c r="E7" s="414" t="s">
        <v>275</v>
      </c>
      <c r="F7" s="415" t="s">
        <v>276</v>
      </c>
      <c r="G7" s="414" t="s">
        <v>281</v>
      </c>
      <c r="H7" s="414" t="s">
        <v>282</v>
      </c>
      <c r="I7" s="416">
        <v>2.6600000858306885</v>
      </c>
      <c r="J7" s="416">
        <v>70</v>
      </c>
      <c r="K7" s="417">
        <v>186.19999694824219</v>
      </c>
    </row>
    <row r="8" spans="1:11" ht="14.4" customHeight="1" x14ac:dyDescent="0.3">
      <c r="A8" s="412" t="s">
        <v>258</v>
      </c>
      <c r="B8" s="413" t="s">
        <v>259</v>
      </c>
      <c r="C8" s="414" t="s">
        <v>270</v>
      </c>
      <c r="D8" s="415" t="s">
        <v>271</v>
      </c>
      <c r="E8" s="414" t="s">
        <v>275</v>
      </c>
      <c r="F8" s="415" t="s">
        <v>276</v>
      </c>
      <c r="G8" s="414" t="s">
        <v>283</v>
      </c>
      <c r="H8" s="414" t="s">
        <v>284</v>
      </c>
      <c r="I8" s="416">
        <v>129.25999450683594</v>
      </c>
      <c r="J8" s="416">
        <v>10</v>
      </c>
      <c r="K8" s="417">
        <v>1292.5999755859375</v>
      </c>
    </row>
    <row r="9" spans="1:11" ht="14.4" customHeight="1" x14ac:dyDescent="0.3">
      <c r="A9" s="412" t="s">
        <v>258</v>
      </c>
      <c r="B9" s="413" t="s">
        <v>259</v>
      </c>
      <c r="C9" s="414" t="s">
        <v>270</v>
      </c>
      <c r="D9" s="415" t="s">
        <v>271</v>
      </c>
      <c r="E9" s="414" t="s">
        <v>275</v>
      </c>
      <c r="F9" s="415" t="s">
        <v>276</v>
      </c>
      <c r="G9" s="414" t="s">
        <v>285</v>
      </c>
      <c r="H9" s="414" t="s">
        <v>286</v>
      </c>
      <c r="I9" s="416">
        <v>21.200000762939453</v>
      </c>
      <c r="J9" s="416">
        <v>10</v>
      </c>
      <c r="K9" s="417">
        <v>212.03999328613281</v>
      </c>
    </row>
    <row r="10" spans="1:11" ht="14.4" customHeight="1" x14ac:dyDescent="0.3">
      <c r="A10" s="412" t="s">
        <v>258</v>
      </c>
      <c r="B10" s="413" t="s">
        <v>259</v>
      </c>
      <c r="C10" s="414" t="s">
        <v>270</v>
      </c>
      <c r="D10" s="415" t="s">
        <v>271</v>
      </c>
      <c r="E10" s="414" t="s">
        <v>275</v>
      </c>
      <c r="F10" s="415" t="s">
        <v>276</v>
      </c>
      <c r="G10" s="414" t="s">
        <v>287</v>
      </c>
      <c r="H10" s="414" t="s">
        <v>288</v>
      </c>
      <c r="I10" s="416">
        <v>227.24000549316406</v>
      </c>
      <c r="J10" s="416">
        <v>100</v>
      </c>
      <c r="K10" s="417">
        <v>22724</v>
      </c>
    </row>
    <row r="11" spans="1:11" ht="14.4" customHeight="1" x14ac:dyDescent="0.3">
      <c r="A11" s="412" t="s">
        <v>258</v>
      </c>
      <c r="B11" s="413" t="s">
        <v>259</v>
      </c>
      <c r="C11" s="414" t="s">
        <v>270</v>
      </c>
      <c r="D11" s="415" t="s">
        <v>271</v>
      </c>
      <c r="E11" s="414" t="s">
        <v>275</v>
      </c>
      <c r="F11" s="415" t="s">
        <v>276</v>
      </c>
      <c r="G11" s="414" t="s">
        <v>289</v>
      </c>
      <c r="H11" s="414" t="s">
        <v>290</v>
      </c>
      <c r="I11" s="416">
        <v>41.240001678466797</v>
      </c>
      <c r="J11" s="416">
        <v>50</v>
      </c>
      <c r="K11" s="417">
        <v>2062.179931640625</v>
      </c>
    </row>
    <row r="12" spans="1:11" ht="14.4" customHeight="1" x14ac:dyDescent="0.3">
      <c r="A12" s="412" t="s">
        <v>258</v>
      </c>
      <c r="B12" s="413" t="s">
        <v>259</v>
      </c>
      <c r="C12" s="414" t="s">
        <v>270</v>
      </c>
      <c r="D12" s="415" t="s">
        <v>271</v>
      </c>
      <c r="E12" s="414" t="s">
        <v>275</v>
      </c>
      <c r="F12" s="415" t="s">
        <v>276</v>
      </c>
      <c r="G12" s="414" t="s">
        <v>291</v>
      </c>
      <c r="H12" s="414" t="s">
        <v>292</v>
      </c>
      <c r="I12" s="416">
        <v>7.1100001335144043</v>
      </c>
      <c r="J12" s="416">
        <v>4</v>
      </c>
      <c r="K12" s="417">
        <v>28.440000534057617</v>
      </c>
    </row>
    <row r="13" spans="1:11" ht="14.4" customHeight="1" x14ac:dyDescent="0.3">
      <c r="A13" s="412" t="s">
        <v>258</v>
      </c>
      <c r="B13" s="413" t="s">
        <v>259</v>
      </c>
      <c r="C13" s="414" t="s">
        <v>270</v>
      </c>
      <c r="D13" s="415" t="s">
        <v>271</v>
      </c>
      <c r="E13" s="414" t="s">
        <v>275</v>
      </c>
      <c r="F13" s="415" t="s">
        <v>276</v>
      </c>
      <c r="G13" s="414" t="s">
        <v>293</v>
      </c>
      <c r="H13" s="414" t="s">
        <v>294</v>
      </c>
      <c r="I13" s="416">
        <v>42.438332239786781</v>
      </c>
      <c r="J13" s="416">
        <v>12</v>
      </c>
      <c r="K13" s="417">
        <v>509.26998901367187</v>
      </c>
    </row>
    <row r="14" spans="1:11" ht="14.4" customHeight="1" x14ac:dyDescent="0.3">
      <c r="A14" s="412" t="s">
        <v>258</v>
      </c>
      <c r="B14" s="413" t="s">
        <v>259</v>
      </c>
      <c r="C14" s="414" t="s">
        <v>270</v>
      </c>
      <c r="D14" s="415" t="s">
        <v>271</v>
      </c>
      <c r="E14" s="414" t="s">
        <v>275</v>
      </c>
      <c r="F14" s="415" t="s">
        <v>276</v>
      </c>
      <c r="G14" s="414" t="s">
        <v>295</v>
      </c>
      <c r="H14" s="414" t="s">
        <v>296</v>
      </c>
      <c r="I14" s="416">
        <v>72.220001220703125</v>
      </c>
      <c r="J14" s="416">
        <v>2</v>
      </c>
      <c r="K14" s="417">
        <v>144.44000244140625</v>
      </c>
    </row>
    <row r="15" spans="1:11" ht="14.4" customHeight="1" x14ac:dyDescent="0.3">
      <c r="A15" s="412" t="s">
        <v>258</v>
      </c>
      <c r="B15" s="413" t="s">
        <v>259</v>
      </c>
      <c r="C15" s="414" t="s">
        <v>270</v>
      </c>
      <c r="D15" s="415" t="s">
        <v>271</v>
      </c>
      <c r="E15" s="414" t="s">
        <v>275</v>
      </c>
      <c r="F15" s="415" t="s">
        <v>276</v>
      </c>
      <c r="G15" s="414" t="s">
        <v>297</v>
      </c>
      <c r="H15" s="414" t="s">
        <v>298</v>
      </c>
      <c r="I15" s="416">
        <v>0.6664285915238517</v>
      </c>
      <c r="J15" s="416">
        <v>780</v>
      </c>
      <c r="K15" s="417">
        <v>521.04999828338623</v>
      </c>
    </row>
    <row r="16" spans="1:11" ht="14.4" customHeight="1" x14ac:dyDescent="0.3">
      <c r="A16" s="412" t="s">
        <v>258</v>
      </c>
      <c r="B16" s="413" t="s">
        <v>259</v>
      </c>
      <c r="C16" s="414" t="s">
        <v>270</v>
      </c>
      <c r="D16" s="415" t="s">
        <v>271</v>
      </c>
      <c r="E16" s="414" t="s">
        <v>299</v>
      </c>
      <c r="F16" s="415" t="s">
        <v>300</v>
      </c>
      <c r="G16" s="414" t="s">
        <v>301</v>
      </c>
      <c r="H16" s="414" t="s">
        <v>302</v>
      </c>
      <c r="I16" s="416">
        <v>5.4442307215470533</v>
      </c>
      <c r="J16" s="416">
        <v>1060</v>
      </c>
      <c r="K16" s="417">
        <v>5770.6000518798828</v>
      </c>
    </row>
    <row r="17" spans="1:11" ht="14.4" customHeight="1" x14ac:dyDescent="0.3">
      <c r="A17" s="412" t="s">
        <v>258</v>
      </c>
      <c r="B17" s="413" t="s">
        <v>259</v>
      </c>
      <c r="C17" s="414" t="s">
        <v>270</v>
      </c>
      <c r="D17" s="415" t="s">
        <v>271</v>
      </c>
      <c r="E17" s="414" t="s">
        <v>299</v>
      </c>
      <c r="F17" s="415" t="s">
        <v>300</v>
      </c>
      <c r="G17" s="414" t="s">
        <v>303</v>
      </c>
      <c r="H17" s="414" t="s">
        <v>304</v>
      </c>
      <c r="I17" s="416">
        <v>3.3900001049041748</v>
      </c>
      <c r="J17" s="416">
        <v>140</v>
      </c>
      <c r="K17" s="417">
        <v>474.60000610351562</v>
      </c>
    </row>
    <row r="18" spans="1:11" ht="14.4" customHeight="1" x14ac:dyDescent="0.3">
      <c r="A18" s="412" t="s">
        <v>258</v>
      </c>
      <c r="B18" s="413" t="s">
        <v>259</v>
      </c>
      <c r="C18" s="414" t="s">
        <v>270</v>
      </c>
      <c r="D18" s="415" t="s">
        <v>271</v>
      </c>
      <c r="E18" s="414" t="s">
        <v>299</v>
      </c>
      <c r="F18" s="415" t="s">
        <v>300</v>
      </c>
      <c r="G18" s="414" t="s">
        <v>305</v>
      </c>
      <c r="H18" s="414" t="s">
        <v>306</v>
      </c>
      <c r="I18" s="416">
        <v>37.75</v>
      </c>
      <c r="J18" s="416">
        <v>40</v>
      </c>
      <c r="K18" s="417">
        <v>1510.0999755859375</v>
      </c>
    </row>
    <row r="19" spans="1:11" ht="14.4" customHeight="1" x14ac:dyDescent="0.3">
      <c r="A19" s="412" t="s">
        <v>258</v>
      </c>
      <c r="B19" s="413" t="s">
        <v>259</v>
      </c>
      <c r="C19" s="414" t="s">
        <v>270</v>
      </c>
      <c r="D19" s="415" t="s">
        <v>271</v>
      </c>
      <c r="E19" s="414" t="s">
        <v>299</v>
      </c>
      <c r="F19" s="415" t="s">
        <v>300</v>
      </c>
      <c r="G19" s="414" t="s">
        <v>307</v>
      </c>
      <c r="H19" s="414" t="s">
        <v>308</v>
      </c>
      <c r="I19" s="416">
        <v>4.0250000953674316</v>
      </c>
      <c r="J19" s="416">
        <v>210</v>
      </c>
      <c r="K19" s="417">
        <v>845.19999694824219</v>
      </c>
    </row>
    <row r="20" spans="1:11" ht="14.4" customHeight="1" x14ac:dyDescent="0.3">
      <c r="A20" s="412" t="s">
        <v>258</v>
      </c>
      <c r="B20" s="413" t="s">
        <v>259</v>
      </c>
      <c r="C20" s="414" t="s">
        <v>270</v>
      </c>
      <c r="D20" s="415" t="s">
        <v>271</v>
      </c>
      <c r="E20" s="414" t="s">
        <v>299</v>
      </c>
      <c r="F20" s="415" t="s">
        <v>300</v>
      </c>
      <c r="G20" s="414" t="s">
        <v>309</v>
      </c>
      <c r="H20" s="414" t="s">
        <v>310</v>
      </c>
      <c r="I20" s="416">
        <v>9.4804545315829198</v>
      </c>
      <c r="J20" s="416">
        <v>780</v>
      </c>
      <c r="K20" s="417">
        <v>7393.9001159667969</v>
      </c>
    </row>
    <row r="21" spans="1:11" ht="14.4" customHeight="1" x14ac:dyDescent="0.3">
      <c r="A21" s="412" t="s">
        <v>258</v>
      </c>
      <c r="B21" s="413" t="s">
        <v>259</v>
      </c>
      <c r="C21" s="414" t="s">
        <v>270</v>
      </c>
      <c r="D21" s="415" t="s">
        <v>271</v>
      </c>
      <c r="E21" s="414" t="s">
        <v>299</v>
      </c>
      <c r="F21" s="415" t="s">
        <v>300</v>
      </c>
      <c r="G21" s="414" t="s">
        <v>311</v>
      </c>
      <c r="H21" s="414" t="s">
        <v>312</v>
      </c>
      <c r="I21" s="416">
        <v>10.074999809265137</v>
      </c>
      <c r="J21" s="416">
        <v>60</v>
      </c>
      <c r="K21" s="417">
        <v>604.45001220703125</v>
      </c>
    </row>
    <row r="22" spans="1:11" ht="14.4" customHeight="1" x14ac:dyDescent="0.3">
      <c r="A22" s="412" t="s">
        <v>258</v>
      </c>
      <c r="B22" s="413" t="s">
        <v>259</v>
      </c>
      <c r="C22" s="414" t="s">
        <v>270</v>
      </c>
      <c r="D22" s="415" t="s">
        <v>271</v>
      </c>
      <c r="E22" s="414" t="s">
        <v>299</v>
      </c>
      <c r="F22" s="415" t="s">
        <v>300</v>
      </c>
      <c r="G22" s="414" t="s">
        <v>313</v>
      </c>
      <c r="H22" s="414" t="s">
        <v>314</v>
      </c>
      <c r="I22" s="416">
        <v>10.077999877929688</v>
      </c>
      <c r="J22" s="416">
        <v>150</v>
      </c>
      <c r="K22" s="417">
        <v>1511.4400024414062</v>
      </c>
    </row>
    <row r="23" spans="1:11" ht="14.4" customHeight="1" x14ac:dyDescent="0.3">
      <c r="A23" s="412" t="s">
        <v>258</v>
      </c>
      <c r="B23" s="413" t="s">
        <v>259</v>
      </c>
      <c r="C23" s="414" t="s">
        <v>270</v>
      </c>
      <c r="D23" s="415" t="s">
        <v>271</v>
      </c>
      <c r="E23" s="414" t="s">
        <v>299</v>
      </c>
      <c r="F23" s="415" t="s">
        <v>300</v>
      </c>
      <c r="G23" s="414" t="s">
        <v>315</v>
      </c>
      <c r="H23" s="414" t="s">
        <v>316</v>
      </c>
      <c r="I23" s="416">
        <v>10.074999809265137</v>
      </c>
      <c r="J23" s="416">
        <v>330</v>
      </c>
      <c r="K23" s="417">
        <v>3324.969970703125</v>
      </c>
    </row>
    <row r="24" spans="1:11" ht="14.4" customHeight="1" x14ac:dyDescent="0.3">
      <c r="A24" s="412" t="s">
        <v>258</v>
      </c>
      <c r="B24" s="413" t="s">
        <v>259</v>
      </c>
      <c r="C24" s="414" t="s">
        <v>270</v>
      </c>
      <c r="D24" s="415" t="s">
        <v>271</v>
      </c>
      <c r="E24" s="414" t="s">
        <v>299</v>
      </c>
      <c r="F24" s="415" t="s">
        <v>300</v>
      </c>
      <c r="G24" s="414" t="s">
        <v>317</v>
      </c>
      <c r="H24" s="414" t="s">
        <v>318</v>
      </c>
      <c r="I24" s="416">
        <v>1210</v>
      </c>
      <c r="J24" s="416">
        <v>1</v>
      </c>
      <c r="K24" s="417">
        <v>1210</v>
      </c>
    </row>
    <row r="25" spans="1:11" ht="14.4" customHeight="1" x14ac:dyDescent="0.3">
      <c r="A25" s="412" t="s">
        <v>258</v>
      </c>
      <c r="B25" s="413" t="s">
        <v>259</v>
      </c>
      <c r="C25" s="414" t="s">
        <v>270</v>
      </c>
      <c r="D25" s="415" t="s">
        <v>271</v>
      </c>
      <c r="E25" s="414" t="s">
        <v>299</v>
      </c>
      <c r="F25" s="415" t="s">
        <v>300</v>
      </c>
      <c r="G25" s="414" t="s">
        <v>319</v>
      </c>
      <c r="H25" s="414" t="s">
        <v>320</v>
      </c>
      <c r="I25" s="416">
        <v>11.735713958740234</v>
      </c>
      <c r="J25" s="416">
        <v>21</v>
      </c>
      <c r="K25" s="417">
        <v>246.44999313354492</v>
      </c>
    </row>
    <row r="26" spans="1:11" ht="14.4" customHeight="1" x14ac:dyDescent="0.3">
      <c r="A26" s="412" t="s">
        <v>258</v>
      </c>
      <c r="B26" s="413" t="s">
        <v>259</v>
      </c>
      <c r="C26" s="414" t="s">
        <v>270</v>
      </c>
      <c r="D26" s="415" t="s">
        <v>271</v>
      </c>
      <c r="E26" s="414" t="s">
        <v>299</v>
      </c>
      <c r="F26" s="415" t="s">
        <v>300</v>
      </c>
      <c r="G26" s="414" t="s">
        <v>321</v>
      </c>
      <c r="H26" s="414" t="s">
        <v>322</v>
      </c>
      <c r="I26" s="416">
        <v>4.8000001907348633</v>
      </c>
      <c r="J26" s="416">
        <v>100</v>
      </c>
      <c r="K26" s="417">
        <v>480</v>
      </c>
    </row>
    <row r="27" spans="1:11" ht="14.4" customHeight="1" x14ac:dyDescent="0.3">
      <c r="A27" s="412" t="s">
        <v>258</v>
      </c>
      <c r="B27" s="413" t="s">
        <v>259</v>
      </c>
      <c r="C27" s="414" t="s">
        <v>270</v>
      </c>
      <c r="D27" s="415" t="s">
        <v>271</v>
      </c>
      <c r="E27" s="414" t="s">
        <v>299</v>
      </c>
      <c r="F27" s="415" t="s">
        <v>300</v>
      </c>
      <c r="G27" s="414" t="s">
        <v>323</v>
      </c>
      <c r="H27" s="414" t="s">
        <v>324</v>
      </c>
      <c r="I27" s="416">
        <v>217.43727250532672</v>
      </c>
      <c r="J27" s="416">
        <v>360</v>
      </c>
      <c r="K27" s="417">
        <v>78277.201171875</v>
      </c>
    </row>
    <row r="28" spans="1:11" ht="14.4" customHeight="1" x14ac:dyDescent="0.3">
      <c r="A28" s="412" t="s">
        <v>258</v>
      </c>
      <c r="B28" s="413" t="s">
        <v>259</v>
      </c>
      <c r="C28" s="414" t="s">
        <v>270</v>
      </c>
      <c r="D28" s="415" t="s">
        <v>271</v>
      </c>
      <c r="E28" s="414" t="s">
        <v>299</v>
      </c>
      <c r="F28" s="415" t="s">
        <v>300</v>
      </c>
      <c r="G28" s="414" t="s">
        <v>325</v>
      </c>
      <c r="H28" s="414" t="s">
        <v>326</v>
      </c>
      <c r="I28" s="416">
        <v>217.44000244140625</v>
      </c>
      <c r="J28" s="416">
        <v>30</v>
      </c>
      <c r="K28" s="417">
        <v>6523.2001953125</v>
      </c>
    </row>
    <row r="29" spans="1:11" ht="14.4" customHeight="1" x14ac:dyDescent="0.3">
      <c r="A29" s="412" t="s">
        <v>258</v>
      </c>
      <c r="B29" s="413" t="s">
        <v>259</v>
      </c>
      <c r="C29" s="414" t="s">
        <v>270</v>
      </c>
      <c r="D29" s="415" t="s">
        <v>271</v>
      </c>
      <c r="E29" s="414" t="s">
        <v>299</v>
      </c>
      <c r="F29" s="415" t="s">
        <v>300</v>
      </c>
      <c r="G29" s="414" t="s">
        <v>327</v>
      </c>
      <c r="H29" s="414" t="s">
        <v>328</v>
      </c>
      <c r="I29" s="416">
        <v>2185</v>
      </c>
      <c r="J29" s="416">
        <v>1</v>
      </c>
      <c r="K29" s="417">
        <v>2185</v>
      </c>
    </row>
    <row r="30" spans="1:11" ht="14.4" customHeight="1" x14ac:dyDescent="0.3">
      <c r="A30" s="412" t="s">
        <v>258</v>
      </c>
      <c r="B30" s="413" t="s">
        <v>259</v>
      </c>
      <c r="C30" s="414" t="s">
        <v>270</v>
      </c>
      <c r="D30" s="415" t="s">
        <v>271</v>
      </c>
      <c r="E30" s="414" t="s">
        <v>299</v>
      </c>
      <c r="F30" s="415" t="s">
        <v>300</v>
      </c>
      <c r="G30" s="414" t="s">
        <v>329</v>
      </c>
      <c r="H30" s="414" t="s">
        <v>330</v>
      </c>
      <c r="I30" s="416">
        <v>1.0900000333786011</v>
      </c>
      <c r="J30" s="416">
        <v>2230</v>
      </c>
      <c r="K30" s="417">
        <v>2430.7000007629395</v>
      </c>
    </row>
    <row r="31" spans="1:11" ht="14.4" customHeight="1" x14ac:dyDescent="0.3">
      <c r="A31" s="412" t="s">
        <v>258</v>
      </c>
      <c r="B31" s="413" t="s">
        <v>259</v>
      </c>
      <c r="C31" s="414" t="s">
        <v>270</v>
      </c>
      <c r="D31" s="415" t="s">
        <v>271</v>
      </c>
      <c r="E31" s="414" t="s">
        <v>299</v>
      </c>
      <c r="F31" s="415" t="s">
        <v>300</v>
      </c>
      <c r="G31" s="414" t="s">
        <v>331</v>
      </c>
      <c r="H31" s="414" t="s">
        <v>332</v>
      </c>
      <c r="I31" s="416">
        <v>0.47999998927116394</v>
      </c>
      <c r="J31" s="416">
        <v>100</v>
      </c>
      <c r="K31" s="417">
        <v>48</v>
      </c>
    </row>
    <row r="32" spans="1:11" ht="14.4" customHeight="1" x14ac:dyDescent="0.3">
      <c r="A32" s="412" t="s">
        <v>258</v>
      </c>
      <c r="B32" s="413" t="s">
        <v>259</v>
      </c>
      <c r="C32" s="414" t="s">
        <v>270</v>
      </c>
      <c r="D32" s="415" t="s">
        <v>271</v>
      </c>
      <c r="E32" s="414" t="s">
        <v>299</v>
      </c>
      <c r="F32" s="415" t="s">
        <v>300</v>
      </c>
      <c r="G32" s="414" t="s">
        <v>333</v>
      </c>
      <c r="H32" s="414" t="s">
        <v>334</v>
      </c>
      <c r="I32" s="416">
        <v>1.6733332872390747</v>
      </c>
      <c r="J32" s="416">
        <v>160</v>
      </c>
      <c r="K32" s="417">
        <v>268.19999694824219</v>
      </c>
    </row>
    <row r="33" spans="1:11" ht="14.4" customHeight="1" x14ac:dyDescent="0.3">
      <c r="A33" s="412" t="s">
        <v>258</v>
      </c>
      <c r="B33" s="413" t="s">
        <v>259</v>
      </c>
      <c r="C33" s="414" t="s">
        <v>270</v>
      </c>
      <c r="D33" s="415" t="s">
        <v>271</v>
      </c>
      <c r="E33" s="414" t="s">
        <v>299</v>
      </c>
      <c r="F33" s="415" t="s">
        <v>300</v>
      </c>
      <c r="G33" s="414" t="s">
        <v>335</v>
      </c>
      <c r="H33" s="414" t="s">
        <v>336</v>
      </c>
      <c r="I33" s="416">
        <v>0.67000001668930054</v>
      </c>
      <c r="J33" s="416">
        <v>90</v>
      </c>
      <c r="K33" s="417">
        <v>60.30000114440918</v>
      </c>
    </row>
    <row r="34" spans="1:11" ht="14.4" customHeight="1" x14ac:dyDescent="0.3">
      <c r="A34" s="412" t="s">
        <v>258</v>
      </c>
      <c r="B34" s="413" t="s">
        <v>259</v>
      </c>
      <c r="C34" s="414" t="s">
        <v>270</v>
      </c>
      <c r="D34" s="415" t="s">
        <v>271</v>
      </c>
      <c r="E34" s="414" t="s">
        <v>299</v>
      </c>
      <c r="F34" s="415" t="s">
        <v>300</v>
      </c>
      <c r="G34" s="414" t="s">
        <v>337</v>
      </c>
      <c r="H34" s="414" t="s">
        <v>338</v>
      </c>
      <c r="I34" s="416">
        <v>1.5</v>
      </c>
      <c r="J34" s="416">
        <v>120</v>
      </c>
      <c r="K34" s="417">
        <v>180</v>
      </c>
    </row>
    <row r="35" spans="1:11" ht="14.4" customHeight="1" x14ac:dyDescent="0.3">
      <c r="A35" s="412" t="s">
        <v>258</v>
      </c>
      <c r="B35" s="413" t="s">
        <v>259</v>
      </c>
      <c r="C35" s="414" t="s">
        <v>270</v>
      </c>
      <c r="D35" s="415" t="s">
        <v>271</v>
      </c>
      <c r="E35" s="414" t="s">
        <v>299</v>
      </c>
      <c r="F35" s="415" t="s">
        <v>300</v>
      </c>
      <c r="G35" s="414" t="s">
        <v>339</v>
      </c>
      <c r="H35" s="414" t="s">
        <v>340</v>
      </c>
      <c r="I35" s="416">
        <v>5.2100000381469727</v>
      </c>
      <c r="J35" s="416">
        <v>200</v>
      </c>
      <c r="K35" s="417">
        <v>1042</v>
      </c>
    </row>
    <row r="36" spans="1:11" ht="14.4" customHeight="1" x14ac:dyDescent="0.3">
      <c r="A36" s="412" t="s">
        <v>258</v>
      </c>
      <c r="B36" s="413" t="s">
        <v>259</v>
      </c>
      <c r="C36" s="414" t="s">
        <v>270</v>
      </c>
      <c r="D36" s="415" t="s">
        <v>271</v>
      </c>
      <c r="E36" s="414" t="s">
        <v>299</v>
      </c>
      <c r="F36" s="415" t="s">
        <v>300</v>
      </c>
      <c r="G36" s="414" t="s">
        <v>341</v>
      </c>
      <c r="H36" s="414" t="s">
        <v>342</v>
      </c>
      <c r="I36" s="416">
        <v>5.820000171661377</v>
      </c>
      <c r="J36" s="416">
        <v>250</v>
      </c>
      <c r="K36" s="417">
        <v>1455</v>
      </c>
    </row>
    <row r="37" spans="1:11" ht="14.4" customHeight="1" x14ac:dyDescent="0.3">
      <c r="A37" s="412" t="s">
        <v>258</v>
      </c>
      <c r="B37" s="413" t="s">
        <v>259</v>
      </c>
      <c r="C37" s="414" t="s">
        <v>270</v>
      </c>
      <c r="D37" s="415" t="s">
        <v>271</v>
      </c>
      <c r="E37" s="414" t="s">
        <v>343</v>
      </c>
      <c r="F37" s="415" t="s">
        <v>344</v>
      </c>
      <c r="G37" s="414" t="s">
        <v>345</v>
      </c>
      <c r="H37" s="414" t="s">
        <v>346</v>
      </c>
      <c r="I37" s="416">
        <v>408.47333780924481</v>
      </c>
      <c r="J37" s="416">
        <v>200</v>
      </c>
      <c r="K37" s="417">
        <v>81694.970703125</v>
      </c>
    </row>
    <row r="38" spans="1:11" ht="14.4" customHeight="1" x14ac:dyDescent="0.3">
      <c r="A38" s="412" t="s">
        <v>258</v>
      </c>
      <c r="B38" s="413" t="s">
        <v>259</v>
      </c>
      <c r="C38" s="414" t="s">
        <v>270</v>
      </c>
      <c r="D38" s="415" t="s">
        <v>271</v>
      </c>
      <c r="E38" s="414" t="s">
        <v>343</v>
      </c>
      <c r="F38" s="415" t="s">
        <v>344</v>
      </c>
      <c r="G38" s="414" t="s">
        <v>347</v>
      </c>
      <c r="H38" s="414" t="s">
        <v>348</v>
      </c>
      <c r="I38" s="416">
        <v>10.16481477242929</v>
      </c>
      <c r="J38" s="416">
        <v>1280</v>
      </c>
      <c r="K38" s="417">
        <v>13011.099822998047</v>
      </c>
    </row>
    <row r="39" spans="1:11" ht="14.4" customHeight="1" x14ac:dyDescent="0.3">
      <c r="A39" s="412" t="s">
        <v>258</v>
      </c>
      <c r="B39" s="413" t="s">
        <v>259</v>
      </c>
      <c r="C39" s="414" t="s">
        <v>270</v>
      </c>
      <c r="D39" s="415" t="s">
        <v>271</v>
      </c>
      <c r="E39" s="414" t="s">
        <v>343</v>
      </c>
      <c r="F39" s="415" t="s">
        <v>344</v>
      </c>
      <c r="G39" s="414" t="s">
        <v>349</v>
      </c>
      <c r="H39" s="414" t="s">
        <v>350</v>
      </c>
      <c r="I39" s="416">
        <v>162.62285723005022</v>
      </c>
      <c r="J39" s="416">
        <v>210</v>
      </c>
      <c r="K39" s="417">
        <v>34150.89990234375</v>
      </c>
    </row>
    <row r="40" spans="1:11" ht="14.4" customHeight="1" x14ac:dyDescent="0.3">
      <c r="A40" s="412" t="s">
        <v>258</v>
      </c>
      <c r="B40" s="413" t="s">
        <v>259</v>
      </c>
      <c r="C40" s="414" t="s">
        <v>270</v>
      </c>
      <c r="D40" s="415" t="s">
        <v>271</v>
      </c>
      <c r="E40" s="414" t="s">
        <v>351</v>
      </c>
      <c r="F40" s="415" t="s">
        <v>352</v>
      </c>
      <c r="G40" s="414" t="s">
        <v>353</v>
      </c>
      <c r="H40" s="414" t="s">
        <v>354</v>
      </c>
      <c r="I40" s="416">
        <v>125.48000335693359</v>
      </c>
      <c r="J40" s="416">
        <v>12</v>
      </c>
      <c r="K40" s="417">
        <v>1505.760009765625</v>
      </c>
    </row>
    <row r="41" spans="1:11" ht="14.4" customHeight="1" x14ac:dyDescent="0.3">
      <c r="A41" s="412" t="s">
        <v>258</v>
      </c>
      <c r="B41" s="413" t="s">
        <v>259</v>
      </c>
      <c r="C41" s="414" t="s">
        <v>270</v>
      </c>
      <c r="D41" s="415" t="s">
        <v>271</v>
      </c>
      <c r="E41" s="414" t="s">
        <v>351</v>
      </c>
      <c r="F41" s="415" t="s">
        <v>352</v>
      </c>
      <c r="G41" s="414" t="s">
        <v>355</v>
      </c>
      <c r="H41" s="414" t="s">
        <v>356</v>
      </c>
      <c r="I41" s="416">
        <v>0.54388890663782752</v>
      </c>
      <c r="J41" s="416">
        <v>2000</v>
      </c>
      <c r="K41" s="417">
        <v>1089</v>
      </c>
    </row>
    <row r="42" spans="1:11" ht="14.4" customHeight="1" x14ac:dyDescent="0.3">
      <c r="A42" s="412" t="s">
        <v>258</v>
      </c>
      <c r="B42" s="413" t="s">
        <v>259</v>
      </c>
      <c r="C42" s="414" t="s">
        <v>270</v>
      </c>
      <c r="D42" s="415" t="s">
        <v>271</v>
      </c>
      <c r="E42" s="414" t="s">
        <v>357</v>
      </c>
      <c r="F42" s="415" t="s">
        <v>358</v>
      </c>
      <c r="G42" s="414" t="s">
        <v>359</v>
      </c>
      <c r="H42" s="414" t="s">
        <v>360</v>
      </c>
      <c r="I42" s="416">
        <v>7.0199999809265137</v>
      </c>
      <c r="J42" s="416">
        <v>90</v>
      </c>
      <c r="K42" s="417">
        <v>631.80001831054688</v>
      </c>
    </row>
    <row r="43" spans="1:11" ht="14.4" customHeight="1" x14ac:dyDescent="0.3">
      <c r="A43" s="412" t="s">
        <v>258</v>
      </c>
      <c r="B43" s="413" t="s">
        <v>259</v>
      </c>
      <c r="C43" s="414" t="s">
        <v>270</v>
      </c>
      <c r="D43" s="415" t="s">
        <v>271</v>
      </c>
      <c r="E43" s="414" t="s">
        <v>357</v>
      </c>
      <c r="F43" s="415" t="s">
        <v>358</v>
      </c>
      <c r="G43" s="414" t="s">
        <v>361</v>
      </c>
      <c r="H43" s="414" t="s">
        <v>362</v>
      </c>
      <c r="I43" s="416">
        <v>7.0195238022577193</v>
      </c>
      <c r="J43" s="416">
        <v>1250</v>
      </c>
      <c r="K43" s="417">
        <v>8771.0000610351562</v>
      </c>
    </row>
    <row r="44" spans="1:11" ht="14.4" customHeight="1" x14ac:dyDescent="0.3">
      <c r="A44" s="412" t="s">
        <v>258</v>
      </c>
      <c r="B44" s="413" t="s">
        <v>259</v>
      </c>
      <c r="C44" s="414" t="s">
        <v>270</v>
      </c>
      <c r="D44" s="415" t="s">
        <v>271</v>
      </c>
      <c r="E44" s="414" t="s">
        <v>357</v>
      </c>
      <c r="F44" s="415" t="s">
        <v>358</v>
      </c>
      <c r="G44" s="414" t="s">
        <v>363</v>
      </c>
      <c r="H44" s="414" t="s">
        <v>364</v>
      </c>
      <c r="I44" s="416">
        <v>7.0199999809265137</v>
      </c>
      <c r="J44" s="416">
        <v>30</v>
      </c>
      <c r="K44" s="417">
        <v>210.60000610351562</v>
      </c>
    </row>
    <row r="45" spans="1:11" ht="14.4" customHeight="1" x14ac:dyDescent="0.3">
      <c r="A45" s="412" t="s">
        <v>258</v>
      </c>
      <c r="B45" s="413" t="s">
        <v>259</v>
      </c>
      <c r="C45" s="414" t="s">
        <v>270</v>
      </c>
      <c r="D45" s="415" t="s">
        <v>271</v>
      </c>
      <c r="E45" s="414" t="s">
        <v>357</v>
      </c>
      <c r="F45" s="415" t="s">
        <v>358</v>
      </c>
      <c r="G45" s="414" t="s">
        <v>365</v>
      </c>
      <c r="H45" s="414" t="s">
        <v>366</v>
      </c>
      <c r="I45" s="416">
        <v>7.0199999809265137</v>
      </c>
      <c r="J45" s="416">
        <v>50</v>
      </c>
      <c r="K45" s="417">
        <v>351</v>
      </c>
    </row>
    <row r="46" spans="1:11" ht="14.4" customHeight="1" x14ac:dyDescent="0.3">
      <c r="A46" s="412" t="s">
        <v>258</v>
      </c>
      <c r="B46" s="413" t="s">
        <v>259</v>
      </c>
      <c r="C46" s="414" t="s">
        <v>270</v>
      </c>
      <c r="D46" s="415" t="s">
        <v>271</v>
      </c>
      <c r="E46" s="414" t="s">
        <v>357</v>
      </c>
      <c r="F46" s="415" t="s">
        <v>358</v>
      </c>
      <c r="G46" s="414" t="s">
        <v>367</v>
      </c>
      <c r="H46" s="414" t="s">
        <v>368</v>
      </c>
      <c r="I46" s="416">
        <v>0.62999999523162842</v>
      </c>
      <c r="J46" s="416">
        <v>3000</v>
      </c>
      <c r="K46" s="417">
        <v>1890</v>
      </c>
    </row>
    <row r="47" spans="1:11" ht="14.4" customHeight="1" thickBot="1" x14ac:dyDescent="0.35">
      <c r="A47" s="418" t="s">
        <v>258</v>
      </c>
      <c r="B47" s="419" t="s">
        <v>259</v>
      </c>
      <c r="C47" s="420" t="s">
        <v>270</v>
      </c>
      <c r="D47" s="421" t="s">
        <v>271</v>
      </c>
      <c r="E47" s="420" t="s">
        <v>369</v>
      </c>
      <c r="F47" s="421" t="s">
        <v>370</v>
      </c>
      <c r="G47" s="420" t="s">
        <v>371</v>
      </c>
      <c r="H47" s="420" t="s">
        <v>372</v>
      </c>
      <c r="I47" s="422">
        <v>93.150001525878906</v>
      </c>
      <c r="J47" s="422">
        <v>0</v>
      </c>
      <c r="K47" s="423">
        <v>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C8" sqref="C8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29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24" t="s">
        <v>87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5" thickBot="1" x14ac:dyDescent="0.35">
      <c r="A2" s="199"/>
      <c r="B2" s="200"/>
    </row>
    <row r="3" spans="1:19" x14ac:dyDescent="0.3">
      <c r="A3" s="336" t="s">
        <v>135</v>
      </c>
      <c r="B3" s="337"/>
      <c r="C3" s="338" t="s">
        <v>124</v>
      </c>
      <c r="D3" s="339"/>
      <c r="E3" s="339"/>
      <c r="F3" s="340"/>
      <c r="G3" s="341" t="s">
        <v>125</v>
      </c>
      <c r="H3" s="342"/>
      <c r="I3" s="342"/>
      <c r="J3" s="343"/>
      <c r="K3" s="344" t="s">
        <v>134</v>
      </c>
      <c r="L3" s="345"/>
      <c r="M3" s="345"/>
      <c r="N3" s="345"/>
      <c r="O3" s="346"/>
      <c r="P3" s="342" t="s">
        <v>178</v>
      </c>
      <c r="Q3" s="342"/>
      <c r="R3" s="342"/>
      <c r="S3" s="343"/>
    </row>
    <row r="4" spans="1:19" ht="15" thickBot="1" x14ac:dyDescent="0.35">
      <c r="A4" s="316">
        <v>2019</v>
      </c>
      <c r="B4" s="317"/>
      <c r="C4" s="318" t="s">
        <v>177</v>
      </c>
      <c r="D4" s="320" t="s">
        <v>88</v>
      </c>
      <c r="E4" s="320" t="s">
        <v>56</v>
      </c>
      <c r="F4" s="322" t="s">
        <v>49</v>
      </c>
      <c r="G4" s="310" t="s">
        <v>126</v>
      </c>
      <c r="H4" s="312" t="s">
        <v>130</v>
      </c>
      <c r="I4" s="312" t="s">
        <v>176</v>
      </c>
      <c r="J4" s="314" t="s">
        <v>127</v>
      </c>
      <c r="K4" s="333" t="s">
        <v>175</v>
      </c>
      <c r="L4" s="334"/>
      <c r="M4" s="334"/>
      <c r="N4" s="335"/>
      <c r="O4" s="322" t="s">
        <v>174</v>
      </c>
      <c r="P4" s="325" t="s">
        <v>173</v>
      </c>
      <c r="Q4" s="325" t="s">
        <v>137</v>
      </c>
      <c r="R4" s="327" t="s">
        <v>56</v>
      </c>
      <c r="S4" s="329" t="s">
        <v>136</v>
      </c>
    </row>
    <row r="5" spans="1:19" s="264" customFormat="1" ht="19.2" customHeight="1" x14ac:dyDescent="0.3">
      <c r="A5" s="331" t="s">
        <v>172</v>
      </c>
      <c r="B5" s="332"/>
      <c r="C5" s="319"/>
      <c r="D5" s="321"/>
      <c r="E5" s="321"/>
      <c r="F5" s="323"/>
      <c r="G5" s="311"/>
      <c r="H5" s="313"/>
      <c r="I5" s="313"/>
      <c r="J5" s="315"/>
      <c r="K5" s="267" t="s">
        <v>128</v>
      </c>
      <c r="L5" s="266" t="s">
        <v>129</v>
      </c>
      <c r="M5" s="266" t="s">
        <v>171</v>
      </c>
      <c r="N5" s="265" t="s">
        <v>3</v>
      </c>
      <c r="O5" s="323"/>
      <c r="P5" s="326"/>
      <c r="Q5" s="326"/>
      <c r="R5" s="328"/>
      <c r="S5" s="330"/>
    </row>
    <row r="6" spans="1:19" ht="15" thickBot="1" x14ac:dyDescent="0.35">
      <c r="A6" s="308" t="s">
        <v>123</v>
      </c>
      <c r="B6" s="309"/>
      <c r="C6" s="263" t="e">
        <f ca="1">SUM(Tabulka[01 uv_sk])/2</f>
        <v>#REF!</v>
      </c>
      <c r="D6" s="261"/>
      <c r="E6" s="261"/>
      <c r="F6" s="260"/>
      <c r="G6" s="262" t="e">
        <f ca="1">SUM(Tabulka[05 h_vram])/2</f>
        <v>#REF!</v>
      </c>
      <c r="H6" s="261" t="e">
        <f ca="1">SUM(Tabulka[06 h_naduv])/2</f>
        <v>#REF!</v>
      </c>
      <c r="I6" s="261" t="e">
        <f ca="1">SUM(Tabulka[07 h_nadzk])/2</f>
        <v>#REF!</v>
      </c>
      <c r="J6" s="260" t="e">
        <f ca="1">SUM(Tabulka[08 h_oon])/2</f>
        <v>#REF!</v>
      </c>
      <c r="K6" s="262" t="e">
        <f ca="1">SUM(Tabulka[09 m_kl])/2</f>
        <v>#REF!</v>
      </c>
      <c r="L6" s="261" t="e">
        <f ca="1">SUM(Tabulka[10 m_gr])/2</f>
        <v>#REF!</v>
      </c>
      <c r="M6" s="261" t="e">
        <f ca="1">SUM(Tabulka[11 m_jo])/2</f>
        <v>#REF!</v>
      </c>
      <c r="N6" s="261" t="e">
        <f ca="1">SUM(Tabulka[12 m_oc])/2</f>
        <v>#REF!</v>
      </c>
      <c r="O6" s="260" t="e">
        <f ca="1">SUM(Tabulka[13 m_sk])/2</f>
        <v>#REF!</v>
      </c>
      <c r="P6" s="259" t="e">
        <f ca="1">SUM(Tabulka[14_vzsk])/2</f>
        <v>#REF!</v>
      </c>
      <c r="Q6" s="259" t="e">
        <f ca="1">SUM(Tabulka[15_vzpl])/2</f>
        <v>#REF!</v>
      </c>
      <c r="R6" s="258" t="e">
        <f ca="1">IF(Q6=0,0,P6/Q6)</f>
        <v>#REF!</v>
      </c>
      <c r="S6" s="257" t="e">
        <f ca="1">Q6-P6</f>
        <v>#REF!</v>
      </c>
    </row>
    <row r="7" spans="1:19" hidden="1" x14ac:dyDescent="0.3">
      <c r="A7" s="256" t="s">
        <v>170</v>
      </c>
      <c r="B7" s="255" t="s">
        <v>169</v>
      </c>
      <c r="C7" s="254" t="s">
        <v>168</v>
      </c>
      <c r="D7" s="253" t="s">
        <v>167</v>
      </c>
      <c r="E7" s="252" t="s">
        <v>166</v>
      </c>
      <c r="F7" s="251" t="s">
        <v>165</v>
      </c>
      <c r="G7" s="250" t="s">
        <v>164</v>
      </c>
      <c r="H7" s="248" t="s">
        <v>163</v>
      </c>
      <c r="I7" s="248" t="s">
        <v>162</v>
      </c>
      <c r="J7" s="247" t="s">
        <v>161</v>
      </c>
      <c r="K7" s="249" t="s">
        <v>160</v>
      </c>
      <c r="L7" s="248" t="s">
        <v>159</v>
      </c>
      <c r="M7" s="248" t="s">
        <v>158</v>
      </c>
      <c r="N7" s="247" t="s">
        <v>157</v>
      </c>
      <c r="O7" s="246" t="s">
        <v>156</v>
      </c>
      <c r="P7" s="245" t="s">
        <v>155</v>
      </c>
      <c r="Q7" s="244" t="s">
        <v>154</v>
      </c>
      <c r="R7" s="243" t="s">
        <v>153</v>
      </c>
      <c r="S7" s="242" t="s">
        <v>152</v>
      </c>
    </row>
    <row r="8" spans="1:19" x14ac:dyDescent="0.3">
      <c r="A8" s="239" t="s">
        <v>151</v>
      </c>
      <c r="B8" s="238"/>
      <c r="C8" s="232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3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41" t="e">
        <f ca="1">IF(Tabulka[[#This Row],[15_vzpl]]=0,"",Tabulka[[#This Row],[14_vzsk]]/Tabulka[[#This Row],[15_vzpl]])</f>
        <v>#REF!</v>
      </c>
      <c r="S8" s="240" t="e">
        <f ca="1">IF(Tabulka[[#This Row],[15_vzpl]]-Tabulka[[#This Row],[14_vzsk]]=0,"",Tabulka[[#This Row],[15_vzpl]]-Tabulka[[#This Row],[14_vzsk]])</f>
        <v>#REF!</v>
      </c>
    </row>
    <row r="9" spans="1:19" x14ac:dyDescent="0.3">
      <c r="A9" t="s">
        <v>179</v>
      </c>
    </row>
    <row r="10" spans="1:19" x14ac:dyDescent="0.3">
      <c r="A10" s="88" t="s">
        <v>120</v>
      </c>
    </row>
    <row r="11" spans="1:19" x14ac:dyDescent="0.3">
      <c r="A11" s="89" t="s">
        <v>150</v>
      </c>
    </row>
    <row r="12" spans="1:19" x14ac:dyDescent="0.3">
      <c r="A12" s="231" t="s">
        <v>149</v>
      </c>
    </row>
    <row r="13" spans="1:19" x14ac:dyDescent="0.3">
      <c r="A13" s="202" t="s">
        <v>133</v>
      </c>
    </row>
    <row r="14" spans="1:19" x14ac:dyDescent="0.3">
      <c r="A14" s="204" t="s">
        <v>138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2019-03-22T11:20:31Z</dcterms:modified>
</cp:coreProperties>
</file>