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D6935228-E1E7-4F9F-A93B-1B37F9A76876}" xr6:coauthVersionLast="41" xr6:coauthVersionMax="41" xr10:uidLastSave="{00000000-0000-0000-0000-000000000000}"/>
  <bookViews>
    <workbookView xWindow="-120" yWindow="-120" windowWidth="29040" windowHeight="15840" tabRatio="930" xr2:uid="{00000000-000D-0000-FFFF-FFFF00000000}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Materiál Žádanky" sheetId="420" r:id="rId7"/>
    <sheet name="MŽ Detail" sheetId="403" r:id="rId8"/>
    <sheet name="Osobní náklady" sheetId="431" r:id="rId9"/>
    <sheet name="ZV Vykáz.-A" sheetId="344" r:id="rId10"/>
    <sheet name="ZV Vykáz.-A Lékaři" sheetId="429" r:id="rId11"/>
    <sheet name="ZV Vykáz.-A Detail" sheetId="345" r:id="rId12"/>
    <sheet name="ZV Vykáz.-A Det.Lék." sheetId="430" r:id="rId13"/>
    <sheet name="ZV Vykáz.-H" sheetId="410" r:id="rId14"/>
    <sheet name="ZV Vykáz.-H Detail" sheetId="377" r:id="rId15"/>
  </sheets>
  <definedNames>
    <definedName name="_xlnm._FilterDatabase" localSheetId="5" hidden="1">HV!$A$5:$A$5</definedName>
    <definedName name="_xlnm._FilterDatabase" localSheetId="4" hidden="1">'Man Tab'!$A$5:$A$31</definedName>
    <definedName name="_xlnm._FilterDatabase" localSheetId="6" hidden="1">'Materiál Žádanky'!$A$4:$I$4</definedName>
    <definedName name="_xlnm._FilterDatabase" localSheetId="7" hidden="1">'MŽ Detail'!$A$4:$K$4</definedName>
    <definedName name="_xlnm._FilterDatabase" localSheetId="12" hidden="1">'ZV Vykáz.-A Det.Lék.'!$A$5:$S$5</definedName>
    <definedName name="_xlnm._FilterDatabase" localSheetId="11" hidden="1">'ZV Vykáz.-A Detail'!$A$5:$R$5</definedName>
    <definedName name="_xlnm._FilterDatabase" localSheetId="10" hidden="1">'ZV Vykáz.-A Lékaři'!$A$4:$A$5</definedName>
    <definedName name="_xlnm._FilterDatabase" localSheetId="14" hidden="1">'ZV Vykáz.-H Detail'!$A$5:$Q$5</definedName>
    <definedName name="doměsíce">'HI Graf'!$C$11</definedName>
    <definedName name="Obdobi" localSheetId="8">#REF!</definedName>
    <definedName name="Obdob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8" i="431" l="1"/>
  <c r="M8" i="431"/>
  <c r="G8" i="431"/>
  <c r="P8" i="431"/>
  <c r="N8" i="431"/>
  <c r="I8" i="431"/>
  <c r="Q8" i="431"/>
  <c r="D8" i="431"/>
  <c r="E8" i="431"/>
  <c r="L8" i="431"/>
  <c r="H8" i="431"/>
  <c r="C8" i="431"/>
  <c r="F8" i="431"/>
  <c r="J8" i="431"/>
  <c r="K8" i="431"/>
  <c r="C6" i="431" l="1"/>
  <c r="L6" i="431"/>
  <c r="R8" i="431"/>
  <c r="S8" i="431"/>
  <c r="Q6" i="431"/>
  <c r="R6" i="431" s="1"/>
  <c r="N6" i="431"/>
  <c r="K6" i="431"/>
  <c r="M6" i="431"/>
  <c r="H6" i="431"/>
  <c r="I6" i="431"/>
  <c r="P6" i="431"/>
  <c r="G6" i="431"/>
  <c r="J6" i="431"/>
  <c r="O6" i="431"/>
  <c r="S6" i="431" l="1"/>
  <c r="D18" i="414" l="1"/>
  <c r="E18" i="414" s="1"/>
  <c r="D17" i="414"/>
  <c r="A19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s="1"/>
  <c r="J3" i="344" l="1"/>
  <c r="D16" i="414" s="1"/>
  <c r="C11" i="339"/>
  <c r="E17" i="414"/>
  <c r="A18" i="414"/>
  <c r="A17" i="414"/>
  <c r="A16" i="414"/>
  <c r="A7" i="414" l="1"/>
  <c r="A17" i="383" l="1"/>
  <c r="G3" i="429"/>
  <c r="F3" i="429"/>
  <c r="E3" i="429"/>
  <c r="D3" i="429"/>
  <c r="C3" i="429"/>
  <c r="B3" i="429"/>
  <c r="C11" i="340" l="1"/>
  <c r="A11" i="383" l="1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1" i="414" l="1"/>
  <c r="D7" i="414"/>
  <c r="A14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0" i="414" l="1"/>
  <c r="A15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G3" i="410" s="1"/>
  <c r="C3" i="410"/>
  <c r="B3" i="410"/>
  <c r="D19" i="414" s="1"/>
  <c r="Z3" i="344" l="1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G3" i="344"/>
  <c r="C3" i="344"/>
  <c r="B11" i="339"/>
  <c r="J11" i="339" s="1"/>
  <c r="R3" i="344" l="1"/>
  <c r="I11" i="339"/>
  <c r="F11" i="339"/>
  <c r="H11" i="339" l="1"/>
  <c r="G11" i="339"/>
  <c r="A19" i="414"/>
  <c r="A11" i="414"/>
  <c r="A12" i="414"/>
  <c r="A4" i="414"/>
  <c r="A6" i="339" l="1"/>
  <c r="A5" i="339"/>
  <c r="D4" i="414"/>
  <c r="D12" i="414"/>
  <c r="D15" i="414"/>
  <c r="C15" i="414"/>
  <c r="C12" i="414"/>
  <c r="C11" i="414" l="1"/>
  <c r="C7" i="414"/>
  <c r="E19" i="414" l="1"/>
  <c r="E16" i="414"/>
  <c r="E11" i="414"/>
  <c r="E7" i="414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K3" i="345"/>
  <c r="H3" i="345"/>
  <c r="G3" i="345"/>
  <c r="C20" i="414"/>
  <c r="D20" i="414"/>
  <c r="Q3" i="345" l="1"/>
  <c r="I12" i="339"/>
  <c r="I13" i="339" s="1"/>
  <c r="F13" i="339"/>
  <c r="E13" i="339"/>
  <c r="E15" i="339" s="1"/>
  <c r="H12" i="339"/>
  <c r="G12" i="339"/>
  <c r="A4" i="383"/>
  <c r="A21" i="383"/>
  <c r="A20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C4" i="414"/>
  <c r="D14" i="414"/>
  <c r="J13" i="339" l="1"/>
  <c r="B15" i="339"/>
  <c r="H13" i="339"/>
  <c r="F15" i="339"/>
  <c r="E12" i="414"/>
  <c r="E4" i="414"/>
  <c r="C6" i="340"/>
  <c r="D6" i="340" s="1"/>
  <c r="B4" i="340"/>
  <c r="G13" i="339"/>
  <c r="B12" i="340" l="1"/>
  <c r="B13" i="340"/>
  <c r="G15" i="339"/>
  <c r="H15" i="339"/>
  <c r="C4" i="340"/>
  <c r="E15" i="414"/>
  <c r="E20" i="414"/>
  <c r="D4" i="340"/>
  <c r="E6" i="340"/>
  <c r="C14" i="414"/>
  <c r="E14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<sst xmlns="http://schemas.openxmlformats.org/spreadsheetml/2006/main" count="2117" uniqueCount="565">
  <si>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</si>
  <si>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</si>
  <si>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</si>
  <si>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</si>
  <si>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</si>
  <si>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</si>
  <si>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</si>
  <si>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</si>
  <si>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Název</t>
  </si>
  <si>
    <t>Mn.</t>
  </si>
  <si>
    <t>Kč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</si>
  <si>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</si>
  <si>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</si>
  <si>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</si>
  <si>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</si>
  <si>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</si>
  <si>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</si>
  <si>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</si>
  <si>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</si>
  <si>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</si>
  <si>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</si>
  <si>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</si>
  <si>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</si>
  <si>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</si>
  <si>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</si>
  <si>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</si>
  <si>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</si>
  <si>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</si>
  <si>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</si>
  <si>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</si>
  <si>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</si>
  <si>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</si>
  <si>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</si>
  <si>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</si>
  <si>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</si>
  <si>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</si>
  <si>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</si>
  <si>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</si>
  <si>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</si>
  <si>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</si>
  <si>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</si>
  <si>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</si>
  <si>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</si>
  <si>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</si>
  <si>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</si>
  <si>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</si>
  <si>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</si>
  <si>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</si>
  <si>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</si>
  <si>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</si>
  <si>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</si>
  <si>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</si>
  <si>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</si>
  <si>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</si>
  <si>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</si>
  <si>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</si>
  <si>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</si>
  <si>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</si>
  <si>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</si>
  <si>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</si>
  <si>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</si>
  <si>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</si>
  <si>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</si>
  <si>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</si>
  <si>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</si>
  <si>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</si>
  <si>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</si>
  <si>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</si>
  <si>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</si>
  <si>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</si>
  <si>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</si>
  <si>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</si>
  <si>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</si>
  <si>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</si>
  <si>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</si>
  <si>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</si>
  <si>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</si>
  <si>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</si>
  <si>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</si>
  <si>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</si>
  <si>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</si>
  <si>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</si>
  <si>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</si>
  <si>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</si>
  <si>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</si>
  <si>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</si>
  <si>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</si>
  <si>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</si>
  <si>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</si>
  <si>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</si>
  <si>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</si>
  <si>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</si>
  <si>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</si>
  <si>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</si>
  <si>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</si>
  <si>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</si>
  <si>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</si>
  <si>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</si>
  <si>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</si>
  <si>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</si>
  <si>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</si>
  <si>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</si>
  <si>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</si>
  <si>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</si>
  <si>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</si>
  <si>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</si>
  <si>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Lékař</t>
  </si>
  <si>
    <t>Hospodaření zdravotnického pracoviště (v tisících)</t>
  </si>
  <si>
    <t>Spotřeba zdravotnického materiálu</t>
  </si>
  <si>
    <t>Přehledové sestavy</t>
  </si>
  <si>
    <t>Akt. měsíc</t>
  </si>
  <si>
    <t>Kč/ks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</si>
  <si>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</si>
  <si>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</si>
  <si>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</si>
  <si>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</si>
  <si>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</si>
  <si>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</si>
  <si>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</si>
  <si>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</si>
  <si>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</si>
  <si>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</si>
  <si>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</si>
  <si>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</si>
  <si>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</si>
  <si>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</si>
  <si>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</si>
  <si>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</si>
  <si>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</si>
  <si>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</si>
  <si>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</si>
  <si>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</si>
  <si>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</si>
  <si>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</si>
  <si>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</si>
  <si>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</si>
  <si>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</si>
  <si>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</si>
  <si>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</si>
  <si>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</si>
  <si>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Ambulance = vykázané výkony (body)</t>
  </si>
  <si>
    <t>Počet výkonů</t>
  </si>
  <si>
    <t>ZV Vykáz.-A Lékaři</t>
  </si>
  <si>
    <t>Sml.odb./NS</t>
  </si>
  <si>
    <t>% 2015</t>
  </si>
  <si>
    <t>§</t>
  </si>
  <si>
    <t>ZV Vykáz.-A Det.Lék.</t>
  </si>
  <si>
    <t>Rozdíl 2015</t>
  </si>
  <si>
    <t>Plnění 2015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</si>
  <si>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</si>
  <si>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</si>
  <si>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</si>
  <si>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</si>
  <si>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</si>
  <si>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</si>
  <si>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</si>
  <si>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</si>
  <si>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</si>
  <si>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</si>
  <si>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</si>
  <si>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</si>
  <si>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</si>
  <si>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</si>
  <si>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</si>
  <si>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</si>
  <si>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</si>
  <si>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</si>
  <si>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</si>
  <si>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</si>
  <si>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</si>
  <si>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</si>
  <si>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</si>
  <si>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</si>
  <si>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</si>
  <si>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</si>
  <si>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</si>
  <si>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</si>
  <si>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</si>
  <si>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</si>
  <si>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 xml:space="preserve"> </t>
  </si>
  <si>
    <t>POMĚROVÉ  PLNĚNÍ = Rozpočet na rok 2018 celkem a 1/12  ročního rozpočtu, skutečnost daných měsíců a % plnění načítané skutečnosti do data k poměrné části rozpočtu do data.</t>
  </si>
  <si>
    <t>Rozpočet výnosů pro rok 2019 je stanoven jako 100% skutečnosti referenčního období (2018)</t>
  </si>
  <si>
    <t>01/2019</t>
  </si>
  <si>
    <t>02/2019</t>
  </si>
  <si>
    <t>03/2019</t>
  </si>
  <si>
    <t>04/2019</t>
  </si>
  <si>
    <t>05/2019</t>
  </si>
  <si>
    <t>06/2019</t>
  </si>
  <si>
    <t>07/2019</t>
  </si>
  <si>
    <t>08/2019</t>
  </si>
  <si>
    <t>09/2019</t>
  </si>
  <si>
    <t>10/2019</t>
  </si>
  <si>
    <t>11/2019</t>
  </si>
  <si>
    <t>12/2019</t>
  </si>
  <si>
    <t>Rozp. 2018            CELKEM</t>
  </si>
  <si>
    <t>Skut. 2018 CELKEM</t>
  </si>
  <si>
    <t>ROZDÍL  Skut. - Rozp. 2018</t>
  </si>
  <si>
    <t>% plnění rozp.2018</t>
  </si>
  <si>
    <t>Rozp.rok 2019</t>
  </si>
  <si>
    <t>Sk.v tis 2019</t>
  </si>
  <si>
    <t>ROZDÍL (Sk.do data - Rozp.do data 2019)</t>
  </si>
  <si>
    <t>% plnění (Skut.do data/Rozp.rok 2019)</t>
  </si>
  <si>
    <r>
      <t>Zpět na Obsah</t>
    </r>
    <r>
      <rPr>
        <sz val="9"/>
        <rFont val="Calibri"/>
        <family val="2"/>
        <charset val="238"/>
        <scheme val="minor"/>
      </rPr>
      <t xml:space="preserve"> | 1.-8.měsíc | Nutriční ambulance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</si>
  <si>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</si>
  <si>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</si>
  <si>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</si>
  <si>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</si>
  <si>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</si>
  <si>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</si>
  <si>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</si>
  <si>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50115     Zdravotnické prostředky</t>
  </si>
  <si>
    <t>50115050     obvazový materiál (Z502)</t>
  </si>
  <si>
    <t>50115060     ZPr - ostatní (Z503)</t>
  </si>
  <si>
    <t>50115063     ZPr - vaky, sety (Z528)</t>
  </si>
  <si>
    <t>50115065     ZPr - vpichovací materiál (Z530)</t>
  </si>
  <si>
    <t>50115067     ZPr - rukavice (Z532)</t>
  </si>
  <si>
    <t>50115070     ZPr - katetry ostatní (Z513)</t>
  </si>
  <si>
    <t>50115089     ZPr - katetry PICC/MIDLINE (Z554)</t>
  </si>
  <si>
    <t>50119     DDHM a textil</t>
  </si>
  <si>
    <t>50119100     jednorázové ochranné pomůcky (sk.T18A)</t>
  </si>
  <si>
    <t>50119101     jednorázový operační materiál (sk.T18B)</t>
  </si>
  <si>
    <t>50210     Spotřeba energie</t>
  </si>
  <si>
    <t>50210071     elektřina</t>
  </si>
  <si>
    <t>50210073     pára</t>
  </si>
  <si>
    <t>51     Služby</t>
  </si>
  <si>
    <t>51102     Technika a stavby</t>
  </si>
  <si>
    <t>51102021     opravy zdravotnické techniky - OSBTK, vč.metrologa</t>
  </si>
  <si>
    <t>51102023     opravy ostatní techniky - OSBTK, vč.metrologa</t>
  </si>
  <si>
    <t>--</t>
  </si>
  <si>
    <t>51102032     opravy zdravotnické techniky - UTZ</t>
  </si>
  <si>
    <t>51102033     opravy ostatní techniky - UTZ</t>
  </si>
  <si>
    <t>51102034     opravy ostatní techniky - ELSYS</t>
  </si>
  <si>
    <t>51808     Revize a smluvní servisy majetku</t>
  </si>
  <si>
    <t>51808008     revize, tech.kontroly, prev.prohl.- OSBTK</t>
  </si>
  <si>
    <t>55     Odpisy, rezervy, komplexní náklady příštích období  a opravné položky provozních nákladů</t>
  </si>
  <si>
    <t>551     Odpisy DM</t>
  </si>
  <si>
    <t>55110     Odpisy DM</t>
  </si>
  <si>
    <t>55110004     odpisy DHM - zdravot.techn. z odpisů</t>
  </si>
  <si>
    <t>6     Účtová třída 6 - Výnosy</t>
  </si>
  <si>
    <t>60     Tržby za vlastní výkony a zboží</t>
  </si>
  <si>
    <t>602     Výnosy z prodeje služeb</t>
  </si>
  <si>
    <t>60228     Zdr. výkony - VZP sledov.položky    OZPI</t>
  </si>
  <si>
    <t>60228190     výkony pojištěncům EHS</t>
  </si>
  <si>
    <t>60228191     výkony za cizince (mimo EHS)</t>
  </si>
  <si>
    <t>60229     Zdr. výkony - ZP sled.položky  OZPI</t>
  </si>
  <si>
    <t>60229202     výkony pojišť.EHS, výkony za cizinci (mimo EHS)</t>
  </si>
  <si>
    <t>60229290     výkony pojištěncům EHS</t>
  </si>
  <si>
    <t>60245     Fakturace ZP - běžný rok (paušál)   OZPI</t>
  </si>
  <si>
    <t>60245400     tržby VZP za zdrav.péči - paušál</t>
  </si>
  <si>
    <t>60245401     tržby ZP za zdrav.péči - paušál</t>
  </si>
  <si>
    <t>60246     Dorovnání péče ZP - min.let         OZPI</t>
  </si>
  <si>
    <t>60246400     tržby VZP za zdrav.péči - dorovnání min.let</t>
  </si>
  <si>
    <t>60246401     tržby ZP za zdrav.péči - dorovnání min.let</t>
  </si>
  <si>
    <t>8     Účtová třída 8 - Vnitropodnikové účetnictví - výnosy</t>
  </si>
  <si>
    <t>89     Vnitropodnikové výnosy</t>
  </si>
  <si>
    <t>899     Vnitropodnikové výnosy</t>
  </si>
  <si>
    <t>89920     VPV - mezistřediskové převody</t>
  </si>
  <si>
    <t>89920001     převody - agregované výkony laboratoří</t>
  </si>
  <si>
    <t>57</t>
  </si>
  <si>
    <t>NUT: Nutriční ambulance</t>
  </si>
  <si>
    <t/>
  </si>
  <si>
    <t>50115050 - obvazový materiál (Z502)</t>
  </si>
  <si>
    <t>50115060 - ZPr - ostatní (Z503)</t>
  </si>
  <si>
    <t>50115063 - ZPr - vaky, sety (Z528)</t>
  </si>
  <si>
    <t>50115065 - ZPr - vpichovací materiál (Z530)</t>
  </si>
  <si>
    <t>50115067 - ZPr - rukavice (Z532)</t>
  </si>
  <si>
    <t>50115070 - ZPr - katetry ostatní (Z513)</t>
  </si>
  <si>
    <t>50115089 - ZPr - katetry PICC/MIDLINE (Z554)</t>
  </si>
  <si>
    <t>NUT: Nutriční ambulance Celkem</t>
  </si>
  <si>
    <t>SumaKL</t>
  </si>
  <si>
    <t>5721</t>
  </si>
  <si>
    <t>Nutriční ambulance: Nutriční ambulance</t>
  </si>
  <si>
    <t>Nutriční ambulance: Nutriční ambulance Celkem</t>
  </si>
  <si>
    <t>SumaNS</t>
  </si>
  <si>
    <t>mezeraNS</t>
  </si>
  <si>
    <t>50115050</t>
  </si>
  <si>
    <t>obvazový materiál (Z502)</t>
  </si>
  <si>
    <t>ZQ990</t>
  </si>
  <si>
    <t>Fixace k CVC a PICC kateru Main Lock 2 4 x 9 cm NKS:90-60-82</t>
  </si>
  <si>
    <t>ZD740</t>
  </si>
  <si>
    <t>Kompresa gĂˇza sterilkompres 7,5 x 7,5 cm/5 ks, 100% bavlna, sterilnĂ­ 1325019265(1230119225)</t>
  </si>
  <si>
    <t>ZA602</t>
  </si>
  <si>
    <t>Kompresa gáza 5,0 x 5,0 cm/2 ks sterilní karton á 1000 ks 26001</t>
  </si>
  <si>
    <t>Kompresa gáza sterilkompres 7,5 x 7,5 cm/5 ks, 100% bavlna, sterilní 1325019265(1230119225)</t>
  </si>
  <si>
    <t>ZA464</t>
  </si>
  <si>
    <t>Kompresa NT 10 x 10 cm/2 ks sterilní 26520</t>
  </si>
  <si>
    <t>ZA622</t>
  </si>
  <si>
    <t>Kompresa NT 5 x 5 cm nesterilnĂ­ 06101</t>
  </si>
  <si>
    <t>ZC854</t>
  </si>
  <si>
    <t>Kompresa NT 7,5 x 7,5 cm/2 ks sterilnĂ­ 26510</t>
  </si>
  <si>
    <t>Kompresa NT 7,5 x 7,5 cm/2 ks sterilní 26510</t>
  </si>
  <si>
    <t>ZH403</t>
  </si>
  <si>
    <t>KrytĂ­ excilon 5 x 5 cm NT i.v. s nĂˇstĹ™ihem do kĹ™Ă­Ĺľe antiseptickĂ˝ bal. Ăˇ 70 ks 7089</t>
  </si>
  <si>
    <t>ZA585</t>
  </si>
  <si>
    <t>KrytĂ­ suprasorb F 10 x 12 cm sterilnĂ­ bal. Ăˇ 10 ks 20462</t>
  </si>
  <si>
    <t>ZK760</t>
  </si>
  <si>
    <t>KrytĂ­ tegaderm + PAD na i. v. vstupy bal. Ăˇ 25 ks 9 x 10 cm 3586</t>
  </si>
  <si>
    <t>ZL669</t>
  </si>
  <si>
    <t>KrytĂ­ tegaderm diamond 10,0 cm x 12,0 cm bal. Ăˇ 50 ks 1686</t>
  </si>
  <si>
    <t>ZO420</t>
  </si>
  <si>
    <t>KrytĂ­ tegaderm CHG 7,5 cm x 8,5 cm na CĹ˝K-antibakt. bal. Ăˇ 25 ks 1660R</t>
  </si>
  <si>
    <t>ZK646</t>
  </si>
  <si>
    <t>KrytĂ­ tegaderm CHG 8,5 cm x 11,5 cm na CĹ˝K-antibakt. bal. Ăˇ 25 ks 1657R</t>
  </si>
  <si>
    <t>ZP802</t>
  </si>
  <si>
    <t>KrytĂ­ tegaderm i.v. advaced pro katetry Aiic.v.Cs P.I.C.C 8,5 cm x 11,5 cm bal. Ăˇ 50 ks 1685</t>
  </si>
  <si>
    <t>Krytí excilon 5 x 5 cm NT i.v. s nástřihem do kříže antiseptický bal. á 70 ks 7089</t>
  </si>
  <si>
    <t>ZA476</t>
  </si>
  <si>
    <t>Krytí mepilex border lite 10 x 10 cm bal. á 5 ks 281300-00</t>
  </si>
  <si>
    <t>Krytí suprasorb F 10 x 12 cm sterilní bal. á 10 ks 20462</t>
  </si>
  <si>
    <t>Krytí tegaderm + PAD na i. v. vstupy bal. á 25 ks 9 x 10 cm 3586</t>
  </si>
  <si>
    <t>Krytí tegaderm diamond 10,0 cm x 12,0 cm bal. á 50 ks 1686</t>
  </si>
  <si>
    <t>Krytí tegaderm CHG 7,5 cm x 8,5 cm na CŽK-antibakt. bal. á 25 ks 1660R</t>
  </si>
  <si>
    <t>Krytí tegaderm CHG 8,5 cm x 11,5 cm na CŽK-antibakt. bal. á 25 ks 1657R</t>
  </si>
  <si>
    <t>Krytí tegaderm i.v. advaced pro katetry Aiic.v.Cs P.I.C.C 8,5 cm x 11,5 cm bal. á 50 ks 1685</t>
  </si>
  <si>
    <t>ZI599</t>
  </si>
  <si>
    <t>NĂˇplast curapor 10 x   8 cm 32913 ( 22121,  nĂˇhrada za cosmopor )</t>
  </si>
  <si>
    <t>ZI600</t>
  </si>
  <si>
    <t>NĂˇplast curapor 10 x 15 cm 32914 ( nĂˇhrada za cosmopor )</t>
  </si>
  <si>
    <t>ZH011</t>
  </si>
  <si>
    <t>NĂˇplast micropore 1,25 cm x 9,14 m bal. Ăˇ 24 ks 1530-0</t>
  </si>
  <si>
    <t>Náplast curapor 10 x   8 cm 32913 ( 22121,  náhrada za cosmopor )</t>
  </si>
  <si>
    <t>Náplast curapor 10 x 15 cm 32914 ( náhrada za cosmopor )</t>
  </si>
  <si>
    <t>Náplast micropore 1,25 cm x 9,14 m bal. á 24 ks 1530-0</t>
  </si>
  <si>
    <t>ZL668</t>
  </si>
  <si>
    <t>Náplast silikon tape 2,5 cm x 5 m bal. á 12 ks 2770-1</t>
  </si>
  <si>
    <t>ZA314</t>
  </si>
  <si>
    <t>Obinadlo idealast-haft 8 cm x   4 m 9311113</t>
  </si>
  <si>
    <t>ZP212</t>
  </si>
  <si>
    <t>Obvaz elastickĂ˝ sĂ­ĹĄovĂ˝ pruban Tg-fix vel. C paĹľe, noha, loket 25 m 24252</t>
  </si>
  <si>
    <t>Obvaz elastický síťový pruban Tg-fix vel. C paže, noha, loket 25 m 24252</t>
  </si>
  <si>
    <t>ZA593</t>
  </si>
  <si>
    <t>Tampon sterilnĂ­ stĂˇÄŤenĂ˝ 20 x 20 cm / 5 ks 28003+</t>
  </si>
  <si>
    <t>Tampon sterilní stáčený 20 x 20 cm / 5 ks 28003+</t>
  </si>
  <si>
    <t>50115060</t>
  </si>
  <si>
    <t>ZPr - ostatní (Z503)</t>
  </si>
  <si>
    <t>ZA738</t>
  </si>
  <si>
    <t>Filtr mini spike zelenĂ˝ 4550242</t>
  </si>
  <si>
    <t>Filtr mini spike zelený 4550242</t>
  </si>
  <si>
    <t>ZQ249</t>
  </si>
  <si>
    <t>HadiÄŤka spojovacĂ­ HS 1,8 x 1800 mm LL DEPH free 2200 180 ND</t>
  </si>
  <si>
    <t>ZQ248</t>
  </si>
  <si>
    <t>HadiÄŤka spojovacĂ­ HS 1,8 x 450 mm LL DEPH free 2200 045 ND</t>
  </si>
  <si>
    <t>ZF973</t>
  </si>
  <si>
    <t>HadiÄŤka spojovacĂ­ tlakovĂˇ unicath 1,5 mm x   25 cm LL na obou koncĂ­ch male-male bal. Ăˇ 40 ks PN 1202</t>
  </si>
  <si>
    <t>Hadička spojovací HS 1,8 x 1800 mm LL DEPH free 2200 180 ND</t>
  </si>
  <si>
    <t>Hadička spojovací HS 1,8 x 450 mm LL DEPH free 2200 045 ND</t>
  </si>
  <si>
    <t>Hadička spojovací tlaková unicath 1,5 mm x   25 cm LL na obou koncích male-male bal. á 40 ks PN 1202</t>
  </si>
  <si>
    <t>ZK884</t>
  </si>
  <si>
    <t>Kohout trojcestnĂ˝ discofix modrĂ˝ 4095111</t>
  </si>
  <si>
    <t>Kohout trojcestný discofix modrý 4095111</t>
  </si>
  <si>
    <t>ZB334</t>
  </si>
  <si>
    <t>Konektor bezjehlovĂ˝ bionecteur Ăˇ 50 ks 896.03 povoleno pouze pro HOK, DK a NOVOR</t>
  </si>
  <si>
    <t>ZO372</t>
  </si>
  <si>
    <t>Konektor bezjehlovĂ˝ OptiSyte JIM:JSM4001</t>
  </si>
  <si>
    <t>Konektor bezjehlový bionecteur á 50 ks 896.03 povoleno pouze pro HOK, DK a NOVOR</t>
  </si>
  <si>
    <t>Konektor bezjehlový OptiSyte JIM:JSM4001</t>
  </si>
  <si>
    <t>ZO087</t>
  </si>
  <si>
    <t>Konektor flocare na aplikaÄŤnĂ­ set s konektorem Luer NOVĂť 30 ks 589735</t>
  </si>
  <si>
    <t>Konektor flocare na aplikační set s konektorem Luer NOVÝ 30 ks 589735</t>
  </si>
  <si>
    <t>ZO086</t>
  </si>
  <si>
    <t>Konektor flocare na sondu Luer NOVĂť 30 ks 589733</t>
  </si>
  <si>
    <t>Konektor flocare na sondu Luer NOVÝ 30 ks 589733</t>
  </si>
  <si>
    <t>ZO083</t>
  </si>
  <si>
    <t>Konektor flocare transition NOVĂť 30 ks (je souÄŤĂˇstĂ­ setu) 589732</t>
  </si>
  <si>
    <t>Konektor flocare transition NOVÝ 30 ks (je součástí setu) 589732</t>
  </si>
  <si>
    <t>ZP078</t>
  </si>
  <si>
    <t>Kontejner 25 ml PP ĹˇroubovĂ˝ sterilnĂ­ uzĂˇvÄ›r 2680/EST/SG</t>
  </si>
  <si>
    <t>Kontejner 25 ml PP šroubový sterilní uzávěr 2680/EST/SG</t>
  </si>
  <si>
    <t>ZQ736</t>
  </si>
  <si>
    <t>Lepidlo silikonové 2197.000</t>
  </si>
  <si>
    <t>ZF159</t>
  </si>
  <si>
    <t>NĂˇdoba na kontaminovanĂ˝ odpad 1 l 15-0002</t>
  </si>
  <si>
    <t>Nádoba na kontaminovaný odpad 1 l 15-0002</t>
  </si>
  <si>
    <t>ZB439</t>
  </si>
  <si>
    <t>Odstraňovač náplastí Convacare á 100 ks 0011279 37443</t>
  </si>
  <si>
    <t>ZP835</t>
  </si>
  <si>
    <t>RegulĂˇtor prĹŻtoku infuze Flow Regulator 5 aĹľ 250 ml/hod vÄŤetnÄ› spojovacĂ­ hadiÄŤky 55 cm bal Ăˇ 50 ks 02-018-01</t>
  </si>
  <si>
    <t>Regulátor průtoku infuze Flow Regulator 5 až 250 ml/hod včetně spojovací hadičky 55 cm bal á 50 ks 02-018-01</t>
  </si>
  <si>
    <t>ZI784</t>
  </si>
  <si>
    <t>Set Flocare pro enterĂˇlnĂ­ vĂ˝Ĺľivu Infinity Pack Mobile Set s medikaÄŤnĂ­m portem (kohout) s konektory ENFit, kompatibilnĂ­ s vaky Nutrison, pro podĂˇnĂ­ do sondy z vakĹŻ Flocare 586520</t>
  </si>
  <si>
    <t>ZH546</t>
  </si>
  <si>
    <t>Set flocare pro enterĂˇlnĂ­ vĂ˝Ĺľivu infinity pack mobile W/O MP Transition (APA 3227163) pro domĂˇcĂ­ pĂ©ÄŤi 586484</t>
  </si>
  <si>
    <t>Set Flocare pro enterální výživu Infinity Pack Mobile Set s medikačním portem (kohout) s konektory ENFit, kompatibilní s vaky Nutrison, pro podání do sondy z vaků Flocare 586520</t>
  </si>
  <si>
    <t>Set flocare pro enterální výživu infinity pack mobile W/O MP Transition (APA 3227163) pro domácí péči 586484</t>
  </si>
  <si>
    <t>ZN906</t>
  </si>
  <si>
    <t>Set Flocare pro enterální výživu Infinity Pack s konektory ENFit, kompatibilní s vaky Nutrison, pro pumpy Flocare 586514</t>
  </si>
  <si>
    <t>ZQ735</t>
  </si>
  <si>
    <t>Souprava k opravě Life-Cath Broviac 2194.50</t>
  </si>
  <si>
    <t>ZG724</t>
  </si>
  <si>
    <t>Spojka proplachovací urologická bal. á 50 ks LCF</t>
  </si>
  <si>
    <t>ZR397</t>
  </si>
  <si>
    <t>StĹ™Ă­kaÄŤka injekÄŤnĂ­ 2-dĂ­lnĂˇ 10 ml L DISCARDIT LE 309110</t>
  </si>
  <si>
    <t>ZA787</t>
  </si>
  <si>
    <t>StĹ™Ă­kaÄŤka injekÄŤnĂ­ 2-dĂ­lnĂˇ 10 ml L Inject Solo 4606108V - nahrazuje ZR397</t>
  </si>
  <si>
    <t>ZR398</t>
  </si>
  <si>
    <t>StĹ™Ă­kaÄŤka injekÄŤnĂ­ 2-dĂ­lnĂˇ 20 ml L DISCARDIT LE bal. Ăˇ 80 ks 300296</t>
  </si>
  <si>
    <t>ZA788</t>
  </si>
  <si>
    <t>StĹ™Ă­kaÄŤka injekÄŤnĂ­ 2-dĂ­lnĂˇ 20 ml L Inject Solo 4606205V - nahrazuje ZR398</t>
  </si>
  <si>
    <t>ZA790</t>
  </si>
  <si>
    <t>StĹ™Ă­kaÄŤka injekÄŤnĂ­ 2-dĂ­lnĂˇ 5 ml L Inject Solo4606051V - nahrazuje ZR396</t>
  </si>
  <si>
    <t>ZH168</t>
  </si>
  <si>
    <t>StĹ™Ă­kaÄŤka injekÄŤnĂ­ 3-dĂ­lnĂˇ 1 ml L tuberculin s jehlou KD-JECT III 26G x 1/2" 0,45 x 12 mm 831786</t>
  </si>
  <si>
    <t>ZP675</t>
  </si>
  <si>
    <t>StĹ™Ă­kaÄŤka injekÄŤnĂ­ pro enterĂˇlnĂ­ vĂ˝Ĺľivu 25 ml NUTRICAIR ENFIT excentrickĂˇ bal.Ăˇ 50 ks NCE20SE</t>
  </si>
  <si>
    <t>ZQ599</t>
  </si>
  <si>
    <t>StĹ™Ă­kaÄŤka injekÄŤnĂ­ pro enterĂˇlnĂ­ vĂ˝Ĺľivu 50/60 ml NUTRICAIR ENFIT excentrickĂˇ bal.Ăˇ 50 ks NCE50SE</t>
  </si>
  <si>
    <t>Stříkačka injekční 2-dílná 10 ml L Inject Solo 4606108V</t>
  </si>
  <si>
    <t>ZA789</t>
  </si>
  <si>
    <t>Stříkačka injekční 2-dílná 2 ml L Inject Solo 4606027V</t>
  </si>
  <si>
    <t>Stříkačka injekční 2-dílná 20 ml L Inject Solo 4606205V</t>
  </si>
  <si>
    <t>Stříkačka injekční 2-dílná 5 ml L Inject Solo4606051V</t>
  </si>
  <si>
    <t>Stříkačka injekční 3-dílná 1 ml L tuberculin s jehlou KD-JECT III 26G x 1/2" 0,45 x 12 mm 831786</t>
  </si>
  <si>
    <t>ZH491</t>
  </si>
  <si>
    <t>Stříkačka injekční 3-dílná 50 - 60 ml LL MRG00711</t>
  </si>
  <si>
    <t>Stříkačka injekční pro enterální výživu 50/60 ml NUTRICAIR ENFIT excentrická bal.á 50 ks NCE50SE</t>
  </si>
  <si>
    <t>ZP822</t>
  </si>
  <si>
    <t>Uzávěr dezinfekční CUROS k bezjehlovému vstupu se 70% IPA  CFF10-250R</t>
  </si>
  <si>
    <t>ZK798</t>
  </si>
  <si>
    <t>Zátka combi modrá 4495152</t>
  </si>
  <si>
    <t>50115063</t>
  </si>
  <si>
    <t>ZPr - vaky, sety (Z528)</t>
  </si>
  <si>
    <t>ZN400</t>
  </si>
  <si>
    <t>Set infuznĂ­  Spike (DEHP free) s filtrem 1,2 um k mobilnĂ­ pumpÄ› Mini Rythmic PN+ bal. Ăˇ 20 ks KM1EE148X</t>
  </si>
  <si>
    <t>ZR133</t>
  </si>
  <si>
    <t>Set infuznĂ­ Infuzomat plus Line Safeset k infuznĂ­ pumpÄ› Perfusor Compact plus, 250 cm bal. Ăˇ 10 ks 8700200 akce do odvolĂˇnĂ­ - 1+1(zdarma)</t>
  </si>
  <si>
    <t>ZA715</t>
  </si>
  <si>
    <t>Set infuznĂ­ intrafix primeline classic 150 cm 4062957</t>
  </si>
  <si>
    <t>Set infuzní  Spike (DEHP free) s filtrem 1,2 um k mobilní pumpě Mini Rythmic PN+ bal. á 20 ks KM1EE148X</t>
  </si>
  <si>
    <t>Set infuzní Infuzomat plus Line Safeset k infuzní pumpě Perfusor Compact plus, 250 cm bal. á 10 ks 8700200 akce do odvolání - 1+1(zdarma)</t>
  </si>
  <si>
    <t>Set infuzní intrafix primeline classic 150 cm 4062957</t>
  </si>
  <si>
    <t>ZB715</t>
  </si>
  <si>
    <t>Set pro enterální výživu kangaro univ.  á 30 ks  S777403</t>
  </si>
  <si>
    <t>ZE079</t>
  </si>
  <si>
    <t>Set transfĂşznĂ­ non PVC s odvzduĹˇnÄ›nĂ­m a bakteriĂˇlnĂ­m filtrem ZAR-I-TS</t>
  </si>
  <si>
    <t>Set transfúzní non PVC s odvzdušněním a bakteriálním filtrem ZAR-I-TS</t>
  </si>
  <si>
    <t>50115065</t>
  </si>
  <si>
    <t>ZPr - vpichovací materiál (Z530)</t>
  </si>
  <si>
    <t>ZC634</t>
  </si>
  <si>
    <t>Jehla gripper portacath bez Y protu 22G x 16 mm á 12 ks 21-2737-24</t>
  </si>
  <si>
    <t>Jehla gripper portacath bez Y protu 22G x 16 mm Ăˇ 12 ks 21-2737-24</t>
  </si>
  <si>
    <t>ZB556</t>
  </si>
  <si>
    <t>Jehla injekÄŤnĂ­ 1,2 x 40 mm rĹŻĹľovĂˇ 4665120</t>
  </si>
  <si>
    <t>Jehla injekční 1,2 x 40 mm růžová 4665120</t>
  </si>
  <si>
    <t>50115067</t>
  </si>
  <si>
    <t>ZPr - rukavice (Z532)</t>
  </si>
  <si>
    <t>ZK474</t>
  </si>
  <si>
    <t>Rukavice operaÄŤnĂ­ latex s pudrem sterilnĂ­ ansell, vasco surgical powderet vel. 6,5 6035518 (303503)</t>
  </si>
  <si>
    <t>ZK475</t>
  </si>
  <si>
    <t>Rukavice operaÄŤnĂ­ latex s pudrem sterilnĂ­ ansell, vasco surgical powderet vel. 7 6035526 (303504EU)</t>
  </si>
  <si>
    <t>ZK476</t>
  </si>
  <si>
    <t>Rukavice operaÄŤnĂ­ latex s pudrem sterilnĂ­ ansell, vasco surgical powderet vel. 7,5 6035534</t>
  </si>
  <si>
    <t>ZK477</t>
  </si>
  <si>
    <t>Rukavice operaÄŤnĂ­ latex s pudrem sterilnĂ­ ansell, vasco surgical powderet vel. 8 6035542 (303506EU)</t>
  </si>
  <si>
    <t>Rukavice operační latex s pudrem sterilní ansell, vasco surgical powderet vel. 6,5 6035518 (303503)</t>
  </si>
  <si>
    <t>Rukavice operační latex s pudrem sterilní ansell, vasco surgical powderet vel. 7 6035526 (303504EU)</t>
  </si>
  <si>
    <t>Rukavice operační latex s pudrem sterilní ansell, vasco surgical powderet vel. 7,5 6035534</t>
  </si>
  <si>
    <t>Rukavice operační latex s pudrem sterilní ansell, vasco surgical powderet vel. 8 6035542 (303506EU)</t>
  </si>
  <si>
    <t>ZP948</t>
  </si>
  <si>
    <t>Rukavice vyĹˇetĹ™ovacĂ­ nitril basic bez pudru modrĂ© L bal. Ăˇ 200 ks 44752</t>
  </si>
  <si>
    <t>ZP947</t>
  </si>
  <si>
    <t>Rukavice vyĹˇetĹ™ovacĂ­ nitril basic bez pudru modrĂ© M bal. Ăˇ 200 ks 44751</t>
  </si>
  <si>
    <t>Rukavice vyšetřovací nitril basic bez pudru modré L bal. á 200 ks 44752</t>
  </si>
  <si>
    <t>Rukavice vyšetřovací nitril basic bez pudru modré M bal. á 200 ks 44751</t>
  </si>
  <si>
    <t>50115089</t>
  </si>
  <si>
    <t>ZPr - katetry PICC/MIDLINE (Z554)</t>
  </si>
  <si>
    <t>ZM985</t>
  </si>
  <si>
    <t>Fixace k CVC a PICC atraumatická GripLock bal. á 100 ks 3601CVC</t>
  </si>
  <si>
    <t>Spotřeba zdravotnického materiálu - orientační přehled</t>
  </si>
  <si>
    <t>Specializovaná ambulantní péče</t>
  </si>
  <si>
    <t>101 - Pracoviště interního lékařství</t>
  </si>
  <si>
    <t>Zdravotní výkony vykázané na pracovišti v rámci ambulantní péče *</t>
  </si>
  <si>
    <t>beze jména</t>
  </si>
  <si>
    <t>se jménem</t>
  </si>
  <si>
    <t>* Legenda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</si>
  <si>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</si>
  <si>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</si>
  <si>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Aiglová Květoslava</t>
  </si>
  <si>
    <t>Bawadekjiová Diana</t>
  </si>
  <si>
    <t>Berka Zdeněk</t>
  </si>
  <si>
    <t>Daniš Lukáš</t>
  </si>
  <si>
    <t>Gregar Jan</t>
  </si>
  <si>
    <t>Jelínková Andrea</t>
  </si>
  <si>
    <t>Konečný Michal</t>
  </si>
  <si>
    <t>Navrátil Vít</t>
  </si>
  <si>
    <t>Procházka Vlastimil</t>
  </si>
  <si>
    <t>Sovová Markéta</t>
  </si>
  <si>
    <t>Sychra Pavel</t>
  </si>
  <si>
    <t>Špatenková Veronika</t>
  </si>
  <si>
    <t>Vrzalová Drahomíra</t>
  </si>
  <si>
    <t>Zborovjanová Veronika</t>
  </si>
  <si>
    <t>Zdravotní výkony vykázané na pracovišti v rámci ambulantní péče dle lékařů *</t>
  </si>
  <si>
    <t>06</t>
  </si>
  <si>
    <t>101</t>
  </si>
  <si>
    <t>1</t>
  </si>
  <si>
    <t>0000498</t>
  </si>
  <si>
    <t>MAGNESIUM SULFURICUM BIOTIKA</t>
  </si>
  <si>
    <t>0002486</t>
  </si>
  <si>
    <t>KALIUM CHLORATUM LÉČIVA 7,5%</t>
  </si>
  <si>
    <t>0007981</t>
  </si>
  <si>
    <t>NOVALGIN</t>
  </si>
  <si>
    <t>0072972</t>
  </si>
  <si>
    <t>AMOKSIKLAV 1,2 G</t>
  </si>
  <si>
    <t>0107291</t>
  </si>
  <si>
    <t>0,9% SODIUM CHLORIDE IN WATER FOR INJECTION FRESEN</t>
  </si>
  <si>
    <t>0107295</t>
  </si>
  <si>
    <t>0107298</t>
  </si>
  <si>
    <t>0155379</t>
  </si>
  <si>
    <t>FERINJECT</t>
  </si>
  <si>
    <t>0018304</t>
  </si>
  <si>
    <t>RINGERFUNDIN B.BRAUN</t>
  </si>
  <si>
    <t>0098902</t>
  </si>
  <si>
    <t>GLUKÓZA 5% VIAFLO</t>
  </si>
  <si>
    <t>0214427</t>
  </si>
  <si>
    <t>CONTROLOC I.V.</t>
  </si>
  <si>
    <t>0222376</t>
  </si>
  <si>
    <t>MAVIRET</t>
  </si>
  <si>
    <t>V</t>
  </si>
  <si>
    <t>09220</t>
  </si>
  <si>
    <t>KANYLACE PERIFERNÍ ŽÍLY VČETNĚ INFÚZE</t>
  </si>
  <si>
    <t>09511</t>
  </si>
  <si>
    <t>MINIMÁLNÍ KONTAKT LÉKAŘE S PACIENTEM</t>
  </si>
  <si>
    <t>99991</t>
  </si>
  <si>
    <t>(VZP) KÓD POUZE PRO CENTRA DLE VYHL. 368/2006 - SL</t>
  </si>
  <si>
    <t>11022</t>
  </si>
  <si>
    <t>CÍLENÉ VYŠETŘENÍ INTERNISTOU</t>
  </si>
  <si>
    <t>09543</t>
  </si>
  <si>
    <t>Signalni kod</t>
  </si>
  <si>
    <t>09119</t>
  </si>
  <si>
    <t xml:space="preserve">ODBĚR KRVE ZE ŽÍLY U DOSPĚLÉHO NEBO DÍTĚTE NAD 10 </t>
  </si>
  <si>
    <t>11111</t>
  </si>
  <si>
    <t>EKG VYŠETŘENÍ INTERNISTOU</t>
  </si>
  <si>
    <t>11023</t>
  </si>
  <si>
    <t>KONTROLNÍ VYŠETŘENÍ INTERNISTOU</t>
  </si>
  <si>
    <t>09115</t>
  </si>
  <si>
    <t>ODBĚR BIOLOGICKÉHO MATERIÁLU JINÉHO NEŽ KREV NA KV</t>
  </si>
  <si>
    <t>11513</t>
  </si>
  <si>
    <t>PUMPOU APLIKOVANÁ ENTERÁLNÍ VÝŽIVA PROVÁDĚNÁ VE VL</t>
  </si>
  <si>
    <t>11511</t>
  </si>
  <si>
    <t>PARENTERÁLNÍ VÝŽIVA PROVÁDĚNÁ VE VLASTNÍM SOCIÁLNÍ</t>
  </si>
  <si>
    <t>11512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</si>
  <si>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</si>
  <si>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</si>
  <si>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01 - 1IK: I. Interní klinika - kardiologická</t>
  </si>
  <si>
    <t>02 - 2IK-GER: II. Interní klinika gastroenter. a geria.</t>
  </si>
  <si>
    <t>03 - 3IK: III. Interní klinika-nefrol.revm.a endokrin.</t>
  </si>
  <si>
    <t>04 - 1CHIR: I. Chirurgická klinika</t>
  </si>
  <si>
    <t>07 - KARIM: Klinika anesteziologie,resuscit. a int.med.</t>
  </si>
  <si>
    <t>13 - ORL: Klinika otorinolaryngolog. a chir.hlav.a krku</t>
  </si>
  <si>
    <t>16 - PLIC: Klinika plicních nemocí a tuber.</t>
  </si>
  <si>
    <t>17 - NEUR: Neurologická klinika</t>
  </si>
  <si>
    <t>21 - ONK: Onkologická klinika</t>
  </si>
  <si>
    <t>59 - IPCHO: Oddělení int. péče chirurg. oborů</t>
  </si>
  <si>
    <t>01</t>
  </si>
  <si>
    <t>02</t>
  </si>
  <si>
    <t>03</t>
  </si>
  <si>
    <t>04</t>
  </si>
  <si>
    <t>07</t>
  </si>
  <si>
    <t>13</t>
  </si>
  <si>
    <t>16</t>
  </si>
  <si>
    <t>17</t>
  </si>
  <si>
    <t>21</t>
  </si>
  <si>
    <t>59</t>
  </si>
  <si>
    <t>11021</t>
  </si>
  <si>
    <t>KOMPLEXNÍ VYŠETŘENÍ INTERNISTOU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</si>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</sst>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2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</numFmts>
  <fonts count="6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11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97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476">
    <xf numFmtId="0" fontId="0" fillId="0" borderId="0" xfId="0"/>
    <xf numFmtId="0" fontId="27" fillId="2" borderId="17" xfId="80" applyFont="1" applyFill="1" applyBorder="1"/>
    <xf numFmtId="0" fontId="28" fillId="2" borderId="18" xfId="80" applyFont="1" applyFill="1" applyBorder="1"/>
    <xf numFmtId="3" fontId="28" fillId="2" borderId="19" xfId="80" applyNumberFormat="1" applyFont="1" applyFill="1" applyBorder="1"/>
    <xf numFmtId="0" fontId="28" fillId="4" borderId="18" xfId="80" applyFont="1" applyFill="1" applyBorder="1"/>
    <xf numFmtId="3" fontId="28" fillId="4" borderId="19" xfId="80" applyNumberFormat="1" applyFont="1" applyFill="1" applyBorder="1"/>
    <xf numFmtId="171" fontId="28" fillId="3" borderId="19" xfId="80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4" xfId="80" applyNumberFormat="1" applyFont="1" applyFill="1" applyBorder="1"/>
    <xf numFmtId="3" fontId="27" fillId="5" borderId="8" xfId="80" applyNumberFormat="1" applyFont="1" applyFill="1" applyBorder="1"/>
    <xf numFmtId="3" fontId="27" fillId="5" borderId="12" xfId="80" applyNumberFormat="1" applyFont="1" applyFill="1" applyBorder="1"/>
    <xf numFmtId="0" fontId="27" fillId="5" borderId="0" xfId="80" applyFont="1" applyFill="1"/>
    <xf numFmtId="10" fontId="27" fillId="5" borderId="0" xfId="80" applyNumberFormat="1" applyFont="1" applyFill="1"/>
    <xf numFmtId="0" fontId="37" fillId="2" borderId="33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6" fillId="2" borderId="34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7" fillId="2" borderId="8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 wrapText="1"/>
    </xf>
    <xf numFmtId="0" fontId="38" fillId="2" borderId="23" xfId="0" applyFont="1" applyFill="1" applyBorder="1" applyAlignment="1">
      <alignment horizontal="center" vertical="center" wrapText="1"/>
    </xf>
    <xf numFmtId="0" fontId="36" fillId="2" borderId="23" xfId="0" applyFont="1" applyFill="1" applyBorder="1" applyAlignment="1">
      <alignment horizontal="center" vertical="center" wrapText="1"/>
    </xf>
    <xf numFmtId="3" fontId="27" fillId="5" borderId="4" xfId="80" applyNumberFormat="1" applyFont="1" applyFill="1" applyBorder="1"/>
    <xf numFmtId="3" fontId="27" fillId="5" borderId="29" xfId="80" applyNumberFormat="1" applyFont="1" applyFill="1" applyBorder="1"/>
    <xf numFmtId="3" fontId="27" fillId="5" borderId="25" xfId="80" applyNumberFormat="1" applyFont="1" applyFill="1" applyBorder="1"/>
    <xf numFmtId="3" fontId="27" fillId="5" borderId="9" xfId="80" applyNumberFormat="1" applyFont="1" applyFill="1" applyBorder="1"/>
    <xf numFmtId="3" fontId="27" fillId="5" borderId="10" xfId="80" applyNumberFormat="1" applyFont="1" applyFill="1" applyBorder="1"/>
    <xf numFmtId="3" fontId="27" fillId="5" borderId="13" xfId="80" applyNumberFormat="1" applyFont="1" applyFill="1" applyBorder="1"/>
    <xf numFmtId="3" fontId="27" fillId="5" borderId="14" xfId="80" applyNumberFormat="1" applyFont="1" applyFill="1" applyBorder="1"/>
    <xf numFmtId="3" fontId="28" fillId="2" borderId="27" xfId="80" applyNumberFormat="1" applyFont="1" applyFill="1" applyBorder="1"/>
    <xf numFmtId="3" fontId="28" fillId="2" borderId="20" xfId="80" applyNumberFormat="1" applyFont="1" applyFill="1" applyBorder="1"/>
    <xf numFmtId="3" fontId="28" fillId="4" borderId="27" xfId="80" applyNumberFormat="1" applyFont="1" applyFill="1" applyBorder="1"/>
    <xf numFmtId="3" fontId="28" fillId="4" borderId="20" xfId="80" applyNumberFormat="1" applyFont="1" applyFill="1" applyBorder="1"/>
    <xf numFmtId="171" fontId="28" fillId="3" borderId="27" xfId="80" applyNumberFormat="1" applyFont="1" applyFill="1" applyBorder="1"/>
    <xf numFmtId="171" fontId="28" fillId="3" borderId="20" xfId="80" applyNumberFormat="1" applyFont="1" applyFill="1" applyBorder="1"/>
    <xf numFmtId="0" fontId="31" fillId="2" borderId="25" xfId="80" applyFont="1" applyFill="1" applyBorder="1" applyAlignment="1">
      <alignment horizontal="center"/>
    </xf>
    <xf numFmtId="0" fontId="32" fillId="0" borderId="36" xfId="0" applyFont="1" applyFill="1" applyBorder="1" applyAlignment="1"/>
    <xf numFmtId="0" fontId="41" fillId="0" borderId="0" xfId="0" applyFont="1" applyFill="1" applyBorder="1" applyAlignment="1"/>
    <xf numFmtId="3" fontId="33" fillId="0" borderId="7" xfId="0" applyNumberFormat="1" applyFont="1" applyFill="1" applyBorder="1" applyAlignment="1">
      <alignment horizontal="right" vertical="top"/>
    </xf>
    <xf numFmtId="3" fontId="33" fillId="0" borderId="5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3" fillId="0" borderId="11" xfId="0" applyNumberFormat="1" applyFont="1" applyFill="1" applyBorder="1" applyAlignment="1">
      <alignment horizontal="right" vertical="top"/>
    </xf>
    <xf numFmtId="3" fontId="33" fillId="0" borderId="9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3" fillId="0" borderId="32" xfId="0" applyNumberFormat="1" applyFont="1" applyFill="1" applyBorder="1" applyAlignment="1">
      <alignment horizontal="right" vertical="top"/>
    </xf>
    <xf numFmtId="3" fontId="33" fillId="0" borderId="23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0" fontId="6" fillId="0" borderId="0" xfId="81" applyFont="1" applyFill="1"/>
    <xf numFmtId="0" fontId="8" fillId="0" borderId="36" xfId="81" applyFont="1" applyFill="1" applyBorder="1" applyAlignment="1"/>
    <xf numFmtId="0" fontId="29" fillId="0" borderId="0" xfId="49" applyFont="1" applyFill="1"/>
    <xf numFmtId="164" fontId="3" fillId="0" borderId="57" xfId="53" applyNumberFormat="1" applyFont="1" applyFill="1" applyBorder="1"/>
    <xf numFmtId="9" fontId="3" fillId="0" borderId="57" xfId="53" applyNumberFormat="1" applyFont="1" applyFill="1" applyBorder="1"/>
    <xf numFmtId="0" fontId="32" fillId="0" borderId="30" xfId="0" applyFont="1" applyFill="1" applyBorder="1" applyAlignment="1"/>
    <xf numFmtId="0" fontId="32" fillId="0" borderId="31" xfId="0" applyFont="1" applyFill="1" applyBorder="1" applyAlignment="1"/>
    <xf numFmtId="0" fontId="32" fillId="0" borderId="52" xfId="0" applyFont="1" applyFill="1" applyBorder="1" applyAlignment="1"/>
    <xf numFmtId="0" fontId="3" fillId="2" borderId="55" xfId="53" applyFont="1" applyFill="1" applyBorder="1" applyAlignment="1">
      <alignment horizontal="right"/>
    </xf>
    <xf numFmtId="0" fontId="32" fillId="0" borderId="25" xfId="0" applyFont="1" applyBorder="1" applyAlignment="1"/>
    <xf numFmtId="0" fontId="32" fillId="5" borderId="6" xfId="0" applyFont="1" applyFill="1" applyBorder="1"/>
    <xf numFmtId="0" fontId="32" fillId="5" borderId="10" xfId="0" applyFont="1" applyFill="1" applyBorder="1"/>
    <xf numFmtId="0" fontId="32" fillId="5" borderId="22" xfId="0" applyFont="1" applyFill="1" applyBorder="1"/>
    <xf numFmtId="0" fontId="32" fillId="5" borderId="36" xfId="0" applyFont="1" applyFill="1" applyBorder="1"/>
    <xf numFmtId="0" fontId="32" fillId="5" borderId="44" xfId="0" applyFont="1" applyFill="1" applyBorder="1"/>
    <xf numFmtId="9" fontId="34" fillId="0" borderId="6" xfId="0" applyNumberFormat="1" applyFont="1" applyFill="1" applyBorder="1" applyAlignment="1">
      <alignment horizontal="right" vertical="top"/>
    </xf>
    <xf numFmtId="9" fontId="34" fillId="0" borderId="10" xfId="0" applyNumberFormat="1" applyFont="1" applyFill="1" applyBorder="1" applyAlignment="1">
      <alignment horizontal="right" vertical="top"/>
    </xf>
    <xf numFmtId="9" fontId="36" fillId="0" borderId="10" xfId="0" applyNumberFormat="1" applyFont="1" applyFill="1" applyBorder="1" applyAlignment="1">
      <alignment horizontal="right" vertical="top"/>
    </xf>
    <xf numFmtId="9" fontId="34" fillId="0" borderId="22" xfId="0" applyNumberFormat="1" applyFont="1" applyFill="1" applyBorder="1" applyAlignment="1">
      <alignment horizontal="right" vertical="top"/>
    </xf>
    <xf numFmtId="3" fontId="31" fillId="0" borderId="29" xfId="53" applyNumberFormat="1" applyFont="1" applyFill="1" applyBorder="1"/>
    <xf numFmtId="3" fontId="31" fillId="0" borderId="25" xfId="53" applyNumberFormat="1" applyFont="1" applyFill="1" applyBorder="1"/>
    <xf numFmtId="0" fontId="31" fillId="2" borderId="44" xfId="0" applyFont="1" applyFill="1" applyBorder="1" applyAlignment="1">
      <alignment horizontal="center"/>
    </xf>
    <xf numFmtId="3" fontId="3" fillId="0" borderId="56" xfId="53" applyNumberFormat="1" applyFont="1" applyFill="1" applyBorder="1"/>
    <xf numFmtId="3" fontId="3" fillId="0" borderId="57" xfId="53" applyNumberFormat="1" applyFont="1" applyFill="1" applyBorder="1"/>
    <xf numFmtId="3" fontId="3" fillId="0" borderId="58" xfId="53" applyNumberFormat="1" applyFont="1" applyFill="1" applyBorder="1"/>
    <xf numFmtId="0" fontId="31" fillId="2" borderId="44" xfId="0" applyNumberFormat="1" applyFont="1" applyFill="1" applyBorder="1" applyAlignment="1">
      <alignment horizontal="center"/>
    </xf>
    <xf numFmtId="169" fontId="32" fillId="0" borderId="0" xfId="0" applyNumberFormat="1" applyFont="1" applyFill="1"/>
    <xf numFmtId="0" fontId="31" fillId="2" borderId="40" xfId="74" applyFont="1" applyFill="1" applyBorder="1" applyAlignment="1">
      <alignment horizontal="center"/>
    </xf>
    <xf numFmtId="0" fontId="27" fillId="5" borderId="36" xfId="80" applyFont="1" applyFill="1" applyBorder="1"/>
    <xf numFmtId="0" fontId="31" fillId="2" borderId="23" xfId="80" applyFont="1" applyFill="1" applyBorder="1" applyAlignment="1">
      <alignment horizontal="center"/>
    </xf>
    <xf numFmtId="0" fontId="31" fillId="2" borderId="22" xfId="80" applyFont="1" applyFill="1" applyBorder="1" applyAlignment="1">
      <alignment horizontal="center"/>
    </xf>
    <xf numFmtId="0" fontId="32" fillId="0" borderId="0" xfId="0" applyFont="1" applyFill="1" applyBorder="1" applyAlignment="1"/>
    <xf numFmtId="0" fontId="46" fillId="2" borderId="17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2" fillId="0" borderId="29" xfId="0" applyNumberFormat="1" applyFont="1" applyFill="1" applyBorder="1"/>
    <xf numFmtId="3" fontId="32" fillId="0" borderId="24" xfId="0" applyNumberFormat="1" applyFont="1" applyFill="1" applyBorder="1"/>
    <xf numFmtId="3" fontId="32" fillId="0" borderId="8" xfId="0" applyNumberFormat="1" applyFont="1" applyFill="1" applyBorder="1"/>
    <xf numFmtId="3" fontId="32" fillId="0" borderId="9" xfId="0" applyNumberFormat="1" applyFont="1" applyFill="1" applyBorder="1"/>
    <xf numFmtId="3" fontId="32" fillId="0" borderId="12" xfId="0" applyNumberFormat="1" applyFont="1" applyFill="1" applyBorder="1"/>
    <xf numFmtId="3" fontId="32" fillId="0" borderId="13" xfId="0" applyNumberFormat="1" applyFont="1" applyFill="1" applyBorder="1"/>
    <xf numFmtId="9" fontId="32" fillId="0" borderId="25" xfId="0" applyNumberFormat="1" applyFont="1" applyFill="1" applyBorder="1"/>
    <xf numFmtId="9" fontId="32" fillId="0" borderId="10" xfId="0" applyNumberFormat="1" applyFont="1" applyFill="1" applyBorder="1"/>
    <xf numFmtId="9" fontId="32" fillId="0" borderId="14" xfId="0" applyNumberFormat="1" applyFont="1" applyFill="1" applyBorder="1"/>
    <xf numFmtId="9" fontId="28" fillId="2" borderId="20" xfId="80" applyNumberFormat="1" applyFont="1" applyFill="1" applyBorder="1"/>
    <xf numFmtId="9" fontId="28" fillId="4" borderId="20" xfId="80" applyNumberFormat="1" applyFont="1" applyFill="1" applyBorder="1"/>
    <xf numFmtId="9" fontId="28" fillId="3" borderId="20" xfId="80" applyNumberFormat="1" applyFont="1" applyFill="1" applyBorder="1"/>
    <xf numFmtId="0" fontId="31" fillId="2" borderId="21" xfId="80" applyFont="1" applyFill="1" applyBorder="1" applyAlignment="1">
      <alignment horizontal="center"/>
    </xf>
    <xf numFmtId="0" fontId="32" fillId="0" borderId="0" xfId="0" applyFont="1" applyFill="1"/>
    <xf numFmtId="0" fontId="32" fillId="0" borderId="44" xfId="0" applyFont="1" applyFill="1" applyBorder="1" applyAlignment="1"/>
    <xf numFmtId="0" fontId="32" fillId="0" borderId="0" xfId="0" applyFont="1" applyFill="1" applyAlignment="1"/>
    <xf numFmtId="0" fontId="46" fillId="4" borderId="33" xfId="1" applyFont="1" applyFill="1" applyBorder="1"/>
    <xf numFmtId="0" fontId="46" fillId="4" borderId="17" xfId="1" applyFont="1" applyFill="1" applyBorder="1"/>
    <xf numFmtId="0" fontId="46" fillId="3" borderId="18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164" fontId="31" fillId="2" borderId="24" xfId="53" applyNumberFormat="1" applyFont="1" applyFill="1" applyBorder="1" applyAlignment="1">
      <alignment horizontal="right"/>
    </xf>
    <xf numFmtId="0" fontId="46" fillId="3" borderId="8" xfId="1" applyFont="1" applyFill="1" applyBorder="1"/>
    <xf numFmtId="0" fontId="46" fillId="3" borderId="4" xfId="1" applyFont="1" applyFill="1" applyBorder="1"/>
    <xf numFmtId="0" fontId="46" fillId="6" borderId="4" xfId="1" applyFont="1" applyFill="1" applyBorder="1"/>
    <xf numFmtId="0" fontId="46" fillId="6" borderId="50" xfId="1" applyFont="1" applyFill="1" applyBorder="1"/>
    <xf numFmtId="0" fontId="46" fillId="2" borderId="4" xfId="1" applyFont="1" applyFill="1" applyBorder="1"/>
    <xf numFmtId="0" fontId="46" fillId="4" borderId="4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7" xfId="0" applyNumberFormat="1" applyFont="1" applyFill="1" applyBorder="1"/>
    <xf numFmtId="3" fontId="39" fillId="2" borderId="48" xfId="0" applyNumberFormat="1" applyFont="1" applyFill="1" applyBorder="1"/>
    <xf numFmtId="9" fontId="39" fillId="2" borderId="51" xfId="0" applyNumberFormat="1" applyFont="1" applyFill="1" applyBorder="1"/>
    <xf numFmtId="0" fontId="50" fillId="2" borderId="18" xfId="1" applyFont="1" applyFill="1" applyBorder="1" applyAlignment="1"/>
    <xf numFmtId="0" fontId="32" fillId="2" borderId="28" xfId="0" applyFont="1" applyFill="1" applyBorder="1" applyAlignment="1"/>
    <xf numFmtId="3" fontId="32" fillId="2" borderId="27" xfId="0" applyNumberFormat="1" applyFont="1" applyFill="1" applyBorder="1" applyAlignment="1"/>
    <xf numFmtId="9" fontId="32" fillId="2" borderId="20" xfId="0" applyNumberFormat="1" applyFont="1" applyFill="1" applyBorder="1" applyAlignment="1"/>
    <xf numFmtId="0" fontId="39" fillId="2" borderId="49" xfId="0" applyFont="1" applyFill="1" applyBorder="1" applyAlignment="1"/>
    <xf numFmtId="0" fontId="32" fillId="0" borderId="7" xfId="0" applyFont="1" applyBorder="1" applyAlignment="1"/>
    <xf numFmtId="3" fontId="32" fillId="0" borderId="5" xfId="0" applyNumberFormat="1" applyFont="1" applyBorder="1" applyAlignment="1"/>
    <xf numFmtId="9" fontId="32" fillId="0" borderId="10" xfId="0" applyNumberFormat="1" applyFont="1" applyBorder="1" applyAlignment="1"/>
    <xf numFmtId="0" fontId="29" fillId="2" borderId="34" xfId="1" applyFont="1" applyFill="1" applyBorder="1" applyAlignment="1">
      <alignment horizontal="left" indent="2"/>
    </xf>
    <xf numFmtId="0" fontId="32" fillId="0" borderId="11" xfId="0" applyFont="1" applyBorder="1" applyAlignment="1"/>
    <xf numFmtId="3" fontId="32" fillId="0" borderId="9" xfId="0" applyNumberFormat="1" applyFont="1" applyBorder="1" applyAlignment="1"/>
    <xf numFmtId="9" fontId="32" fillId="0" borderId="9" xfId="0" applyNumberFormat="1" applyFont="1" applyBorder="1" applyAlignment="1"/>
    <xf numFmtId="0" fontId="32" fillId="2" borderId="34" xfId="0" applyFont="1" applyFill="1" applyBorder="1" applyAlignment="1">
      <alignment horizontal="left" indent="2"/>
    </xf>
    <xf numFmtId="0" fontId="31" fillId="2" borderId="34" xfId="1" applyFont="1" applyFill="1" applyBorder="1" applyAlignment="1"/>
    <xf numFmtId="0" fontId="46" fillId="2" borderId="34" xfId="1" applyFont="1" applyFill="1" applyBorder="1" applyAlignment="1">
      <alignment horizontal="left" indent="2"/>
    </xf>
    <xf numFmtId="0" fontId="50" fillId="2" borderId="34" xfId="1" applyFont="1" applyFill="1" applyBorder="1" applyAlignment="1"/>
    <xf numFmtId="0" fontId="32" fillId="0" borderId="32" xfId="0" applyFont="1" applyBorder="1" applyAlignment="1"/>
    <xf numFmtId="3" fontId="32" fillId="0" borderId="23" xfId="0" applyNumberFormat="1" applyFont="1" applyBorder="1" applyAlignment="1"/>
    <xf numFmtId="9" fontId="32" fillId="0" borderId="22" xfId="0" applyNumberFormat="1" applyFont="1" applyBorder="1" applyAlignment="1"/>
    <xf numFmtId="0" fontId="39" fillId="0" borderId="36" xfId="0" applyFont="1" applyFill="1" applyBorder="1" applyAlignment="1">
      <alignment horizontal="left" indent="2"/>
    </xf>
    <xf numFmtId="0" fontId="32" fillId="0" borderId="36" xfId="0" applyFont="1" applyBorder="1" applyAlignment="1"/>
    <xf numFmtId="3" fontId="32" fillId="0" borderId="36" xfId="0" applyNumberFormat="1" applyFont="1" applyBorder="1" applyAlignment="1"/>
    <xf numFmtId="9" fontId="32" fillId="0" borderId="36" xfId="0" applyNumberFormat="1" applyFont="1" applyBorder="1" applyAlignment="1"/>
    <xf numFmtId="0" fontId="50" fillId="4" borderId="18" xfId="1" applyFont="1" applyFill="1" applyBorder="1" applyAlignment="1">
      <alignment horizontal="left"/>
    </xf>
    <xf numFmtId="0" fontId="32" fillId="4" borderId="28" xfId="0" applyFont="1" applyFill="1" applyBorder="1" applyAlignment="1"/>
    <xf numFmtId="3" fontId="32" fillId="4" borderId="27" xfId="0" applyNumberFormat="1" applyFont="1" applyFill="1" applyBorder="1" applyAlignment="1"/>
    <xf numFmtId="9" fontId="32" fillId="4" borderId="20" xfId="0" applyNumberFormat="1" applyFont="1" applyFill="1" applyBorder="1" applyAlignment="1"/>
    <xf numFmtId="0" fontId="50" fillId="4" borderId="49" xfId="1" applyFont="1" applyFill="1" applyBorder="1" applyAlignment="1">
      <alignment horizontal="left"/>
    </xf>
    <xf numFmtId="0" fontId="46" fillId="4" borderId="34" xfId="1" applyFont="1" applyFill="1" applyBorder="1" applyAlignment="1">
      <alignment horizontal="left" indent="2"/>
    </xf>
    <xf numFmtId="0" fontId="50" fillId="4" borderId="34" xfId="1" applyFont="1" applyFill="1" applyBorder="1" applyAlignment="1">
      <alignment horizontal="left"/>
    </xf>
    <xf numFmtId="0" fontId="32" fillId="4" borderId="35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4" xfId="0" applyNumberFormat="1" applyFont="1" applyBorder="1" applyAlignment="1"/>
    <xf numFmtId="0" fontId="39" fillId="3" borderId="18" xfId="0" applyFont="1" applyFill="1" applyBorder="1" applyAlignment="1"/>
    <xf numFmtId="0" fontId="32" fillId="3" borderId="28" xfId="0" applyFont="1" applyFill="1" applyBorder="1" applyAlignment="1"/>
    <xf numFmtId="3" fontId="32" fillId="3" borderId="27" xfId="0" applyNumberFormat="1" applyFont="1" applyFill="1" applyBorder="1" applyAlignment="1"/>
    <xf numFmtId="9" fontId="32" fillId="3" borderId="20" xfId="0" applyNumberFormat="1" applyFont="1" applyFill="1" applyBorder="1" applyAlignment="1"/>
    <xf numFmtId="0" fontId="40" fillId="0" borderId="0" xfId="0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1" fontId="41" fillId="0" borderId="0" xfId="0" applyNumberFormat="1" applyFont="1" applyFill="1"/>
    <xf numFmtId="172" fontId="41" fillId="0" borderId="0" xfId="0" applyNumberFormat="1" applyFont="1" applyFill="1"/>
    <xf numFmtId="3" fontId="41" fillId="0" borderId="0" xfId="0" applyNumberFormat="1" applyFont="1" applyFill="1"/>
    <xf numFmtId="0" fontId="7" fillId="0" borderId="0" xfId="80" applyFont="1" applyFill="1"/>
    <xf numFmtId="0" fontId="51" fillId="0" borderId="36" xfId="80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0" fontId="39" fillId="2" borderId="26" xfId="0" applyFont="1" applyFill="1" applyBorder="1" applyAlignment="1">
      <alignment horizontal="right"/>
    </xf>
    <xf numFmtId="169" fontId="39" fillId="0" borderId="19" xfId="0" applyNumberFormat="1" applyFont="1" applyFill="1" applyBorder="1" applyAlignment="1"/>
    <xf numFmtId="169" fontId="39" fillId="0" borderId="27" xfId="0" applyNumberFormat="1" applyFont="1" applyFill="1" applyBorder="1" applyAlignment="1"/>
    <xf numFmtId="9" fontId="39" fillId="0" borderId="20" xfId="0" applyNumberFormat="1" applyFont="1" applyFill="1" applyBorder="1" applyAlignment="1"/>
    <xf numFmtId="169" fontId="39" fillId="0" borderId="28" xfId="0" applyNumberFormat="1" applyFont="1" applyFill="1" applyBorder="1" applyAlignment="1"/>
    <xf numFmtId="9" fontId="39" fillId="0" borderId="46" xfId="0" applyNumberFormat="1" applyFont="1" applyFill="1" applyBorder="1" applyAlignment="1"/>
    <xf numFmtId="169" fontId="32" fillId="0" borderId="0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44" xfId="0" applyNumberFormat="1" applyFont="1" applyFill="1" applyBorder="1" applyAlignment="1"/>
    <xf numFmtId="9" fontId="32" fillId="0" borderId="44" xfId="0" applyNumberFormat="1" applyFont="1" applyFill="1" applyBorder="1" applyAlignment="1"/>
    <xf numFmtId="3" fontId="32" fillId="0" borderId="0" xfId="0" applyNumberFormat="1" applyFont="1" applyFill="1" applyBorder="1" applyAlignment="1"/>
    <xf numFmtId="3" fontId="0" fillId="0" borderId="0" xfId="0" applyNumberFormat="1"/>
    <xf numFmtId="0" fontId="53" fillId="0" borderId="0" xfId="1" applyFont="1" applyFill="1"/>
    <xf numFmtId="3" fontId="52" fillId="0" borderId="0" xfId="26" applyNumberFormat="1" applyFont="1" applyFill="1" applyBorder="1" applyAlignment="1"/>
    <xf numFmtId="0" fontId="56" fillId="0" borderId="0" xfId="0" applyFont="1" applyAlignment="1">
      <alignment horizontal="left" vertical="center" indent="1"/>
    </xf>
    <xf numFmtId="0" fontId="56" fillId="0" borderId="0" xfId="0" applyFont="1" applyAlignment="1">
      <alignment vertical="center"/>
    </xf>
    <xf numFmtId="0" fontId="0" fillId="0" borderId="0" xfId="0" applyAlignment="1"/>
    <xf numFmtId="0" fontId="57" fillId="0" borderId="0" xfId="0" applyFont="1"/>
    <xf numFmtId="0" fontId="31" fillId="2" borderId="82" xfId="74" applyFont="1" applyFill="1" applyBorder="1" applyAlignment="1">
      <alignment horizontal="center"/>
    </xf>
    <xf numFmtId="0" fontId="31" fillId="2" borderId="65" xfId="80" applyFont="1" applyFill="1" applyBorder="1" applyAlignment="1">
      <alignment horizontal="center"/>
    </xf>
    <xf numFmtId="0" fontId="31" fillId="2" borderId="66" xfId="80" applyFont="1" applyFill="1" applyBorder="1" applyAlignment="1">
      <alignment horizontal="center"/>
    </xf>
    <xf numFmtId="0" fontId="31" fillId="2" borderId="67" xfId="80" applyFont="1" applyFill="1" applyBorder="1" applyAlignment="1">
      <alignment horizontal="center"/>
    </xf>
    <xf numFmtId="0" fontId="31" fillId="2" borderId="68" xfId="80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29" fillId="5" borderId="0" xfId="74" applyFont="1" applyFill="1" applyAlignment="1">
      <alignment horizontal="center"/>
    </xf>
    <xf numFmtId="9" fontId="32" fillId="0" borderId="72" xfId="0" applyNumberFormat="1" applyFont="1" applyBorder="1" applyAlignment="1"/>
    <xf numFmtId="0" fontId="25" fillId="2" borderId="34" xfId="1" applyFill="1" applyBorder="1" applyAlignment="1">
      <alignment horizontal="left" indent="4"/>
    </xf>
    <xf numFmtId="3" fontId="39" fillId="0" borderId="19" xfId="0" applyNumberFormat="1" applyFont="1" applyFill="1" applyBorder="1" applyAlignment="1"/>
    <xf numFmtId="3" fontId="39" fillId="0" borderId="27" xfId="0" applyNumberFormat="1" applyFont="1" applyFill="1" applyBorder="1" applyAlignment="1"/>
    <xf numFmtId="169" fontId="39" fillId="0" borderId="20" xfId="0" applyNumberFormat="1" applyFont="1" applyFill="1" applyBorder="1" applyAlignment="1"/>
    <xf numFmtId="49" fontId="37" fillId="2" borderId="72" xfId="0" quotePrefix="1" applyNumberFormat="1" applyFont="1" applyFill="1" applyBorder="1" applyAlignment="1">
      <alignment horizontal="center" vertical="center"/>
    </xf>
    <xf numFmtId="0" fontId="25" fillId="4" borderId="70" xfId="1" applyFill="1" applyBorder="1" applyAlignment="1">
      <alignment horizontal="left" indent="4"/>
    </xf>
    <xf numFmtId="0" fontId="25" fillId="4" borderId="34" xfId="1" applyFill="1" applyBorder="1" applyAlignment="1">
      <alignment horizontal="left" indent="2"/>
    </xf>
    <xf numFmtId="0" fontId="32" fillId="0" borderId="71" xfId="0" applyFont="1" applyBorder="1"/>
    <xf numFmtId="0" fontId="31" fillId="2" borderId="61" xfId="0" applyFont="1" applyFill="1" applyBorder="1" applyAlignment="1">
      <alignment horizontal="center" vertical="top" wrapText="1"/>
    </xf>
    <xf numFmtId="0" fontId="25" fillId="6" borderId="4" xfId="1" applyFill="1" applyBorder="1"/>
    <xf numFmtId="0" fontId="31" fillId="2" borderId="38" xfId="80" applyFont="1" applyFill="1" applyBorder="1" applyAlignment="1">
      <alignment horizontal="center"/>
    </xf>
    <xf numFmtId="0" fontId="31" fillId="2" borderId="39" xfId="80" applyFont="1" applyFill="1" applyBorder="1" applyAlignment="1">
      <alignment horizontal="center"/>
    </xf>
    <xf numFmtId="0" fontId="6" fillId="0" borderId="3" xfId="78" applyFont="1" applyFill="1" applyBorder="1" applyAlignment="1"/>
    <xf numFmtId="3" fontId="39" fillId="0" borderId="20" xfId="0" applyNumberFormat="1" applyFont="1" applyFill="1" applyBorder="1" applyAlignment="1"/>
    <xf numFmtId="0" fontId="39" fillId="2" borderId="18" xfId="0" applyFont="1" applyFill="1" applyBorder="1" applyAlignment="1">
      <alignment horizontal="right"/>
    </xf>
    <xf numFmtId="9" fontId="0" fillId="0" borderId="0" xfId="0" applyNumberFormat="1"/>
    <xf numFmtId="168" fontId="0" fillId="0" borderId="0" xfId="0" applyNumberFormat="1"/>
    <xf numFmtId="0" fontId="48" fillId="0" borderId="0" xfId="0" applyFont="1" applyFill="1" applyAlignment="1">
      <alignment horizontal="left" indent="2"/>
    </xf>
    <xf numFmtId="176" fontId="39" fillId="0" borderId="15" xfId="0" applyNumberFormat="1" applyFont="1" applyBorder="1" applyAlignment="1">
      <alignment vertical="center"/>
    </xf>
    <xf numFmtId="173" fontId="39" fillId="0" borderId="31" xfId="0" applyNumberFormat="1" applyFont="1" applyBorder="1" applyAlignment="1">
      <alignment vertical="center"/>
    </xf>
    <xf numFmtId="173" fontId="32" fillId="0" borderId="16" xfId="0" applyNumberFormat="1" applyFont="1" applyBorder="1" applyAlignment="1">
      <alignment vertical="center"/>
    </xf>
    <xf numFmtId="173" fontId="32" fillId="0" borderId="0" xfId="0" applyNumberFormat="1" applyFont="1" applyBorder="1" applyAlignment="1">
      <alignment vertical="center"/>
    </xf>
    <xf numFmtId="173" fontId="32" fillId="0" borderId="15" xfId="0" applyNumberFormat="1" applyFont="1" applyBorder="1" applyAlignment="1">
      <alignment vertical="center"/>
    </xf>
    <xf numFmtId="174" fontId="32" fillId="0" borderId="0" xfId="0" applyNumberFormat="1" applyFont="1" applyBorder="1" applyAlignment="1">
      <alignment vertical="center"/>
    </xf>
    <xf numFmtId="0" fontId="54" fillId="0" borderId="16" xfId="0" applyFont="1" applyFill="1" applyBorder="1" applyAlignment="1">
      <alignment horizontal="left" vertical="center"/>
    </xf>
    <xf numFmtId="0" fontId="39" fillId="2" borderId="0" xfId="0" applyFont="1" applyFill="1" applyBorder="1" applyAlignment="1">
      <alignment horizontal="center" vertical="center"/>
    </xf>
    <xf numFmtId="173" fontId="32" fillId="0" borderId="0" xfId="0" applyNumberFormat="1" applyFont="1" applyBorder="1" applyAlignment="1">
      <alignment horizontal="right" vertical="center"/>
    </xf>
    <xf numFmtId="175" fontId="32" fillId="0" borderId="0" xfId="0" applyNumberFormat="1" applyFont="1" applyBorder="1" applyAlignment="1">
      <alignment horizontal="right" vertical="center"/>
    </xf>
    <xf numFmtId="3" fontId="39" fillId="0" borderId="54" xfId="0" applyNumberFormat="1" applyFont="1" applyBorder="1" applyAlignment="1">
      <alignment horizontal="right" vertical="center"/>
    </xf>
    <xf numFmtId="9" fontId="39" fillId="0" borderId="87" xfId="0" applyNumberFormat="1" applyFont="1" applyBorder="1" applyAlignment="1">
      <alignment horizontal="right" vertical="center"/>
    </xf>
    <xf numFmtId="173" fontId="39" fillId="0" borderId="87" xfId="0" applyNumberFormat="1" applyFont="1" applyBorder="1" applyAlignment="1">
      <alignment horizontal="right" vertical="center"/>
    </xf>
    <xf numFmtId="173" fontId="39" fillId="0" borderId="60" xfId="0" applyNumberFormat="1" applyFont="1" applyBorder="1" applyAlignment="1">
      <alignment horizontal="right" vertical="center"/>
    </xf>
    <xf numFmtId="173" fontId="39" fillId="0" borderId="61" xfId="0" applyNumberFormat="1" applyFont="1" applyBorder="1" applyAlignment="1">
      <alignment vertical="center"/>
    </xf>
    <xf numFmtId="173" fontId="39" fillId="0" borderId="88" xfId="0" applyNumberFormat="1" applyFont="1" applyBorder="1" applyAlignment="1">
      <alignment vertical="center"/>
    </xf>
    <xf numFmtId="173" fontId="39" fillId="0" borderId="87" xfId="0" applyNumberFormat="1" applyFont="1" applyBorder="1" applyAlignment="1">
      <alignment vertical="center"/>
    </xf>
    <xf numFmtId="173" fontId="39" fillId="0" borderId="60" xfId="0" applyNumberFormat="1" applyFont="1" applyBorder="1" applyAlignment="1">
      <alignment vertical="center"/>
    </xf>
    <xf numFmtId="173" fontId="39" fillId="0" borderId="89" xfId="0" applyNumberFormat="1" applyFont="1" applyBorder="1" applyAlignment="1">
      <alignment vertical="center"/>
    </xf>
    <xf numFmtId="174" fontId="39" fillId="0" borderId="90" xfId="0" applyNumberFormat="1" applyFont="1" applyBorder="1" applyAlignment="1">
      <alignment vertical="center"/>
    </xf>
    <xf numFmtId="174" fontId="39" fillId="0" borderId="87" xfId="0" applyNumberFormat="1" applyFont="1" applyBorder="1" applyAlignment="1">
      <alignment vertical="center"/>
    </xf>
    <xf numFmtId="174" fontId="39" fillId="0" borderId="60" xfId="0" applyNumberFormat="1" applyFont="1" applyBorder="1" applyAlignment="1">
      <alignment vertical="center"/>
    </xf>
    <xf numFmtId="168" fontId="39" fillId="0" borderId="83" xfId="0" applyNumberFormat="1" applyFont="1" applyBorder="1" applyAlignment="1">
      <alignment vertical="center"/>
    </xf>
    <xf numFmtId="0" fontId="32" fillId="0" borderId="88" xfId="0" applyFont="1" applyBorder="1" applyAlignment="1">
      <alignment horizontal="center" vertical="center"/>
    </xf>
    <xf numFmtId="166" fontId="39" fillId="2" borderId="60" xfId="0" applyNumberFormat="1" applyFont="1" applyFill="1" applyBorder="1" applyAlignment="1">
      <alignment horizontal="center" vertical="center"/>
    </xf>
    <xf numFmtId="173" fontId="39" fillId="0" borderId="68" xfId="0" applyNumberFormat="1" applyFont="1" applyBorder="1" applyAlignment="1">
      <alignment horizontal="right" vertical="center"/>
    </xf>
    <xf numFmtId="175" fontId="39" fillId="0" borderId="67" xfId="0" applyNumberFormat="1" applyFont="1" applyBorder="1" applyAlignment="1">
      <alignment horizontal="right" vertical="center"/>
    </xf>
    <xf numFmtId="173" fontId="39" fillId="0" borderId="67" xfId="0" applyNumberFormat="1" applyFont="1" applyBorder="1" applyAlignment="1">
      <alignment horizontal="right" vertical="center"/>
    </xf>
    <xf numFmtId="173" fontId="39" fillId="0" borderId="68" xfId="0" applyNumberFormat="1" applyFont="1" applyBorder="1" applyAlignment="1">
      <alignment vertical="center"/>
    </xf>
    <xf numFmtId="173" fontId="39" fillId="0" borderId="67" xfId="0" applyNumberFormat="1" applyFont="1" applyBorder="1" applyAlignment="1">
      <alignment vertical="center"/>
    </xf>
    <xf numFmtId="173" fontId="39" fillId="0" borderId="66" xfId="0" applyNumberFormat="1" applyFont="1" applyBorder="1" applyAlignment="1">
      <alignment vertical="center"/>
    </xf>
    <xf numFmtId="176" fontId="39" fillId="0" borderId="66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4" fillId="7" borderId="72" xfId="0" quotePrefix="1" applyFont="1" applyFill="1" applyBorder="1" applyAlignment="1">
      <alignment horizontal="center" vertical="center" wrapText="1"/>
    </xf>
    <xf numFmtId="0" fontId="40" fillId="7" borderId="72" xfId="0" quotePrefix="1" applyFont="1" applyFill="1" applyBorder="1" applyAlignment="1">
      <alignment horizontal="center" vertical="center" wrapText="1"/>
    </xf>
    <xf numFmtId="0" fontId="40" fillId="7" borderId="71" xfId="0" quotePrefix="1" applyFont="1" applyFill="1" applyBorder="1" applyAlignment="1">
      <alignment horizontal="center" vertical="center" wrapText="1"/>
    </xf>
    <xf numFmtId="0" fontId="39" fillId="3" borderId="26" xfId="0" applyFont="1" applyFill="1" applyBorder="1" applyAlignment="1"/>
    <xf numFmtId="0" fontId="32" fillId="0" borderId="37" xfId="0" applyFont="1" applyBorder="1" applyAlignment="1"/>
    <xf numFmtId="0" fontId="39" fillId="2" borderId="26" xfId="0" applyFont="1" applyFill="1" applyBorder="1" applyAlignment="1"/>
    <xf numFmtId="0" fontId="39" fillId="4" borderId="26" xfId="0" applyFont="1" applyFill="1" applyBorder="1" applyAlignment="1"/>
    <xf numFmtId="0" fontId="42" fillId="0" borderId="2" xfId="0" applyFont="1" applyFill="1" applyBorder="1" applyAlignment="1"/>
    <xf numFmtId="0" fontId="42" fillId="0" borderId="2" xfId="0" applyFont="1" applyBorder="1" applyAlignment="1"/>
    <xf numFmtId="0" fontId="30" fillId="5" borderId="16" xfId="80" applyFont="1" applyFill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31" fillId="2" borderId="42" xfId="80" applyFont="1" applyFill="1" applyBorder="1" applyAlignment="1">
      <alignment horizontal="center"/>
    </xf>
    <xf numFmtId="0" fontId="31" fillId="2" borderId="43" xfId="80" applyFont="1" applyFill="1" applyBorder="1" applyAlignment="1">
      <alignment horizontal="center"/>
    </xf>
    <xf numFmtId="0" fontId="31" fillId="2" borderId="40" xfId="80" applyFont="1" applyFill="1" applyBorder="1" applyAlignment="1">
      <alignment horizontal="center"/>
    </xf>
    <xf numFmtId="0" fontId="31" fillId="2" borderId="59" xfId="80" applyFont="1" applyFill="1" applyBorder="1" applyAlignment="1">
      <alignment horizontal="center"/>
    </xf>
    <xf numFmtId="0" fontId="31" fillId="2" borderId="41" xfId="80" applyFont="1" applyFill="1" applyBorder="1" applyAlignment="1">
      <alignment horizontal="center"/>
    </xf>
    <xf numFmtId="0" fontId="31" fillId="2" borderId="82" xfId="80" applyFont="1" applyFill="1" applyBorder="1" applyAlignment="1">
      <alignment horizontal="center"/>
    </xf>
    <xf numFmtId="0" fontId="31" fillId="2" borderId="69" xfId="80" applyFont="1" applyFill="1" applyBorder="1" applyAlignment="1">
      <alignment horizontal="center"/>
    </xf>
    <xf numFmtId="0" fontId="42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8" fillId="2" borderId="24" xfId="0" applyFont="1" applyFill="1" applyBorder="1" applyAlignment="1">
      <alignment horizontal="center"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5" fillId="0" borderId="2" xfId="0" applyFont="1" applyFill="1" applyBorder="1" applyAlignment="1"/>
    <xf numFmtId="0" fontId="32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38" fillId="2" borderId="2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1" fillId="2" borderId="80" xfId="80" applyFont="1" applyFill="1" applyBorder="1" applyAlignment="1">
      <alignment horizontal="center"/>
    </xf>
    <xf numFmtId="0" fontId="31" fillId="2" borderId="81" xfId="80" applyFont="1" applyFill="1" applyBorder="1" applyAlignment="1">
      <alignment horizontal="center"/>
    </xf>
    <xf numFmtId="0" fontId="31" fillId="2" borderId="77" xfId="80" applyFont="1" applyFill="1" applyBorder="1" applyAlignment="1">
      <alignment horizontal="center"/>
    </xf>
    <xf numFmtId="0" fontId="2" fillId="0" borderId="2" xfId="14" applyFont="1" applyFill="1" applyBorder="1" applyAlignment="1"/>
    <xf numFmtId="0" fontId="42" fillId="0" borderId="2" xfId="14" applyFont="1" applyFill="1" applyBorder="1" applyAlignment="1"/>
    <xf numFmtId="0" fontId="0" fillId="0" borderId="2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43" fillId="0" borderId="2" xfId="14" applyNumberFormat="1" applyFont="1" applyFill="1" applyBorder="1" applyAlignment="1"/>
    <xf numFmtId="166" fontId="39" fillId="2" borderId="66" xfId="0" applyNumberFormat="1" applyFont="1" applyFill="1" applyBorder="1" applyAlignment="1">
      <alignment horizontal="center" vertical="center"/>
    </xf>
    <xf numFmtId="0" fontId="32" fillId="0" borderId="91" xfId="0" applyFont="1" applyBorder="1" applyAlignment="1">
      <alignment horizontal="center" vertical="center"/>
    </xf>
    <xf numFmtId="0" fontId="54" fillId="4" borderId="84" xfId="0" applyFont="1" applyFill="1" applyBorder="1" applyAlignment="1">
      <alignment horizontal="center" vertical="center" wrapText="1"/>
    </xf>
    <xf numFmtId="0" fontId="54" fillId="4" borderId="92" xfId="0" applyFont="1" applyFill="1" applyBorder="1" applyAlignment="1">
      <alignment horizontal="center" vertical="center" wrapText="1"/>
    </xf>
    <xf numFmtId="0" fontId="54" fillId="4" borderId="75" xfId="0" applyFont="1" applyFill="1" applyBorder="1" applyAlignment="1">
      <alignment horizontal="center" vertical="center" wrapText="1"/>
    </xf>
    <xf numFmtId="0" fontId="54" fillId="4" borderId="85" xfId="0" applyFont="1" applyFill="1" applyBorder="1" applyAlignment="1">
      <alignment horizontal="center" vertical="center" wrapText="1"/>
    </xf>
    <xf numFmtId="0" fontId="54" fillId="4" borderId="76" xfId="0" applyFont="1" applyFill="1" applyBorder="1" applyAlignment="1">
      <alignment horizontal="center" vertical="center" wrapText="1"/>
    </xf>
    <xf numFmtId="0" fontId="54" fillId="4" borderId="86" xfId="0" applyFont="1" applyFill="1" applyBorder="1" applyAlignment="1">
      <alignment horizontal="center" vertical="center" wrapText="1"/>
    </xf>
    <xf numFmtId="0" fontId="39" fillId="4" borderId="1" xfId="0" applyFont="1" applyFill="1" applyBorder="1" applyAlignment="1">
      <alignment horizontal="center" vertical="center" wrapText="1"/>
    </xf>
    <xf numFmtId="0" fontId="39" fillId="4" borderId="3" xfId="0" applyFont="1" applyFill="1" applyBorder="1" applyAlignment="1">
      <alignment horizontal="center" vertical="center" wrapText="1"/>
    </xf>
    <xf numFmtId="168" fontId="54" fillId="2" borderId="84" xfId="0" applyNumberFormat="1" applyFont="1" applyFill="1" applyBorder="1" applyAlignment="1">
      <alignment horizontal="center" vertical="center" wrapText="1"/>
    </xf>
    <xf numFmtId="168" fontId="54" fillId="2" borderId="92" xfId="0" applyNumberFormat="1" applyFont="1" applyFill="1" applyBorder="1" applyAlignment="1">
      <alignment horizontal="center" vertical="center" wrapText="1"/>
    </xf>
    <xf numFmtId="0" fontId="54" fillId="2" borderId="75" xfId="0" applyFont="1" applyFill="1" applyBorder="1" applyAlignment="1">
      <alignment horizontal="center" vertical="center" wrapText="1"/>
    </xf>
    <xf numFmtId="0" fontId="54" fillId="2" borderId="85" xfId="0" applyFont="1" applyFill="1" applyBorder="1" applyAlignment="1">
      <alignment horizontal="center" vertical="center" wrapText="1"/>
    </xf>
    <xf numFmtId="0" fontId="54" fillId="2" borderId="76" xfId="0" applyFont="1" applyFill="1" applyBorder="1" applyAlignment="1">
      <alignment horizontal="center" vertical="center" wrapText="1"/>
    </xf>
    <xf numFmtId="0" fontId="54" fillId="2" borderId="86" xfId="0" applyFont="1" applyFill="1" applyBorder="1" applyAlignment="1">
      <alignment horizontal="center" vertical="center" wrapText="1"/>
    </xf>
    <xf numFmtId="0" fontId="2" fillId="0" borderId="2" xfId="26" applyFont="1" applyFill="1" applyBorder="1" applyAlignment="1"/>
    <xf numFmtId="3" fontId="54" fillId="4" borderId="75" xfId="0" applyNumberFormat="1" applyFont="1" applyFill="1" applyBorder="1" applyAlignment="1">
      <alignment horizontal="center" vertical="center"/>
    </xf>
    <xf numFmtId="3" fontId="54" fillId="4" borderId="85" xfId="0" applyNumberFormat="1" applyFont="1" applyFill="1" applyBorder="1" applyAlignment="1">
      <alignment horizontal="center" vertical="center"/>
    </xf>
    <xf numFmtId="9" fontId="54" fillId="4" borderId="75" xfId="0" applyNumberFormat="1" applyFont="1" applyFill="1" applyBorder="1" applyAlignment="1">
      <alignment horizontal="center" vertical="center"/>
    </xf>
    <xf numFmtId="9" fontId="54" fillId="4" borderId="85" xfId="0" applyNumberFormat="1" applyFont="1" applyFill="1" applyBorder="1" applyAlignment="1">
      <alignment horizontal="center" vertical="center"/>
    </xf>
    <xf numFmtId="3" fontId="54" fillId="4" borderId="76" xfId="0" applyNumberFormat="1" applyFont="1" applyFill="1" applyBorder="1" applyAlignment="1">
      <alignment horizontal="center" vertical="center" wrapText="1"/>
    </xf>
    <xf numFmtId="3" fontId="54" fillId="4" borderId="86" xfId="0" applyNumberFormat="1" applyFont="1" applyFill="1" applyBorder="1" applyAlignment="1">
      <alignment horizontal="center" vertical="center" wrapText="1"/>
    </xf>
    <xf numFmtId="0" fontId="39" fillId="2" borderId="93" xfId="0" applyFont="1" applyFill="1" applyBorder="1" applyAlignment="1">
      <alignment horizontal="center" vertical="center" wrapText="1"/>
    </xf>
    <xf numFmtId="0" fontId="39" fillId="2" borderId="78" xfId="0" applyFont="1" applyFill="1" applyBorder="1" applyAlignment="1">
      <alignment horizontal="center" vertical="center" wrapText="1"/>
    </xf>
    <xf numFmtId="0" fontId="54" fillId="7" borderId="95" xfId="0" applyFont="1" applyFill="1" applyBorder="1" applyAlignment="1">
      <alignment horizontal="center"/>
    </xf>
    <xf numFmtId="0" fontId="54" fillId="7" borderId="94" xfId="0" applyFont="1" applyFill="1" applyBorder="1" applyAlignment="1">
      <alignment horizontal="center"/>
    </xf>
    <xf numFmtId="0" fontId="54" fillId="7" borderId="74" xfId="0" applyFont="1" applyFill="1" applyBorder="1" applyAlignment="1">
      <alignment horizontal="center"/>
    </xf>
    <xf numFmtId="0" fontId="39" fillId="4" borderId="83" xfId="0" applyFont="1" applyFill="1" applyBorder="1" applyAlignment="1">
      <alignment horizontal="center" vertical="center" wrapText="1"/>
    </xf>
    <xf numFmtId="0" fontId="39" fillId="4" borderId="62" xfId="0" applyFont="1" applyFill="1" applyBorder="1" applyAlignment="1">
      <alignment horizontal="center" vertical="center" wrapText="1"/>
    </xf>
    <xf numFmtId="0" fontId="58" fillId="2" borderId="40" xfId="0" applyFont="1" applyFill="1" applyBorder="1" applyAlignment="1">
      <alignment horizontal="center"/>
    </xf>
    <xf numFmtId="0" fontId="58" fillId="2" borderId="80" xfId="0" applyFont="1" applyFill="1" applyBorder="1" applyAlignment="1">
      <alignment horizontal="center"/>
    </xf>
    <xf numFmtId="0" fontId="58" fillId="2" borderId="69" xfId="0" applyFont="1" applyFill="1" applyBorder="1" applyAlignment="1">
      <alignment horizontal="center"/>
    </xf>
    <xf numFmtId="0" fontId="58" fillId="4" borderId="24" xfId="0" applyFont="1" applyFill="1" applyBorder="1" applyAlignment="1">
      <alignment horizontal="center"/>
    </xf>
    <xf numFmtId="0" fontId="58" fillId="4" borderId="64" xfId="0" applyFont="1" applyFill="1" applyBorder="1" applyAlignment="1">
      <alignment horizontal="center"/>
    </xf>
    <xf numFmtId="0" fontId="58" fillId="4" borderId="65" xfId="0" applyFont="1" applyFill="1" applyBorder="1" applyAlignment="1">
      <alignment horizontal="center"/>
    </xf>
    <xf numFmtId="0" fontId="58" fillId="2" borderId="24" xfId="0" applyFont="1" applyFill="1" applyBorder="1" applyAlignment="1">
      <alignment horizontal="center"/>
    </xf>
    <xf numFmtId="0" fontId="58" fillId="2" borderId="64" xfId="0" applyFont="1" applyFill="1" applyBorder="1" applyAlignment="1">
      <alignment horizontal="center"/>
    </xf>
    <xf numFmtId="0" fontId="58" fillId="2" borderId="65" xfId="0" applyFont="1" applyFill="1" applyBorder="1" applyAlignment="1">
      <alignment horizontal="center"/>
    </xf>
    <xf numFmtId="0" fontId="2" fillId="0" borderId="2" xfId="0" applyFont="1" applyFill="1" applyBorder="1" applyAlignment="1">
      <alignment wrapText="1"/>
    </xf>
    <xf numFmtId="0" fontId="39" fillId="2" borderId="51" xfId="0" applyFont="1" applyFill="1" applyBorder="1" applyAlignment="1">
      <alignment vertical="center"/>
    </xf>
    <xf numFmtId="3" fontId="31" fillId="2" borderId="53" xfId="26" applyNumberFormat="1" applyFont="1" applyFill="1" applyBorder="1" applyAlignment="1">
      <alignment horizontal="center"/>
    </xf>
    <xf numFmtId="3" fontId="31" fillId="2" borderId="44" xfId="26" applyNumberFormat="1" applyFont="1" applyFill="1" applyBorder="1" applyAlignment="1">
      <alignment horizontal="center"/>
    </xf>
    <xf numFmtId="3" fontId="31" fillId="2" borderId="79" xfId="26" applyNumberFormat="1" applyFont="1" applyFill="1" applyBorder="1" applyAlignment="1">
      <alignment horizontal="center"/>
    </xf>
    <xf numFmtId="3" fontId="31" fillId="2" borderId="45" xfId="26" applyNumberFormat="1" applyFont="1" applyFill="1" applyBorder="1" applyAlignment="1">
      <alignment horizontal="center"/>
    </xf>
    <xf numFmtId="3" fontId="31" fillId="2" borderId="83" xfId="26" applyNumberFormat="1" applyFont="1" applyFill="1" applyBorder="1" applyAlignment="1">
      <alignment horizontal="center"/>
    </xf>
    <xf numFmtId="3" fontId="31" fillId="2" borderId="62" xfId="26" applyNumberFormat="1" applyFont="1" applyFill="1" applyBorder="1" applyAlignment="1">
      <alignment horizontal="center"/>
    </xf>
    <xf numFmtId="0" fontId="31" fillId="2" borderId="30" xfId="0" applyFont="1" applyFill="1" applyBorder="1" applyAlignment="1">
      <alignment horizontal="center" vertical="top" wrapText="1"/>
    </xf>
    <xf numFmtId="3" fontId="31" fillId="2" borderId="45" xfId="0" applyNumberFormat="1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center"/>
    </xf>
    <xf numFmtId="0" fontId="31" fillId="2" borderId="53" xfId="0" quotePrefix="1" applyFont="1" applyFill="1" applyBorder="1" applyAlignment="1">
      <alignment horizontal="center"/>
    </xf>
    <xf numFmtId="0" fontId="31" fillId="2" borderId="45" xfId="0" applyFont="1" applyFill="1" applyBorder="1" applyAlignment="1">
      <alignment horizontal="center"/>
    </xf>
    <xf numFmtId="9" fontId="44" fillId="2" borderId="45" xfId="0" applyNumberFormat="1" applyFont="1" applyFill="1" applyBorder="1" applyAlignment="1">
      <alignment horizontal="center" vertical="top"/>
    </xf>
    <xf numFmtId="0" fontId="31" fillId="2" borderId="61" xfId="0" applyNumberFormat="1" applyFont="1" applyFill="1" applyBorder="1" applyAlignment="1">
      <alignment horizontal="center" vertical="top"/>
    </xf>
    <xf numFmtId="0" fontId="31" fillId="2" borderId="61" xfId="0" applyFont="1" applyFill="1" applyBorder="1" applyAlignment="1">
      <alignment horizontal="center" vertical="top" wrapText="1"/>
    </xf>
    <xf numFmtId="0" fontId="31" fillId="2" borderId="53" xfId="0" quotePrefix="1" applyNumberFormat="1" applyFont="1" applyFill="1" applyBorder="1" applyAlignment="1">
      <alignment horizontal="center"/>
    </xf>
    <xf numFmtId="0" fontId="31" fillId="2" borderId="45" xfId="0" applyNumberFormat="1" applyFont="1" applyFill="1" applyBorder="1" applyAlignment="1">
      <alignment horizontal="center"/>
    </xf>
    <xf numFmtId="49" fontId="31" fillId="2" borderId="30" xfId="0" applyNumberFormat="1" applyFont="1" applyFill="1" applyBorder="1" applyAlignment="1">
      <alignment horizontal="center" vertical="top"/>
    </xf>
    <xf numFmtId="0" fontId="44" fillId="2" borderId="45" xfId="0" applyNumberFormat="1" applyFont="1" applyFill="1" applyBorder="1" applyAlignment="1">
      <alignment horizontal="center" vertical="top"/>
    </xf>
    <xf numFmtId="3" fontId="33" fillId="8" borderId="97" xfId="0" applyNumberFormat="1" applyFont="1" applyFill="1" applyBorder="1" applyAlignment="1">
      <alignment horizontal="right" vertical="top"/>
    </xf>
    <xf numFmtId="3" fontId="33" fillId="8" borderId="98" xfId="0" applyNumberFormat="1" applyFont="1" applyFill="1" applyBorder="1" applyAlignment="1">
      <alignment horizontal="right" vertical="top"/>
    </xf>
    <xf numFmtId="177" fontId="33" fillId="8" borderId="99" xfId="0" applyNumberFormat="1" applyFont="1" applyFill="1" applyBorder="1" applyAlignment="1">
      <alignment horizontal="right" vertical="top"/>
    </xf>
    <xf numFmtId="3" fontId="33" fillId="0" borderId="97" xfId="0" applyNumberFormat="1" applyFont="1" applyBorder="1" applyAlignment="1">
      <alignment horizontal="right" vertical="top"/>
    </xf>
    <xf numFmtId="177" fontId="33" fillId="8" borderId="100" xfId="0" applyNumberFormat="1" applyFont="1" applyFill="1" applyBorder="1" applyAlignment="1">
      <alignment horizontal="right" vertical="top"/>
    </xf>
    <xf numFmtId="3" fontId="35" fillId="8" borderId="102" xfId="0" applyNumberFormat="1" applyFont="1" applyFill="1" applyBorder="1" applyAlignment="1">
      <alignment horizontal="right" vertical="top"/>
    </xf>
    <xf numFmtId="3" fontId="35" fillId="8" borderId="103" xfId="0" applyNumberFormat="1" applyFont="1" applyFill="1" applyBorder="1" applyAlignment="1">
      <alignment horizontal="right" vertical="top"/>
    </xf>
    <xf numFmtId="0" fontId="35" fillId="8" borderId="104" xfId="0" applyFont="1" applyFill="1" applyBorder="1" applyAlignment="1">
      <alignment horizontal="right" vertical="top"/>
    </xf>
    <xf numFmtId="3" fontId="35" fillId="0" borderId="102" xfId="0" applyNumberFormat="1" applyFont="1" applyBorder="1" applyAlignment="1">
      <alignment horizontal="right" vertical="top"/>
    </xf>
    <xf numFmtId="0" fontId="35" fillId="8" borderId="105" xfId="0" applyFont="1" applyFill="1" applyBorder="1" applyAlignment="1">
      <alignment horizontal="right" vertical="top"/>
    </xf>
    <xf numFmtId="0" fontId="33" fillId="8" borderId="99" xfId="0" applyFont="1" applyFill="1" applyBorder="1" applyAlignment="1">
      <alignment horizontal="right" vertical="top"/>
    </xf>
    <xf numFmtId="0" fontId="33" fillId="8" borderId="100" xfId="0" applyFont="1" applyFill="1" applyBorder="1" applyAlignment="1">
      <alignment horizontal="right" vertical="top"/>
    </xf>
    <xf numFmtId="177" fontId="35" fillId="8" borderId="104" xfId="0" applyNumberFormat="1" applyFont="1" applyFill="1" applyBorder="1" applyAlignment="1">
      <alignment horizontal="right" vertical="top"/>
    </xf>
    <xf numFmtId="177" fontId="35" fillId="8" borderId="105" xfId="0" applyNumberFormat="1" applyFont="1" applyFill="1" applyBorder="1" applyAlignment="1">
      <alignment horizontal="right" vertical="top"/>
    </xf>
    <xf numFmtId="3" fontId="35" fillId="0" borderId="106" xfId="0" applyNumberFormat="1" applyFont="1" applyBorder="1" applyAlignment="1">
      <alignment horizontal="right" vertical="top"/>
    </xf>
    <xf numFmtId="3" fontId="35" fillId="0" borderId="107" xfId="0" applyNumberFormat="1" applyFont="1" applyBorder="1" applyAlignment="1">
      <alignment horizontal="right" vertical="top"/>
    </xf>
    <xf numFmtId="0" fontId="35" fillId="0" borderId="108" xfId="0" applyFont="1" applyBorder="1" applyAlignment="1">
      <alignment horizontal="right" vertical="top"/>
    </xf>
    <xf numFmtId="177" fontId="35" fillId="8" borderId="109" xfId="0" applyNumberFormat="1" applyFont="1" applyFill="1" applyBorder="1" applyAlignment="1">
      <alignment horizontal="right" vertical="top"/>
    </xf>
    <xf numFmtId="0" fontId="37" fillId="9" borderId="96" xfId="0" applyFont="1" applyFill="1" applyBorder="1" applyAlignment="1">
      <alignment vertical="top"/>
    </xf>
    <xf numFmtId="0" fontId="37" fillId="9" borderId="96" xfId="0" applyFont="1" applyFill="1" applyBorder="1" applyAlignment="1">
      <alignment vertical="top" indent="2"/>
    </xf>
    <xf numFmtId="0" fontId="37" fillId="9" borderId="96" xfId="0" applyFont="1" applyFill="1" applyBorder="1" applyAlignment="1">
      <alignment vertical="top" indent="4"/>
    </xf>
    <xf numFmtId="0" fontId="38" fillId="9" borderId="101" xfId="0" applyFont="1" applyFill="1" applyBorder="1" applyAlignment="1">
      <alignment vertical="top" indent="6"/>
    </xf>
    <xf numFmtId="0" fontId="37" fillId="9" borderId="96" xfId="0" applyFont="1" applyFill="1" applyBorder="1" applyAlignment="1">
      <alignment vertical="top" indent="8"/>
    </xf>
    <xf numFmtId="0" fontId="38" fillId="9" borderId="101" xfId="0" applyFont="1" applyFill="1" applyBorder="1" applyAlignment="1">
      <alignment vertical="top" indent="2"/>
    </xf>
    <xf numFmtId="0" fontId="37" fillId="9" borderId="96" xfId="0" applyFont="1" applyFill="1" applyBorder="1" applyAlignment="1">
      <alignment vertical="top" indent="6"/>
    </xf>
    <xf numFmtId="0" fontId="38" fillId="9" borderId="101" xfId="0" applyFont="1" applyFill="1" applyBorder="1" applyAlignment="1">
      <alignment vertical="top" indent="4"/>
    </xf>
    <xf numFmtId="0" fontId="32" fillId="9" borderId="96" xfId="0" applyFont="1" applyFill="1" applyBorder="1"/>
    <xf numFmtId="0" fontId="38" fillId="9" borderId="18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89" xfId="53" applyNumberFormat="1" applyFont="1" applyFill="1" applyBorder="1" applyAlignment="1">
      <alignment horizontal="left"/>
    </xf>
    <xf numFmtId="164" fontId="31" fillId="2" borderId="110" xfId="53" applyNumberFormat="1" applyFont="1" applyFill="1" applyBorder="1" applyAlignment="1">
      <alignment horizontal="left"/>
    </xf>
    <xf numFmtId="164" fontId="31" fillId="2" borderId="87" xfId="53" applyNumberFormat="1" applyFont="1" applyFill="1" applyBorder="1" applyAlignment="1">
      <alignment horizontal="left"/>
    </xf>
    <xf numFmtId="3" fontId="31" fillId="2" borderId="87" xfId="53" applyNumberFormat="1" applyFont="1" applyFill="1" applyBorder="1" applyAlignment="1">
      <alignment horizontal="left"/>
    </xf>
    <xf numFmtId="3" fontId="31" fillId="2" borderId="54" xfId="53" applyNumberFormat="1" applyFont="1" applyFill="1" applyBorder="1" applyAlignment="1">
      <alignment horizontal="left"/>
    </xf>
    <xf numFmtId="0" fontId="32" fillId="0" borderId="63" xfId="0" applyFont="1" applyFill="1" applyBorder="1"/>
    <xf numFmtId="0" fontId="32" fillId="0" borderId="64" xfId="0" applyFont="1" applyFill="1" applyBorder="1"/>
    <xf numFmtId="164" fontId="32" fillId="0" borderId="64" xfId="0" applyNumberFormat="1" applyFont="1" applyFill="1" applyBorder="1"/>
    <xf numFmtId="164" fontId="32" fillId="0" borderId="64" xfId="0" applyNumberFormat="1" applyFont="1" applyFill="1" applyBorder="1" applyAlignment="1">
      <alignment horizontal="right"/>
    </xf>
    <xf numFmtId="3" fontId="32" fillId="0" borderId="64" xfId="0" applyNumberFormat="1" applyFont="1" applyFill="1" applyBorder="1"/>
    <xf numFmtId="3" fontId="32" fillId="0" borderId="65" xfId="0" applyNumberFormat="1" applyFont="1" applyFill="1" applyBorder="1"/>
    <xf numFmtId="0" fontId="32" fillId="0" borderId="71" xfId="0" applyFont="1" applyFill="1" applyBorder="1"/>
    <xf numFmtId="0" fontId="32" fillId="0" borderId="72" xfId="0" applyFont="1" applyFill="1" applyBorder="1"/>
    <xf numFmtId="164" fontId="32" fillId="0" borderId="72" xfId="0" applyNumberFormat="1" applyFont="1" applyFill="1" applyBorder="1"/>
    <xf numFmtId="164" fontId="32" fillId="0" borderId="72" xfId="0" applyNumberFormat="1" applyFont="1" applyFill="1" applyBorder="1" applyAlignment="1">
      <alignment horizontal="right"/>
    </xf>
    <xf numFmtId="3" fontId="32" fillId="0" borderId="72" xfId="0" applyNumberFormat="1" applyFont="1" applyFill="1" applyBorder="1"/>
    <xf numFmtId="3" fontId="32" fillId="0" borderId="73" xfId="0" applyNumberFormat="1" applyFont="1" applyFill="1" applyBorder="1"/>
    <xf numFmtId="0" fontId="32" fillId="0" borderId="66" xfId="0" applyFont="1" applyFill="1" applyBorder="1"/>
    <xf numFmtId="0" fontId="32" fillId="0" borderId="67" xfId="0" applyFont="1" applyFill="1" applyBorder="1"/>
    <xf numFmtId="164" fontId="32" fillId="0" borderId="67" xfId="0" applyNumberFormat="1" applyFont="1" applyFill="1" applyBorder="1"/>
    <xf numFmtId="164" fontId="32" fillId="0" borderId="67" xfId="0" applyNumberFormat="1" applyFont="1" applyFill="1" applyBorder="1" applyAlignment="1">
      <alignment horizontal="right"/>
    </xf>
    <xf numFmtId="3" fontId="32" fillId="0" borderId="67" xfId="0" applyNumberFormat="1" applyFont="1" applyFill="1" applyBorder="1"/>
    <xf numFmtId="3" fontId="32" fillId="0" borderId="68" xfId="0" applyNumberFormat="1" applyFont="1" applyFill="1" applyBorder="1"/>
    <xf numFmtId="0" fontId="32" fillId="2" borderId="54" xfId="0" applyFont="1" applyFill="1" applyBorder="1" applyAlignment="1">
      <alignment vertical="center"/>
    </xf>
    <xf numFmtId="0" fontId="31" fillId="2" borderId="15" xfId="26" applyNumberFormat="1" applyFont="1" applyFill="1" applyBorder="1"/>
    <xf numFmtId="0" fontId="31" fillId="2" borderId="0" xfId="26" applyNumberFormat="1" applyFont="1" applyFill="1" applyBorder="1"/>
    <xf numFmtId="9" fontId="31" fillId="2" borderId="0" xfId="26" quotePrefix="1" applyNumberFormat="1" applyFont="1" applyFill="1" applyBorder="1" applyAlignment="1">
      <alignment horizontal="right"/>
    </xf>
    <xf numFmtId="9" fontId="31" fillId="2" borderId="16" xfId="26" applyNumberFormat="1" applyFont="1" applyFill="1" applyBorder="1" applyAlignment="1">
      <alignment horizontal="right"/>
    </xf>
    <xf numFmtId="0" fontId="58" fillId="4" borderId="63" xfId="0" applyFont="1" applyFill="1" applyBorder="1" applyAlignment="1">
      <alignment horizontal="left"/>
    </xf>
    <xf numFmtId="169" fontId="58" fillId="4" borderId="64" xfId="0" applyNumberFormat="1" applyFont="1" applyFill="1" applyBorder="1"/>
    <xf numFmtId="9" fontId="58" fillId="4" borderId="64" xfId="0" applyNumberFormat="1" applyFont="1" applyFill="1" applyBorder="1"/>
    <xf numFmtId="9" fontId="58" fillId="4" borderId="65" xfId="0" applyNumberFormat="1" applyFont="1" applyFill="1" applyBorder="1"/>
    <xf numFmtId="169" fontId="0" fillId="0" borderId="67" xfId="0" applyNumberFormat="1" applyBorder="1"/>
    <xf numFmtId="9" fontId="0" fillId="0" borderId="67" xfId="0" applyNumberFormat="1" applyBorder="1"/>
    <xf numFmtId="9" fontId="0" fillId="0" borderId="68" xfId="0" applyNumberFormat="1" applyBorder="1"/>
    <xf numFmtId="0" fontId="58" fillId="0" borderId="66" xfId="0" applyFont="1" applyBorder="1" applyAlignment="1">
      <alignment horizontal="left" indent="1"/>
    </xf>
    <xf numFmtId="169" fontId="0" fillId="0" borderId="72" xfId="0" applyNumberFormat="1" applyBorder="1"/>
    <xf numFmtId="9" fontId="0" fillId="0" borderId="72" xfId="0" applyNumberFormat="1" applyBorder="1"/>
    <xf numFmtId="9" fontId="0" fillId="0" borderId="73" xfId="0" applyNumberFormat="1" applyBorder="1"/>
    <xf numFmtId="0" fontId="58" fillId="0" borderId="71" xfId="0" applyFont="1" applyBorder="1" applyAlignment="1">
      <alignment horizontal="left" indent="1"/>
    </xf>
    <xf numFmtId="0" fontId="59" fillId="0" borderId="0" xfId="0" applyFont="1" applyFill="1"/>
    <xf numFmtId="0" fontId="60" fillId="0" borderId="0" xfId="0" applyFont="1" applyFill="1"/>
    <xf numFmtId="0" fontId="31" fillId="2" borderId="16" xfId="26" applyNumberFormat="1" applyFont="1" applyFill="1" applyBorder="1"/>
    <xf numFmtId="169" fontId="32" fillId="0" borderId="64" xfId="0" applyNumberFormat="1" applyFont="1" applyFill="1" applyBorder="1"/>
    <xf numFmtId="169" fontId="32" fillId="0" borderId="65" xfId="0" applyNumberFormat="1" applyFont="1" applyFill="1" applyBorder="1"/>
    <xf numFmtId="169" fontId="32" fillId="0" borderId="72" xfId="0" applyNumberFormat="1" applyFont="1" applyFill="1" applyBorder="1"/>
    <xf numFmtId="169" fontId="32" fillId="0" borderId="73" xfId="0" applyNumberFormat="1" applyFont="1" applyFill="1" applyBorder="1"/>
    <xf numFmtId="169" fontId="32" fillId="0" borderId="67" xfId="0" applyNumberFormat="1" applyFont="1" applyFill="1" applyBorder="1"/>
    <xf numFmtId="169" fontId="32" fillId="0" borderId="68" xfId="0" applyNumberFormat="1" applyFont="1" applyFill="1" applyBorder="1"/>
    <xf numFmtId="0" fontId="39" fillId="0" borderId="63" xfId="0" applyFont="1" applyFill="1" applyBorder="1"/>
    <xf numFmtId="0" fontId="39" fillId="0" borderId="71" xfId="0" applyFont="1" applyFill="1" applyBorder="1"/>
    <xf numFmtId="0" fontId="39" fillId="0" borderId="66" xfId="0" applyFont="1" applyFill="1" applyBorder="1"/>
    <xf numFmtId="0" fontId="32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center"/>
    </xf>
    <xf numFmtId="3" fontId="31" fillId="2" borderId="15" xfId="0" applyNumberFormat="1" applyFont="1" applyFill="1" applyBorder="1" applyAlignment="1">
      <alignment horizontal="left"/>
    </xf>
    <xf numFmtId="3" fontId="31" fillId="2" borderId="16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4" fillId="2" borderId="16" xfId="0" applyNumberFormat="1" applyFont="1" applyFill="1" applyBorder="1" applyAlignment="1">
      <alignment horizontal="center" vertical="top"/>
    </xf>
    <xf numFmtId="3" fontId="31" fillId="2" borderId="16" xfId="0" applyNumberFormat="1" applyFont="1" applyFill="1" applyBorder="1" applyAlignment="1">
      <alignment horizontal="center" vertical="top"/>
    </xf>
    <xf numFmtId="9" fontId="32" fillId="0" borderId="64" xfId="0" applyNumberFormat="1" applyFont="1" applyFill="1" applyBorder="1"/>
    <xf numFmtId="9" fontId="32" fillId="0" borderId="72" xfId="0" applyNumberFormat="1" applyFont="1" applyFill="1" applyBorder="1"/>
    <xf numFmtId="9" fontId="32" fillId="0" borderId="67" xfId="0" applyNumberFormat="1" applyFont="1" applyFill="1" applyBorder="1"/>
    <xf numFmtId="0" fontId="31" fillId="2" borderId="31" xfId="0" applyFont="1" applyFill="1" applyBorder="1" applyAlignment="1">
      <alignment horizontal="center" vertical="top" wrapText="1"/>
    </xf>
    <xf numFmtId="0" fontId="31" fillId="2" borderId="16" xfId="26" applyNumberFormat="1" applyFont="1" applyFill="1" applyBorder="1" applyAlignment="1">
      <alignment horizontal="right"/>
    </xf>
    <xf numFmtId="9" fontId="32" fillId="0" borderId="65" xfId="0" applyNumberFormat="1" applyFont="1" applyFill="1" applyBorder="1"/>
    <xf numFmtId="9" fontId="32" fillId="0" borderId="73" xfId="0" applyNumberFormat="1" applyFont="1" applyFill="1" applyBorder="1"/>
    <xf numFmtId="9" fontId="32" fillId="0" borderId="68" xfId="0" applyNumberFormat="1" applyFont="1" applyFill="1" applyBorder="1"/>
    <xf numFmtId="49" fontId="31" fillId="2" borderId="31" xfId="0" applyNumberFormat="1" applyFont="1" applyFill="1" applyBorder="1" applyAlignment="1">
      <alignment horizontal="center" vertical="top"/>
    </xf>
    <xf numFmtId="0" fontId="31" fillId="2" borderId="15" xfId="0" applyNumberFormat="1" applyFont="1" applyFill="1" applyBorder="1" applyAlignment="1">
      <alignment horizontal="left"/>
    </xf>
    <xf numFmtId="0" fontId="31" fillId="2" borderId="16" xfId="0" applyNumberFormat="1" applyFont="1" applyFill="1" applyBorder="1" applyAlignment="1">
      <alignment horizontal="left"/>
    </xf>
    <xf numFmtId="0" fontId="31" fillId="2" borderId="0" xfId="0" applyNumberFormat="1" applyFont="1" applyFill="1" applyBorder="1" applyAlignment="1">
      <alignment horizontal="left"/>
    </xf>
    <xf numFmtId="0" fontId="44" fillId="2" borderId="16" xfId="0" applyNumberFormat="1" applyFont="1" applyFill="1" applyBorder="1" applyAlignment="1">
      <alignment horizontal="center" vertical="top"/>
    </xf>
  </cellXfs>
  <cellStyles count="97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6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Manažerské tabulky" xfId="80" xr:uid="{00000000-0005-0000-0000-000052000000}"/>
    <cellStyle name="normální_Sestava hospodaření" xfId="81" xr:uid="{00000000-0005-0000-0000-000053000000}"/>
    <cellStyle name="Procenta 10" xfId="82" xr:uid="{00000000-0005-0000-0000-000055000000}"/>
    <cellStyle name="Procenta 11" xfId="83" xr:uid="{00000000-0005-0000-0000-000056000000}"/>
    <cellStyle name="Procenta 2" xfId="84" xr:uid="{00000000-0005-0000-0000-000057000000}"/>
    <cellStyle name="Procenta 2 2" xfId="85" xr:uid="{00000000-0005-0000-0000-000058000000}"/>
    <cellStyle name="Procenta 2 2 2" xfId="86" xr:uid="{00000000-0005-0000-0000-000059000000}"/>
    <cellStyle name="Procenta 2 3" xfId="87" xr:uid="{00000000-0005-0000-0000-00005A000000}"/>
    <cellStyle name="Procenta 3" xfId="88" xr:uid="{00000000-0005-0000-0000-00005B000000}"/>
    <cellStyle name="Procenta 3 2" xfId="89" xr:uid="{00000000-0005-0000-0000-00005C000000}"/>
    <cellStyle name="Procenta 4" xfId="90" xr:uid="{00000000-0005-0000-0000-00005D000000}"/>
    <cellStyle name="Procenta 5" xfId="91" xr:uid="{00000000-0005-0000-0000-00005E000000}"/>
    <cellStyle name="Procenta 6" xfId="92" xr:uid="{00000000-0005-0000-0000-00005F000000}"/>
    <cellStyle name="Procenta 7" xfId="93" xr:uid="{00000000-0005-0000-0000-000060000000}"/>
    <cellStyle name="Procenta 8" xfId="94" xr:uid="{00000000-0005-0000-0000-000061000000}"/>
    <cellStyle name="Procenta 9" xfId="95" xr:uid="{00000000-0005-0000-0000-000062000000}"/>
  </cellStyles>
  <dxfs count="70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69"/>
      <tableStyleElement type="headerRow" dxfId="68"/>
      <tableStyleElement type="totalRow" dxfId="67"/>
      <tableStyleElement type="firstColumn" dxfId="66"/>
      <tableStyleElement type="lastColumn" dxfId="65"/>
      <tableStyleElement type="firstRowStripe" dxfId="64"/>
      <tableStyleElement type="firstColumnStripe" dxfId="63"/>
    </tableStyle>
    <tableStyle name="TableStyleMedium2 2" pivot="0" count="7" xr9:uid="{00000000-0011-0000-FFFF-FFFF01000000}">
      <tableStyleElement type="wholeTable" dxfId="62"/>
      <tableStyleElement type="headerRow" dxfId="61"/>
      <tableStyleElement type="totalRow" dxfId="60"/>
      <tableStyleElement type="firstColumn" dxfId="59"/>
      <tableStyleElement type="lastColumn" dxfId="58"/>
      <tableStyleElement type="firstRowStripe" dxfId="57"/>
      <tableStyleElement type="firstColumnStripe" dxfId="56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Graf'!$B$4:$I$4</c:f>
              <c:numCache>
                <c:formatCode>General</c:formatCode>
                <c:ptCount val="8"/>
                <c:pt idx="0">
                  <c:v>2.0071379523714543</c:v>
                </c:pt>
                <c:pt idx="1">
                  <c:v>1.9733703099370128</c:v>
                </c:pt>
                <c:pt idx="2">
                  <c:v>2.435407639476896</c:v>
                </c:pt>
                <c:pt idx="3">
                  <c:v>2.797791473292091</c:v>
                </c:pt>
                <c:pt idx="4">
                  <c:v>2.7202325714317559</c:v>
                </c:pt>
                <c:pt idx="5">
                  <c:v>2.6502939837972326</c:v>
                </c:pt>
                <c:pt idx="6">
                  <c:v>2.7863914198186159</c:v>
                </c:pt>
                <c:pt idx="7">
                  <c:v>2.8276409911357074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78790560"/>
        <c:axId val="-585227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1.5244920457890185</c:v>
                </c:pt>
                <c:pt idx="1">
                  <c:v>1.5244920457890185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9488"/>
        <c:axId val="-585228192"/>
      </c:scatterChart>
      <c:catAx>
        <c:axId val="-1978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2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78790560"/>
        <c:crosses val="autoZero"/>
        <c:crossBetween val="between"/>
      </c:valAx>
      <c:valAx>
        <c:axId val="-58521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28192"/>
        <c:crosses val="max"/>
        <c:crossBetween val="midCat"/>
      </c:valAx>
      <c:valAx>
        <c:axId val="-58522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8521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>
          <a:extLst>
            <a:ext uri="{FF2B5EF4-FFF2-40B4-BE49-F238E27FC236}">
              <a16:creationId xmlns:a16="http://schemas.microsoft.com/office/drawing/2014/main" id="{00000000-0008-0000-0400-00006128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8" totalsRowShown="0" headerRowDxfId="55" tableBorderDxfId="54">
  <autoFilter ref="A7:S8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53"/>
    <tableColumn id="2" xr3:uid="{00000000-0010-0000-0000-000002000000}" name="popis" dataDxfId="52"/>
    <tableColumn id="3" xr3:uid="{00000000-0010-0000-0000-000003000000}" name="01 uv_sk" dataDxfId="51">
      <calculatedColumnFormula xml:space="preserve">
IF($A$4&lt;13,
SUMIFS(INDIRECT("ONData["&amp;Tabulka[#Headers]&amp;"]"),#REF!,$A$4,#REF!,Tabulka[[#This Row],[kat]]),
SUMIFS(INDIRECT("ONData["&amp;Tabulka[#Headers]&amp;"]"),#REF!,Tabulka[[#This Row],[kat]])/MAX(#REF!))</calculatedColumnFormula>
    </tableColumn>
    <tableColumn id="4" xr3:uid="{00000000-0010-0000-0000-000004000000}" name="02 uv_pla" dataDxfId="50">
      <calculatedColumnFormula xml:space="preserve">
IF($A$4&lt;13,
SUMIFS(INDIRECT("ONData["&amp;Tabulka[#Headers]&amp;"]"),#REF!,$A$4,#REF!,Tabulka[[#This Row],[kat]]),
SUMIFS(INDIRECT("ONData["&amp;Tabulka[#Headers]&amp;"]"),#REF!,Tabulka[[#This Row],[kat]])/MAX(#REF!))</calculatedColumnFormula>
    </tableColumn>
    <tableColumn id="5" xr3:uid="{00000000-0010-0000-0000-000005000000}" name="03 uv_pln" dataDxfId="49">
      <calculatedColumnFormula xml:space="preserve">
IF($A$4&lt;13,
SUMIFS(INDIRECT("ONData["&amp;Tabulka[#Headers]&amp;"]"),#REF!,$A$4,#REF!,Tabulka[[#This Row],[kat]]),
SUMIFS(INDIRECT("ONData["&amp;Tabulka[#Headers]&amp;"]"),#REF!,Tabulka[[#This Row],[kat]])/MAX(#REF!))</calculatedColumnFormula>
    </tableColumn>
    <tableColumn id="6" xr3:uid="{00000000-0010-0000-0000-000006000000}" name="04 uv_rozd" dataDxfId="48">
      <calculatedColumnFormula xml:space="preserve">
IF($A$4&lt;13,
SUMIFS(INDIRECT("ONData["&amp;Tabulka[#Headers]&amp;"]"),#REF!,$A$4,#REF!,Tabulka[[#This Row],[kat]]),
SUMIFS(INDIRECT("ONData["&amp;Tabulka[#Headers]&amp;"]"),#REF!,Tabulka[[#This Row],[kat]])/MAX(#REF!))</calculatedColumnFormula>
    </tableColumn>
    <tableColumn id="7" xr3:uid="{00000000-0010-0000-0000-000007000000}" name="05 h_vram" dataDxfId="47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8" xr3:uid="{00000000-0010-0000-0000-000008000000}" name="06 h_naduv" dataDxfId="46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9" xr3:uid="{00000000-0010-0000-0000-000009000000}" name="07 h_nadzk" dataDxfId="45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10" xr3:uid="{00000000-0010-0000-0000-00000A000000}" name="08 h_oon" dataDxfId="44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11" xr3:uid="{00000000-0010-0000-0000-00000B000000}" name="09 m_kl" dataDxfId="43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12" xr3:uid="{00000000-0010-0000-0000-00000C000000}" name="10 m_gr" dataDxfId="42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13" xr3:uid="{00000000-0010-0000-0000-00000D000000}" name="11 m_jo" dataDxfId="41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14" xr3:uid="{00000000-0010-0000-0000-00000E000000}" name="12 m_oc" dataDxfId="40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15" xr3:uid="{00000000-0010-0000-0000-00000F000000}" name="13 m_sk" dataDxfId="39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17" xr3:uid="{00000000-0010-0000-0000-000011000000}" name="14_vzsk" dataDxfId="38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18" xr3:uid="{00000000-0010-0000-0000-000012000000}" name="15_vzpl" dataDxfId="37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19" xr3:uid="{00000000-0010-0000-0000-000013000000}" name="16_vzpln" dataDxfId="36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35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21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104" bestFit="1" customWidth="1"/>
    <col min="2" max="2" width="102.28515625" style="104" bestFit="1" customWidth="1"/>
    <col min="3" max="3" width="16.140625" style="42" hidden="1" customWidth="1"/>
    <col min="4" max="16384" width="8.85546875" style="104"/>
  </cols>
  <sheetData>
    <row r="1" spans="1:3" ht="18.600000000000001" customHeight="1" thickBot="1" x14ac:dyDescent="0.35">
      <c r="A1" s="272" t="s">
        <v>89</v>
      </c>
      <c r="B1" s="272"/>
    </row>
    <row r="2" spans="1:3" ht="14.45" customHeight="1" thickBot="1" x14ac:dyDescent="0.25">
      <c r="A2" s="199" t="s">
        <v>202</v>
      </c>
      <c r="B2" s="41"/>
    </row>
    <row r="3" spans="1:3" ht="14.45" customHeight="1" thickBot="1" x14ac:dyDescent="0.25">
      <c r="A3" s="268" t="s">
        <v>109</v>
      </c>
      <c r="B3" s="269"/>
    </row>
    <row r="4" spans="1:3" ht="14.45" customHeight="1" x14ac:dyDescent="0.2">
      <c r="A4" s="117" t="str">
        <f t="shared" ref="A4:A8" si="0">HYPERLINK("#'"&amp;C4&amp;"'!A1",C4)</f>
        <v>Motivace</v>
      </c>
      <c r="B4" s="64" t="s">
        <v>98</v>
      </c>
      <c r="C4" s="42" t="s">
        <v>99</v>
      </c>
    </row>
    <row r="5" spans="1:3" ht="14.45" customHeight="1" x14ac:dyDescent="0.2">
      <c r="A5" s="118" t="str">
        <f t="shared" si="0"/>
        <v>HI</v>
      </c>
      <c r="B5" s="65" t="s">
        <v>107</v>
      </c>
      <c r="C5" s="42" t="s">
        <v>92</v>
      </c>
    </row>
    <row r="6" spans="1:3" ht="14.45" customHeight="1" x14ac:dyDescent="0.2">
      <c r="A6" s="119" t="str">
        <f t="shared" si="0"/>
        <v>HI Graf</v>
      </c>
      <c r="B6" s="66" t="s">
        <v>85</v>
      </c>
      <c r="C6" s="42" t="s">
        <v>93</v>
      </c>
    </row>
    <row r="7" spans="1:3" ht="14.45" customHeight="1" x14ac:dyDescent="0.2">
      <c r="A7" s="119" t="str">
        <f t="shared" si="0"/>
        <v>Man Tab</v>
      </c>
      <c r="B7" s="66" t="s">
        <v>204</v>
      </c>
      <c r="C7" s="42" t="s">
        <v>94</v>
      </c>
    </row>
    <row r="8" spans="1:3" ht="14.45" customHeight="1" thickBot="1" x14ac:dyDescent="0.25">
      <c r="A8" s="120" t="str">
        <f t="shared" si="0"/>
        <v>HV</v>
      </c>
      <c r="B8" s="67" t="s">
        <v>43</v>
      </c>
      <c r="C8" s="42" t="s">
        <v>48</v>
      </c>
    </row>
    <row r="9" spans="1:3" ht="14.45" customHeight="1" thickBot="1" x14ac:dyDescent="0.25">
      <c r="A9" s="68"/>
      <c r="B9" s="68"/>
    </row>
    <row r="10" spans="1:3" ht="14.45" customHeight="1" thickBot="1" x14ac:dyDescent="0.25">
      <c r="A10" s="270" t="s">
        <v>90</v>
      </c>
      <c r="B10" s="269"/>
    </row>
    <row r="11" spans="1:3" ht="14.45" customHeight="1" x14ac:dyDescent="0.2">
      <c r="A11" s="121" t="str">
        <f t="shared" ref="A11" si="1">HYPERLINK("#'"&amp;C11&amp;"'!A1",C11)</f>
        <v>Materiál Žádanky</v>
      </c>
      <c r="B11" s="66" t="s">
        <v>108</v>
      </c>
      <c r="C11" s="42" t="s">
        <v>95</v>
      </c>
    </row>
    <row r="12" spans="1:3" ht="14.45" customHeight="1" x14ac:dyDescent="0.2">
      <c r="A12" s="119" t="str">
        <f t="shared" ref="A12:A13" si="2">HYPERLINK("#'"&amp;C12&amp;"'!A1",C12)</f>
        <v>MŽ Detail</v>
      </c>
      <c r="B12" s="66" t="s">
        <v>467</v>
      </c>
      <c r="C12" s="42" t="s">
        <v>96</v>
      </c>
    </row>
    <row r="13" spans="1:3" ht="14.45" customHeight="1" thickBot="1" x14ac:dyDescent="0.25">
      <c r="A13" s="121" t="str">
        <f t="shared" si="2"/>
        <v>Osobní náklady</v>
      </c>
      <c r="B13" s="66" t="s">
        <v>87</v>
      </c>
      <c r="C13" s="42" t="s">
        <v>97</v>
      </c>
    </row>
    <row r="14" spans="1:3" ht="14.45" customHeight="1" thickBot="1" x14ac:dyDescent="0.25">
      <c r="A14" s="69"/>
      <c r="B14" s="69"/>
    </row>
    <row r="15" spans="1:3" ht="14.45" customHeight="1" thickBot="1" x14ac:dyDescent="0.25">
      <c r="A15" s="271" t="s">
        <v>91</v>
      </c>
      <c r="B15" s="269"/>
    </row>
    <row r="16" spans="1:3" ht="14.45" customHeight="1" x14ac:dyDescent="0.2">
      <c r="A16" s="122" t="str">
        <f t="shared" ref="A16:A21" si="3">HYPERLINK("#'"&amp;C16&amp;"'!A1",C16)</f>
        <v>ZV Vykáz.-A</v>
      </c>
      <c r="B16" s="65" t="s">
        <v>470</v>
      </c>
      <c r="C16" s="42" t="s">
        <v>100</v>
      </c>
    </row>
    <row r="17" spans="1:3" ht="14.45" customHeight="1" x14ac:dyDescent="0.2">
      <c r="A17" s="119" t="str">
        <f t="shared" ref="A17" si="4">HYPERLINK("#'"&amp;C17&amp;"'!A1",C17)</f>
        <v>ZV Vykáz.-A Lékaři</v>
      </c>
      <c r="B17" s="66" t="s">
        <v>490</v>
      </c>
      <c r="C17" s="42" t="s">
        <v>142</v>
      </c>
    </row>
    <row r="18" spans="1:3" ht="14.45" customHeight="1" x14ac:dyDescent="0.2">
      <c r="A18" s="119" t="str">
        <f t="shared" si="3"/>
        <v>ZV Vykáz.-A Detail</v>
      </c>
      <c r="B18" s="66" t="s">
        <v>540</v>
      </c>
      <c r="C18" s="42" t="s">
        <v>101</v>
      </c>
    </row>
    <row r="19" spans="1:3" ht="14.45" customHeight="1" x14ac:dyDescent="0.25">
      <c r="A19" s="223" t="str">
        <f>HYPERLINK("#'"&amp;C19&amp;"'!A1",C19)</f>
        <v>ZV Vykáz.-A Det.Lék.</v>
      </c>
      <c r="B19" s="66" t="s">
        <v>541</v>
      </c>
      <c r="C19" s="42" t="s">
        <v>146</v>
      </c>
    </row>
    <row r="20" spans="1:3" ht="14.45" customHeight="1" x14ac:dyDescent="0.2">
      <c r="A20" s="119" t="str">
        <f t="shared" si="3"/>
        <v>ZV Vykáz.-H</v>
      </c>
      <c r="B20" s="66" t="s">
        <v>104</v>
      </c>
      <c r="C20" s="42" t="s">
        <v>102</v>
      </c>
    </row>
    <row r="21" spans="1:3" ht="14.45" customHeight="1" x14ac:dyDescent="0.2">
      <c r="A21" s="119" t="str">
        <f t="shared" si="3"/>
        <v>ZV Vykáz.-H Detail</v>
      </c>
      <c r="B21" s="66" t="s">
        <v>564</v>
      </c>
      <c r="C21" s="42" t="s">
        <v>103</v>
      </c>
    </row>
  </sheetData>
  <mergeCells count="4">
    <mergeCell ref="A3:B3"/>
    <mergeCell ref="A10:B10"/>
    <mergeCell ref="A15:B15"/>
    <mergeCell ref="A1:B1"/>
  </mergeCells>
  <hyperlinks>
    <hyperlink ref="A2" location="Obsah!A1" display="Zpět na Obsah  KL 01  1.-4.měsíc" xr:uid="{D5A43D57-153B-426C-900A-857CA9BD0F4B}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List3">
    <tabColor theme="5" tint="0.39997558519241921"/>
    <outlinePr summaryRight="0"/>
    <pageSetUpPr fitToPage="1"/>
  </sheetPr>
  <dimension ref="A1:AB15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ColWidth="8.85546875" defaultRowHeight="14.45" customHeight="1" outlineLevelCol="1" x14ac:dyDescent="0.2"/>
  <cols>
    <col min="1" max="1" width="50" style="104" customWidth="1" collapsed="1"/>
    <col min="2" max="2" width="7.7109375" style="81" hidden="1" customWidth="1" outlineLevel="1"/>
    <col min="3" max="4" width="5.42578125" style="104" hidden="1" customWidth="1"/>
    <col min="5" max="5" width="7.7109375" style="81" customWidth="1"/>
    <col min="6" max="6" width="7.7109375" style="81" hidden="1" customWidth="1"/>
    <col min="7" max="7" width="5.42578125" style="104" hidden="1" customWidth="1"/>
    <col min="8" max="8" width="7.7109375" style="81" customWidth="1" collapsed="1"/>
    <col min="9" max="9" width="7.7109375" style="183" hidden="1" customWidth="1" outlineLevel="1"/>
    <col min="10" max="10" width="7.7109375" style="183" customWidth="1" collapsed="1"/>
    <col min="11" max="12" width="7.7109375" style="81" hidden="1" customWidth="1"/>
    <col min="13" max="13" width="5.42578125" style="104" hidden="1" customWidth="1"/>
    <col min="14" max="14" width="7.7109375" style="81" customWidth="1"/>
    <col min="15" max="15" width="7.7109375" style="81" hidden="1" customWidth="1"/>
    <col min="16" max="16" width="5.42578125" style="104" hidden="1" customWidth="1"/>
    <col min="17" max="17" width="7.7109375" style="81" customWidth="1" collapsed="1"/>
    <col min="18" max="18" width="7.7109375" style="183" hidden="1" customWidth="1" outlineLevel="1"/>
    <col min="19" max="19" width="7.7109375" style="183" customWidth="1" collapsed="1"/>
    <col min="20" max="21" width="7.7109375" style="81" hidden="1" customWidth="1"/>
    <col min="22" max="22" width="5" style="104" hidden="1" customWidth="1"/>
    <col min="23" max="23" width="7.7109375" style="81" customWidth="1"/>
    <col min="24" max="24" width="7.7109375" style="81" hidden="1" customWidth="1"/>
    <col min="25" max="25" width="5" style="104" hidden="1" customWidth="1"/>
    <col min="26" max="26" width="7.7109375" style="81" customWidth="1" collapsed="1"/>
    <col min="27" max="27" width="7.7109375" style="183" hidden="1" customWidth="1" outlineLevel="1"/>
    <col min="28" max="28" width="7.7109375" style="183" customWidth="1" collapsed="1"/>
    <col min="29" max="16384" width="8.85546875" style="104"/>
  </cols>
  <sheetData>
    <row r="1" spans="1:28" ht="18.600000000000001" customHeight="1" thickBot="1" x14ac:dyDescent="0.35">
      <c r="A1" s="347" t="s">
        <v>470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2"/>
      <c r="R1" s="272"/>
      <c r="S1" s="272"/>
      <c r="T1" s="272"/>
      <c r="U1" s="272"/>
      <c r="V1" s="272"/>
      <c r="W1" s="272"/>
      <c r="X1" s="272"/>
      <c r="Y1" s="272"/>
      <c r="Z1" s="272"/>
      <c r="AA1" s="272"/>
      <c r="AB1" s="272"/>
    </row>
    <row r="2" spans="1:28" ht="14.45" customHeight="1" thickBot="1" x14ac:dyDescent="0.25">
      <c r="A2" s="199" t="s">
        <v>202</v>
      </c>
      <c r="B2" s="86"/>
      <c r="C2" s="86"/>
      <c r="D2" s="86"/>
      <c r="E2" s="86"/>
      <c r="F2" s="86"/>
      <c r="G2" s="86"/>
      <c r="H2" s="86"/>
      <c r="I2" s="194"/>
      <c r="J2" s="194"/>
      <c r="K2" s="86"/>
      <c r="L2" s="86"/>
      <c r="M2" s="86"/>
      <c r="N2" s="86"/>
      <c r="O2" s="86"/>
      <c r="P2" s="86"/>
      <c r="Q2" s="86"/>
      <c r="R2" s="194"/>
      <c r="S2" s="194"/>
      <c r="T2" s="86"/>
      <c r="U2" s="86"/>
      <c r="V2" s="86"/>
      <c r="W2" s="86"/>
      <c r="X2" s="86"/>
      <c r="Y2" s="86"/>
      <c r="Z2" s="86"/>
      <c r="AA2" s="194"/>
      <c r="AB2" s="194"/>
    </row>
    <row r="3" spans="1:28" ht="14.45" customHeight="1" thickBot="1" x14ac:dyDescent="0.25">
      <c r="A3" s="187" t="s">
        <v>105</v>
      </c>
      <c r="B3" s="188">
        <f>SUBTOTAL(9,B6:B1048576)/4</f>
        <v>1565753.9900000002</v>
      </c>
      <c r="C3" s="189">
        <f t="shared" ref="C3:Z3" si="0">SUBTOTAL(9,C6:C1048576)</f>
        <v>5</v>
      </c>
      <c r="D3" s="189"/>
      <c r="E3" s="189">
        <f>SUBTOTAL(9,E6:E1048576)/4</f>
        <v>1640751.66</v>
      </c>
      <c r="F3" s="189"/>
      <c r="G3" s="189">
        <f t="shared" si="0"/>
        <v>4</v>
      </c>
      <c r="H3" s="189">
        <f>SUBTOTAL(9,H6:H1048576)/4</f>
        <v>2780809.33</v>
      </c>
      <c r="I3" s="192">
        <f>IF(B3&lt;&gt;0,H3/B3,"")</f>
        <v>1.7760193157802522</v>
      </c>
      <c r="J3" s="190">
        <f>IF(E3&lt;&gt;0,H3/E3,"")</f>
        <v>1.6948386509631812</v>
      </c>
      <c r="K3" s="191">
        <f t="shared" si="0"/>
        <v>5139.4000000000015</v>
      </c>
      <c r="L3" s="191"/>
      <c r="M3" s="189">
        <f t="shared" si="0"/>
        <v>0</v>
      </c>
      <c r="N3" s="189">
        <f t="shared" si="0"/>
        <v>0</v>
      </c>
      <c r="O3" s="189"/>
      <c r="P3" s="189">
        <f t="shared" si="0"/>
        <v>0</v>
      </c>
      <c r="Q3" s="189">
        <f t="shared" si="0"/>
        <v>2242.6800000000003</v>
      </c>
      <c r="R3" s="192">
        <f>IF(K3&lt;&gt;0,Q3/K3,"")</f>
        <v>0.43637000428065525</v>
      </c>
      <c r="S3" s="192" t="str">
        <f>IF(N3&lt;&gt;0,Q3/N3,"")</f>
        <v/>
      </c>
      <c r="T3" s="188">
        <f t="shared" si="0"/>
        <v>0</v>
      </c>
      <c r="U3" s="191"/>
      <c r="V3" s="189">
        <f t="shared" si="0"/>
        <v>0</v>
      </c>
      <c r="W3" s="189">
        <f t="shared" si="0"/>
        <v>0</v>
      </c>
      <c r="X3" s="189"/>
      <c r="Y3" s="189">
        <f t="shared" si="0"/>
        <v>0</v>
      </c>
      <c r="Z3" s="189">
        <f t="shared" si="0"/>
        <v>0</v>
      </c>
      <c r="AA3" s="192" t="str">
        <f>IF(T3&lt;&gt;0,Z3/T3,"")</f>
        <v/>
      </c>
      <c r="AB3" s="190" t="str">
        <f>IF(W3&lt;&gt;0,Z3/W3,"")</f>
        <v/>
      </c>
    </row>
    <row r="4" spans="1:28" ht="14.45" customHeight="1" x14ac:dyDescent="0.2">
      <c r="A4" s="348" t="s">
        <v>143</v>
      </c>
      <c r="B4" s="349" t="s">
        <v>80</v>
      </c>
      <c r="C4" s="350"/>
      <c r="D4" s="351"/>
      <c r="E4" s="350"/>
      <c r="F4" s="351"/>
      <c r="G4" s="350"/>
      <c r="H4" s="350"/>
      <c r="I4" s="351"/>
      <c r="J4" s="352"/>
      <c r="K4" s="349" t="s">
        <v>81</v>
      </c>
      <c r="L4" s="351"/>
      <c r="M4" s="350"/>
      <c r="N4" s="350"/>
      <c r="O4" s="351"/>
      <c r="P4" s="350"/>
      <c r="Q4" s="350"/>
      <c r="R4" s="351"/>
      <c r="S4" s="352"/>
      <c r="T4" s="349" t="s">
        <v>82</v>
      </c>
      <c r="U4" s="351"/>
      <c r="V4" s="350"/>
      <c r="W4" s="350"/>
      <c r="X4" s="351"/>
      <c r="Y4" s="350"/>
      <c r="Z4" s="350"/>
      <c r="AA4" s="351"/>
      <c r="AB4" s="352"/>
    </row>
    <row r="5" spans="1:28" ht="14.45" customHeight="1" thickBot="1" x14ac:dyDescent="0.25">
      <c r="A5" s="424"/>
      <c r="B5" s="425">
        <v>2015</v>
      </c>
      <c r="C5" s="426"/>
      <c r="D5" s="426"/>
      <c r="E5" s="426">
        <v>2018</v>
      </c>
      <c r="F5" s="426"/>
      <c r="G5" s="426"/>
      <c r="H5" s="426">
        <v>2019</v>
      </c>
      <c r="I5" s="427" t="s">
        <v>144</v>
      </c>
      <c r="J5" s="428" t="s">
        <v>2</v>
      </c>
      <c r="K5" s="425">
        <v>2015</v>
      </c>
      <c r="L5" s="426"/>
      <c r="M5" s="426"/>
      <c r="N5" s="426">
        <v>2018</v>
      </c>
      <c r="O5" s="426"/>
      <c r="P5" s="426"/>
      <c r="Q5" s="426">
        <v>2019</v>
      </c>
      <c r="R5" s="427" t="s">
        <v>144</v>
      </c>
      <c r="S5" s="428" t="s">
        <v>2</v>
      </c>
      <c r="T5" s="425">
        <v>2015</v>
      </c>
      <c r="U5" s="426"/>
      <c r="V5" s="426"/>
      <c r="W5" s="426">
        <v>2018</v>
      </c>
      <c r="X5" s="426"/>
      <c r="Y5" s="426"/>
      <c r="Z5" s="426">
        <v>2019</v>
      </c>
      <c r="AA5" s="427" t="s">
        <v>144</v>
      </c>
      <c r="AB5" s="428" t="s">
        <v>2</v>
      </c>
    </row>
    <row r="6" spans="1:28" ht="14.45" customHeight="1" x14ac:dyDescent="0.25">
      <c r="A6" s="429" t="s">
        <v>468</v>
      </c>
      <c r="B6" s="430">
        <v>1565753.9900000002</v>
      </c>
      <c r="C6" s="431">
        <v>1</v>
      </c>
      <c r="D6" s="431">
        <v>0.95429066334145918</v>
      </c>
      <c r="E6" s="430">
        <v>1640751.66</v>
      </c>
      <c r="F6" s="431">
        <v>1.0478987570710261</v>
      </c>
      <c r="G6" s="431">
        <v>1</v>
      </c>
      <c r="H6" s="430">
        <v>2780809.33</v>
      </c>
      <c r="I6" s="431">
        <v>1.7760193157802522</v>
      </c>
      <c r="J6" s="431">
        <v>1.6948386509631812</v>
      </c>
      <c r="K6" s="430">
        <v>2569.7000000000007</v>
      </c>
      <c r="L6" s="431">
        <v>1</v>
      </c>
      <c r="M6" s="431"/>
      <c r="N6" s="430"/>
      <c r="O6" s="431"/>
      <c r="P6" s="431"/>
      <c r="Q6" s="430">
        <v>1121.3400000000001</v>
      </c>
      <c r="R6" s="431">
        <v>0.43637000428065525</v>
      </c>
      <c r="S6" s="431"/>
      <c r="T6" s="430"/>
      <c r="U6" s="431"/>
      <c r="V6" s="431"/>
      <c r="W6" s="430"/>
      <c r="X6" s="431"/>
      <c r="Y6" s="431"/>
      <c r="Z6" s="430"/>
      <c r="AA6" s="431"/>
      <c r="AB6" s="432"/>
    </row>
    <row r="7" spans="1:28" ht="14.45" customHeight="1" thickBot="1" x14ac:dyDescent="0.3">
      <c r="A7" s="436" t="s">
        <v>469</v>
      </c>
      <c r="B7" s="433">
        <v>1565753.9900000002</v>
      </c>
      <c r="C7" s="434">
        <v>1</v>
      </c>
      <c r="D7" s="434">
        <v>0.95429066334145918</v>
      </c>
      <c r="E7" s="433">
        <v>1640751.66</v>
      </c>
      <c r="F7" s="434">
        <v>1.0478987570710261</v>
      </c>
      <c r="G7" s="434">
        <v>1</v>
      </c>
      <c r="H7" s="433">
        <v>2780809.33</v>
      </c>
      <c r="I7" s="434">
        <v>1.7760193157802522</v>
      </c>
      <c r="J7" s="434">
        <v>1.6948386509631812</v>
      </c>
      <c r="K7" s="433">
        <v>2569.7000000000007</v>
      </c>
      <c r="L7" s="434">
        <v>1</v>
      </c>
      <c r="M7" s="434"/>
      <c r="N7" s="433"/>
      <c r="O7" s="434"/>
      <c r="P7" s="434"/>
      <c r="Q7" s="433">
        <v>1121.3400000000001</v>
      </c>
      <c r="R7" s="434">
        <v>0.43637000428065525</v>
      </c>
      <c r="S7" s="434"/>
      <c r="T7" s="433"/>
      <c r="U7" s="434"/>
      <c r="V7" s="434"/>
      <c r="W7" s="433"/>
      <c r="X7" s="434"/>
      <c r="Y7" s="434"/>
      <c r="Z7" s="433"/>
      <c r="AA7" s="434"/>
      <c r="AB7" s="435"/>
    </row>
    <row r="8" spans="1:28" ht="14.45" customHeight="1" thickBot="1" x14ac:dyDescent="0.25"/>
    <row r="9" spans="1:28" ht="14.45" customHeight="1" x14ac:dyDescent="0.25">
      <c r="A9" s="429" t="s">
        <v>270</v>
      </c>
      <c r="B9" s="430">
        <v>1565753.9900000002</v>
      </c>
      <c r="C9" s="431">
        <v>1</v>
      </c>
      <c r="D9" s="431">
        <v>0.95429066334145918</v>
      </c>
      <c r="E9" s="430">
        <v>1640751.66</v>
      </c>
      <c r="F9" s="431">
        <v>1.0478987570710261</v>
      </c>
      <c r="G9" s="431">
        <v>1</v>
      </c>
      <c r="H9" s="430">
        <v>2780809.33</v>
      </c>
      <c r="I9" s="431">
        <v>1.7760193157802522</v>
      </c>
      <c r="J9" s="432">
        <v>1.6948386509631812</v>
      </c>
    </row>
    <row r="10" spans="1:28" ht="14.45" customHeight="1" x14ac:dyDescent="0.25">
      <c r="A10" s="440" t="s">
        <v>471</v>
      </c>
      <c r="B10" s="437">
        <v>14344</v>
      </c>
      <c r="C10" s="438">
        <v>1</v>
      </c>
      <c r="D10" s="438"/>
      <c r="E10" s="437"/>
      <c r="F10" s="438"/>
      <c r="G10" s="438"/>
      <c r="H10" s="437"/>
      <c r="I10" s="438"/>
      <c r="J10" s="439"/>
    </row>
    <row r="11" spans="1:28" ht="14.45" customHeight="1" thickBot="1" x14ac:dyDescent="0.3">
      <c r="A11" s="436" t="s">
        <v>472</v>
      </c>
      <c r="B11" s="433">
        <v>1551409.9900000002</v>
      </c>
      <c r="C11" s="434">
        <v>1</v>
      </c>
      <c r="D11" s="434">
        <v>0.94554832874586292</v>
      </c>
      <c r="E11" s="433">
        <v>1640751.66</v>
      </c>
      <c r="F11" s="434">
        <v>1.057587401509513</v>
      </c>
      <c r="G11" s="434">
        <v>1</v>
      </c>
      <c r="H11" s="433">
        <v>2780809.33</v>
      </c>
      <c r="I11" s="434">
        <v>1.7924400048500395</v>
      </c>
      <c r="J11" s="435">
        <v>1.6948386509631812</v>
      </c>
    </row>
    <row r="12" spans="1:28" ht="14.45" customHeight="1" x14ac:dyDescent="0.2">
      <c r="A12" s="441" t="s">
        <v>179</v>
      </c>
    </row>
    <row r="13" spans="1:28" ht="14.45" customHeight="1" x14ac:dyDescent="0.2">
      <c r="A13" s="442" t="s">
        <v>473</v>
      </c>
    </row>
    <row r="14" spans="1:28" ht="14.45" customHeight="1" x14ac:dyDescent="0.2">
      <c r="A14" s="441" t="s">
        <v>474</v>
      </c>
    </row>
    <row r="15" spans="1:28" ht="14.45" customHeight="1" x14ac:dyDescent="0.2">
      <c r="A15" s="441" t="s">
        <v>475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 xr:uid="{84285184-6317-405E-BD50-01EAA09EB534}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List57">
    <tabColor theme="0" tint="-0.249977111117893"/>
    <pageSetUpPr fitToPage="1"/>
  </sheetPr>
  <dimension ref="A1:G23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ColWidth="8.85546875" defaultRowHeight="14.45" customHeight="1" outlineLevelCol="1" x14ac:dyDescent="0.2"/>
  <cols>
    <col min="1" max="1" width="46.7109375" style="104" bestFit="1" customWidth="1"/>
    <col min="2" max="2" width="7.7109375" style="180" hidden="1" customWidth="1" outlineLevel="1"/>
    <col min="3" max="3" width="7.7109375" style="180" customWidth="1" collapsed="1"/>
    <col min="4" max="4" width="7.7109375" style="180" customWidth="1"/>
    <col min="5" max="5" width="7.7109375" style="81" hidden="1" customWidth="1" outlineLevel="1"/>
    <col min="6" max="6" width="7.7109375" style="81" customWidth="1" collapsed="1"/>
    <col min="7" max="7" width="7.7109375" style="81" customWidth="1"/>
    <col min="8" max="16384" width="8.85546875" style="104"/>
  </cols>
  <sheetData>
    <row r="1" spans="1:7" ht="18.600000000000001" customHeight="1" thickBot="1" x14ac:dyDescent="0.35">
      <c r="A1" s="347" t="s">
        <v>490</v>
      </c>
      <c r="B1" s="272"/>
      <c r="C1" s="272"/>
      <c r="D1" s="272"/>
      <c r="E1" s="272"/>
      <c r="F1" s="272"/>
      <c r="G1" s="272"/>
    </row>
    <row r="2" spans="1:7" ht="14.45" customHeight="1" thickBot="1" x14ac:dyDescent="0.25">
      <c r="A2" s="199" t="s">
        <v>202</v>
      </c>
      <c r="B2" s="86"/>
      <c r="C2" s="86"/>
      <c r="D2" s="86"/>
      <c r="E2" s="86"/>
      <c r="F2" s="86"/>
      <c r="G2" s="86"/>
    </row>
    <row r="3" spans="1:7" ht="14.45" customHeight="1" thickBot="1" x14ac:dyDescent="0.25">
      <c r="A3" s="228" t="s">
        <v>105</v>
      </c>
      <c r="B3" s="215">
        <f t="shared" ref="B3:G3" si="0">SUBTOTAL(9,B6:B1048576)</f>
        <v>2208</v>
      </c>
      <c r="C3" s="216">
        <f t="shared" si="0"/>
        <v>2159</v>
      </c>
      <c r="D3" s="227">
        <f t="shared" si="0"/>
        <v>3437</v>
      </c>
      <c r="E3" s="191">
        <f t="shared" si="0"/>
        <v>1565753.9900000002</v>
      </c>
      <c r="F3" s="189">
        <f t="shared" si="0"/>
        <v>1640751.66</v>
      </c>
      <c r="G3" s="217">
        <f t="shared" si="0"/>
        <v>2780809.33</v>
      </c>
    </row>
    <row r="4" spans="1:7" ht="14.45" customHeight="1" x14ac:dyDescent="0.2">
      <c r="A4" s="348" t="s">
        <v>106</v>
      </c>
      <c r="B4" s="353" t="s">
        <v>141</v>
      </c>
      <c r="C4" s="351"/>
      <c r="D4" s="354"/>
      <c r="E4" s="353" t="s">
        <v>80</v>
      </c>
      <c r="F4" s="351"/>
      <c r="G4" s="354"/>
    </row>
    <row r="5" spans="1:7" ht="14.45" customHeight="1" thickBot="1" x14ac:dyDescent="0.25">
      <c r="A5" s="424"/>
      <c r="B5" s="425">
        <v>2015</v>
      </c>
      <c r="C5" s="426">
        <v>2018</v>
      </c>
      <c r="D5" s="443">
        <v>2019</v>
      </c>
      <c r="E5" s="425">
        <v>2015</v>
      </c>
      <c r="F5" s="426">
        <v>2018</v>
      </c>
      <c r="G5" s="443">
        <v>2019</v>
      </c>
    </row>
    <row r="6" spans="1:7" ht="14.45" customHeight="1" x14ac:dyDescent="0.2">
      <c r="A6" s="450" t="s">
        <v>476</v>
      </c>
      <c r="B6" s="410">
        <v>4</v>
      </c>
      <c r="C6" s="410">
        <v>19</v>
      </c>
      <c r="D6" s="410">
        <v>58</v>
      </c>
      <c r="E6" s="444">
        <v>214</v>
      </c>
      <c r="F6" s="444">
        <v>747</v>
      </c>
      <c r="G6" s="445">
        <v>3405</v>
      </c>
    </row>
    <row r="7" spans="1:7" ht="14.45" customHeight="1" x14ac:dyDescent="0.2">
      <c r="A7" s="451" t="s">
        <v>477</v>
      </c>
      <c r="B7" s="416">
        <v>1</v>
      </c>
      <c r="C7" s="416"/>
      <c r="D7" s="416"/>
      <c r="E7" s="446">
        <v>37</v>
      </c>
      <c r="F7" s="446"/>
      <c r="G7" s="447"/>
    </row>
    <row r="8" spans="1:7" ht="14.45" customHeight="1" x14ac:dyDescent="0.2">
      <c r="A8" s="451" t="s">
        <v>478</v>
      </c>
      <c r="B8" s="416">
        <v>10</v>
      </c>
      <c r="C8" s="416">
        <v>15</v>
      </c>
      <c r="D8" s="416"/>
      <c r="E8" s="446">
        <v>502</v>
      </c>
      <c r="F8" s="446">
        <v>599</v>
      </c>
      <c r="G8" s="447"/>
    </row>
    <row r="9" spans="1:7" ht="14.45" customHeight="1" x14ac:dyDescent="0.2">
      <c r="A9" s="451" t="s">
        <v>471</v>
      </c>
      <c r="B9" s="416">
        <v>4</v>
      </c>
      <c r="C9" s="416"/>
      <c r="D9" s="416"/>
      <c r="E9" s="446">
        <v>14344</v>
      </c>
      <c r="F9" s="446"/>
      <c r="G9" s="447"/>
    </row>
    <row r="10" spans="1:7" ht="14.45" customHeight="1" x14ac:dyDescent="0.2">
      <c r="A10" s="451" t="s">
        <v>479</v>
      </c>
      <c r="B10" s="416"/>
      <c r="C10" s="416"/>
      <c r="D10" s="416">
        <v>203</v>
      </c>
      <c r="E10" s="446"/>
      <c r="F10" s="446"/>
      <c r="G10" s="447">
        <v>46394.33</v>
      </c>
    </row>
    <row r="11" spans="1:7" ht="14.45" customHeight="1" x14ac:dyDescent="0.2">
      <c r="A11" s="451" t="s">
        <v>480</v>
      </c>
      <c r="B11" s="416">
        <v>1</v>
      </c>
      <c r="C11" s="416"/>
      <c r="D11" s="416"/>
      <c r="E11" s="446">
        <v>37</v>
      </c>
      <c r="F11" s="446"/>
      <c r="G11" s="447"/>
    </row>
    <row r="12" spans="1:7" ht="14.45" customHeight="1" x14ac:dyDescent="0.2">
      <c r="A12" s="451" t="s">
        <v>481</v>
      </c>
      <c r="B12" s="416">
        <v>1</v>
      </c>
      <c r="C12" s="416"/>
      <c r="D12" s="416"/>
      <c r="E12" s="446">
        <v>147</v>
      </c>
      <c r="F12" s="446"/>
      <c r="G12" s="447"/>
    </row>
    <row r="13" spans="1:7" ht="14.45" customHeight="1" x14ac:dyDescent="0.2">
      <c r="A13" s="451" t="s">
        <v>482</v>
      </c>
      <c r="B13" s="416">
        <v>7</v>
      </c>
      <c r="C13" s="416">
        <v>8</v>
      </c>
      <c r="D13" s="416">
        <v>1</v>
      </c>
      <c r="E13" s="446">
        <v>369</v>
      </c>
      <c r="F13" s="446">
        <v>20948</v>
      </c>
      <c r="G13" s="447">
        <v>151</v>
      </c>
    </row>
    <row r="14" spans="1:7" ht="14.45" customHeight="1" x14ac:dyDescent="0.2">
      <c r="A14" s="451" t="s">
        <v>483</v>
      </c>
      <c r="B14" s="416">
        <v>6</v>
      </c>
      <c r="C14" s="416"/>
      <c r="D14" s="416"/>
      <c r="E14" s="446">
        <v>398</v>
      </c>
      <c r="F14" s="446"/>
      <c r="G14" s="447"/>
    </row>
    <row r="15" spans="1:7" ht="14.45" customHeight="1" x14ac:dyDescent="0.2">
      <c r="A15" s="451" t="s">
        <v>484</v>
      </c>
      <c r="B15" s="416">
        <v>1</v>
      </c>
      <c r="C15" s="416"/>
      <c r="D15" s="416"/>
      <c r="E15" s="446">
        <v>37</v>
      </c>
      <c r="F15" s="446"/>
      <c r="G15" s="447"/>
    </row>
    <row r="16" spans="1:7" ht="14.45" customHeight="1" x14ac:dyDescent="0.2">
      <c r="A16" s="451" t="s">
        <v>485</v>
      </c>
      <c r="B16" s="416">
        <v>2</v>
      </c>
      <c r="C16" s="416"/>
      <c r="D16" s="416"/>
      <c r="E16" s="446">
        <v>294</v>
      </c>
      <c r="F16" s="446"/>
      <c r="G16" s="447"/>
    </row>
    <row r="17" spans="1:7" ht="14.45" customHeight="1" x14ac:dyDescent="0.2">
      <c r="A17" s="451" t="s">
        <v>486</v>
      </c>
      <c r="B17" s="416">
        <v>1</v>
      </c>
      <c r="C17" s="416"/>
      <c r="D17" s="416"/>
      <c r="E17" s="446">
        <v>147</v>
      </c>
      <c r="F17" s="446"/>
      <c r="G17" s="447"/>
    </row>
    <row r="18" spans="1:7" ht="14.45" customHeight="1" x14ac:dyDescent="0.2">
      <c r="A18" s="451" t="s">
        <v>487</v>
      </c>
      <c r="B18" s="416"/>
      <c r="C18" s="416">
        <v>4</v>
      </c>
      <c r="D18" s="416">
        <v>1</v>
      </c>
      <c r="E18" s="446"/>
      <c r="F18" s="446">
        <v>148</v>
      </c>
      <c r="G18" s="447">
        <v>38</v>
      </c>
    </row>
    <row r="19" spans="1:7" ht="14.45" customHeight="1" x14ac:dyDescent="0.2">
      <c r="A19" s="451" t="s">
        <v>488</v>
      </c>
      <c r="B19" s="416">
        <v>2166</v>
      </c>
      <c r="C19" s="416">
        <v>2113</v>
      </c>
      <c r="D19" s="416">
        <v>3174</v>
      </c>
      <c r="E19" s="446">
        <v>1548969.9900000002</v>
      </c>
      <c r="F19" s="446">
        <v>1618309.66</v>
      </c>
      <c r="G19" s="447">
        <v>2730821</v>
      </c>
    </row>
    <row r="20" spans="1:7" ht="14.45" customHeight="1" thickBot="1" x14ac:dyDescent="0.25">
      <c r="A20" s="452" t="s">
        <v>489</v>
      </c>
      <c r="B20" s="422">
        <v>4</v>
      </c>
      <c r="C20" s="422"/>
      <c r="D20" s="422"/>
      <c r="E20" s="448">
        <v>258</v>
      </c>
      <c r="F20" s="448"/>
      <c r="G20" s="449"/>
    </row>
    <row r="21" spans="1:7" ht="14.45" customHeight="1" x14ac:dyDescent="0.2">
      <c r="A21" s="441" t="s">
        <v>179</v>
      </c>
    </row>
    <row r="22" spans="1:7" ht="14.45" customHeight="1" x14ac:dyDescent="0.2">
      <c r="A22" s="442" t="s">
        <v>473</v>
      </c>
    </row>
    <row r="23" spans="1:7" ht="14.45" customHeight="1" x14ac:dyDescent="0.2">
      <c r="A23" s="441" t="s">
        <v>474</v>
      </c>
    </row>
  </sheetData>
  <autoFilter ref="A4:A5" xr:uid="{00000000-0009-0000-0000-000021000000}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 xr:uid="{1E496B4E-967A-47E6-94FC-3A645CD1573E}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List2">
    <tabColor theme="0" tint="-0.249977111117893"/>
    <outlinePr summaryRight="0"/>
    <pageSetUpPr fitToPage="1"/>
  </sheetPr>
  <dimension ref="A1:R29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ColWidth="8.85546875" defaultRowHeight="14.45" customHeight="1" outlineLevelCol="1" x14ac:dyDescent="0.2"/>
  <cols>
    <col min="1" max="1" width="3.28515625" style="104" customWidth="1"/>
    <col min="2" max="2" width="8.7109375" style="104" bestFit="1" customWidth="1"/>
    <col min="3" max="3" width="6.140625" style="104" customWidth="1"/>
    <col min="4" max="4" width="2.140625" style="104" bestFit="1" customWidth="1"/>
    <col min="5" max="5" width="8" style="104" customWidth="1"/>
    <col min="6" max="6" width="50.85546875" style="104" bestFit="1" customWidth="1" collapsed="1"/>
    <col min="7" max="8" width="11.140625" style="180" hidden="1" customWidth="1" outlineLevel="1"/>
    <col min="9" max="10" width="9.28515625" style="104" hidden="1" customWidth="1"/>
    <col min="11" max="12" width="11.140625" style="180" customWidth="1"/>
    <col min="13" max="14" width="9.28515625" style="104" hidden="1" customWidth="1"/>
    <col min="15" max="16" width="11.140625" style="180" customWidth="1"/>
    <col min="17" max="17" width="11.140625" style="183" customWidth="1"/>
    <col min="18" max="18" width="11.140625" style="180" customWidth="1"/>
    <col min="19" max="16384" width="8.85546875" style="104"/>
  </cols>
  <sheetData>
    <row r="1" spans="1:18" ht="18.600000000000001" customHeight="1" thickBot="1" x14ac:dyDescent="0.35">
      <c r="A1" s="272" t="s">
        <v>540</v>
      </c>
      <c r="B1" s="304"/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  <c r="N1" s="304"/>
      <c r="O1" s="304"/>
      <c r="P1" s="304"/>
      <c r="Q1" s="304"/>
      <c r="R1" s="304"/>
    </row>
    <row r="2" spans="1:18" ht="14.45" customHeight="1" thickBot="1" x14ac:dyDescent="0.25">
      <c r="A2" s="199" t="s">
        <v>202</v>
      </c>
      <c r="B2" s="170"/>
      <c r="C2" s="170"/>
      <c r="D2" s="86"/>
      <c r="E2" s="86"/>
      <c r="F2" s="86"/>
      <c r="G2" s="197"/>
      <c r="H2" s="197"/>
      <c r="I2" s="86"/>
      <c r="J2" s="86"/>
      <c r="K2" s="197"/>
      <c r="L2" s="197"/>
      <c r="M2" s="86"/>
      <c r="N2" s="86"/>
      <c r="O2" s="197"/>
      <c r="P2" s="197"/>
      <c r="Q2" s="194"/>
      <c r="R2" s="197"/>
    </row>
    <row r="3" spans="1:18" ht="14.45" customHeight="1" thickBot="1" x14ac:dyDescent="0.25">
      <c r="F3" s="63" t="s">
        <v>105</v>
      </c>
      <c r="G3" s="77">
        <f t="shared" ref="G3:P3" si="0">SUBTOTAL(9,G6:G1048576)</f>
        <v>2221.9</v>
      </c>
      <c r="H3" s="78">
        <f t="shared" si="0"/>
        <v>1568323.69</v>
      </c>
      <c r="I3" s="58"/>
      <c r="J3" s="58"/>
      <c r="K3" s="78">
        <f t="shared" si="0"/>
        <v>2159</v>
      </c>
      <c r="L3" s="78">
        <f t="shared" si="0"/>
        <v>1640751.6600000001</v>
      </c>
      <c r="M3" s="58"/>
      <c r="N3" s="58"/>
      <c r="O3" s="78">
        <f t="shared" si="0"/>
        <v>3439</v>
      </c>
      <c r="P3" s="78">
        <f t="shared" si="0"/>
        <v>2781930.67</v>
      </c>
      <c r="Q3" s="59">
        <f>IF(L3=0,0,P3/L3)</f>
        <v>1.6955220816293428</v>
      </c>
      <c r="R3" s="79">
        <f>IF(O3=0,0,P3/O3)</f>
        <v>808.93593195696417</v>
      </c>
    </row>
    <row r="4" spans="1:18" ht="14.45" customHeight="1" x14ac:dyDescent="0.2">
      <c r="A4" s="355" t="s">
        <v>145</v>
      </c>
      <c r="B4" s="355" t="s">
        <v>76</v>
      </c>
      <c r="C4" s="363" t="s">
        <v>0</v>
      </c>
      <c r="D4" s="357" t="s">
        <v>77</v>
      </c>
      <c r="E4" s="362" t="s">
        <v>52</v>
      </c>
      <c r="F4" s="358" t="s">
        <v>51</v>
      </c>
      <c r="G4" s="359">
        <v>2015</v>
      </c>
      <c r="H4" s="360"/>
      <c r="I4" s="76"/>
      <c r="J4" s="76"/>
      <c r="K4" s="359">
        <v>2018</v>
      </c>
      <c r="L4" s="360"/>
      <c r="M4" s="76"/>
      <c r="N4" s="76"/>
      <c r="O4" s="359">
        <v>2019</v>
      </c>
      <c r="P4" s="360"/>
      <c r="Q4" s="361" t="s">
        <v>2</v>
      </c>
      <c r="R4" s="356" t="s">
        <v>79</v>
      </c>
    </row>
    <row r="5" spans="1:18" ht="14.45" customHeight="1" thickBot="1" x14ac:dyDescent="0.25">
      <c r="A5" s="453"/>
      <c r="B5" s="453"/>
      <c r="C5" s="454"/>
      <c r="D5" s="455"/>
      <c r="E5" s="456"/>
      <c r="F5" s="457"/>
      <c r="G5" s="458" t="s">
        <v>53</v>
      </c>
      <c r="H5" s="459" t="s">
        <v>10</v>
      </c>
      <c r="I5" s="460"/>
      <c r="J5" s="460"/>
      <c r="K5" s="458" t="s">
        <v>53</v>
      </c>
      <c r="L5" s="459" t="s">
        <v>10</v>
      </c>
      <c r="M5" s="460"/>
      <c r="N5" s="460"/>
      <c r="O5" s="458" t="s">
        <v>53</v>
      </c>
      <c r="P5" s="459" t="s">
        <v>10</v>
      </c>
      <c r="Q5" s="461"/>
      <c r="R5" s="462"/>
    </row>
    <row r="6" spans="1:18" ht="14.45" customHeight="1" x14ac:dyDescent="0.2">
      <c r="A6" s="406" t="s">
        <v>491</v>
      </c>
      <c r="B6" s="407" t="s">
        <v>492</v>
      </c>
      <c r="C6" s="407" t="s">
        <v>270</v>
      </c>
      <c r="D6" s="407" t="s">
        <v>493</v>
      </c>
      <c r="E6" s="407" t="s">
        <v>494</v>
      </c>
      <c r="F6" s="407" t="s">
        <v>495</v>
      </c>
      <c r="G6" s="410">
        <v>0.2</v>
      </c>
      <c r="H6" s="410">
        <v>10.82</v>
      </c>
      <c r="I6" s="407"/>
      <c r="J6" s="407">
        <v>54.1</v>
      </c>
      <c r="K6" s="410"/>
      <c r="L6" s="410"/>
      <c r="M6" s="407"/>
      <c r="N6" s="407"/>
      <c r="O6" s="410"/>
      <c r="P6" s="410"/>
      <c r="Q6" s="463"/>
      <c r="R6" s="411"/>
    </row>
    <row r="7" spans="1:18" ht="14.45" customHeight="1" x14ac:dyDescent="0.2">
      <c r="A7" s="412" t="s">
        <v>491</v>
      </c>
      <c r="B7" s="413" t="s">
        <v>492</v>
      </c>
      <c r="C7" s="413" t="s">
        <v>270</v>
      </c>
      <c r="D7" s="413" t="s">
        <v>493</v>
      </c>
      <c r="E7" s="413" t="s">
        <v>496</v>
      </c>
      <c r="F7" s="413" t="s">
        <v>497</v>
      </c>
      <c r="G7" s="416">
        <v>0.2</v>
      </c>
      <c r="H7" s="416">
        <v>2.57</v>
      </c>
      <c r="I7" s="413"/>
      <c r="J7" s="413">
        <v>12.849999999999998</v>
      </c>
      <c r="K7" s="416"/>
      <c r="L7" s="416"/>
      <c r="M7" s="413"/>
      <c r="N7" s="413"/>
      <c r="O7" s="416"/>
      <c r="P7" s="416"/>
      <c r="Q7" s="464"/>
      <c r="R7" s="417"/>
    </row>
    <row r="8" spans="1:18" ht="14.45" customHeight="1" x14ac:dyDescent="0.2">
      <c r="A8" s="412" t="s">
        <v>491</v>
      </c>
      <c r="B8" s="413" t="s">
        <v>492</v>
      </c>
      <c r="C8" s="413" t="s">
        <v>270</v>
      </c>
      <c r="D8" s="413" t="s">
        <v>493</v>
      </c>
      <c r="E8" s="413" t="s">
        <v>498</v>
      </c>
      <c r="F8" s="413" t="s">
        <v>499</v>
      </c>
      <c r="G8" s="416">
        <v>0.1</v>
      </c>
      <c r="H8" s="416">
        <v>6.14</v>
      </c>
      <c r="I8" s="413"/>
      <c r="J8" s="413">
        <v>61.399999999999991</v>
      </c>
      <c r="K8" s="416"/>
      <c r="L8" s="416"/>
      <c r="M8" s="413"/>
      <c r="N8" s="413"/>
      <c r="O8" s="416"/>
      <c r="P8" s="416"/>
      <c r="Q8" s="464"/>
      <c r="R8" s="417"/>
    </row>
    <row r="9" spans="1:18" ht="14.45" customHeight="1" x14ac:dyDescent="0.2">
      <c r="A9" s="412" t="s">
        <v>491</v>
      </c>
      <c r="B9" s="413" t="s">
        <v>492</v>
      </c>
      <c r="C9" s="413" t="s">
        <v>270</v>
      </c>
      <c r="D9" s="413" t="s">
        <v>493</v>
      </c>
      <c r="E9" s="413" t="s">
        <v>500</v>
      </c>
      <c r="F9" s="413" t="s">
        <v>501</v>
      </c>
      <c r="G9" s="416">
        <v>0.2</v>
      </c>
      <c r="H9" s="416">
        <v>54.34</v>
      </c>
      <c r="I9" s="413"/>
      <c r="J9" s="413">
        <v>271.7</v>
      </c>
      <c r="K9" s="416"/>
      <c r="L9" s="416"/>
      <c r="M9" s="413"/>
      <c r="N9" s="413"/>
      <c r="O9" s="416"/>
      <c r="P9" s="416"/>
      <c r="Q9" s="464"/>
      <c r="R9" s="417"/>
    </row>
    <row r="10" spans="1:18" ht="14.45" customHeight="1" x14ac:dyDescent="0.2">
      <c r="A10" s="412" t="s">
        <v>491</v>
      </c>
      <c r="B10" s="413" t="s">
        <v>492</v>
      </c>
      <c r="C10" s="413" t="s">
        <v>270</v>
      </c>
      <c r="D10" s="413" t="s">
        <v>493</v>
      </c>
      <c r="E10" s="413" t="s">
        <v>502</v>
      </c>
      <c r="F10" s="413" t="s">
        <v>503</v>
      </c>
      <c r="G10" s="416">
        <v>2</v>
      </c>
      <c r="H10" s="416">
        <v>24.36</v>
      </c>
      <c r="I10" s="413"/>
      <c r="J10" s="413">
        <v>12.18</v>
      </c>
      <c r="K10" s="416"/>
      <c r="L10" s="416"/>
      <c r="M10" s="413"/>
      <c r="N10" s="413"/>
      <c r="O10" s="416"/>
      <c r="P10" s="416"/>
      <c r="Q10" s="464"/>
      <c r="R10" s="417"/>
    </row>
    <row r="11" spans="1:18" ht="14.45" customHeight="1" x14ac:dyDescent="0.2">
      <c r="A11" s="412" t="s">
        <v>491</v>
      </c>
      <c r="B11" s="413" t="s">
        <v>492</v>
      </c>
      <c r="C11" s="413" t="s">
        <v>270</v>
      </c>
      <c r="D11" s="413" t="s">
        <v>493</v>
      </c>
      <c r="E11" s="413" t="s">
        <v>504</v>
      </c>
      <c r="F11" s="413" t="s">
        <v>503</v>
      </c>
      <c r="G11" s="416">
        <v>5</v>
      </c>
      <c r="H11" s="416">
        <v>12.2</v>
      </c>
      <c r="I11" s="413"/>
      <c r="J11" s="413">
        <v>2.44</v>
      </c>
      <c r="K11" s="416"/>
      <c r="L11" s="416"/>
      <c r="M11" s="413"/>
      <c r="N11" s="413"/>
      <c r="O11" s="416">
        <v>1</v>
      </c>
      <c r="P11" s="416">
        <v>2.44</v>
      </c>
      <c r="Q11" s="464"/>
      <c r="R11" s="417">
        <v>2.44</v>
      </c>
    </row>
    <row r="12" spans="1:18" ht="14.45" customHeight="1" x14ac:dyDescent="0.2">
      <c r="A12" s="412" t="s">
        <v>491</v>
      </c>
      <c r="B12" s="413" t="s">
        <v>492</v>
      </c>
      <c r="C12" s="413" t="s">
        <v>270</v>
      </c>
      <c r="D12" s="413" t="s">
        <v>493</v>
      </c>
      <c r="E12" s="413" t="s">
        <v>505</v>
      </c>
      <c r="F12" s="413" t="s">
        <v>503</v>
      </c>
      <c r="G12" s="416">
        <v>2</v>
      </c>
      <c r="H12" s="416">
        <v>12.18</v>
      </c>
      <c r="I12" s="413"/>
      <c r="J12" s="413">
        <v>6.09</v>
      </c>
      <c r="K12" s="416"/>
      <c r="L12" s="416"/>
      <c r="M12" s="413"/>
      <c r="N12" s="413"/>
      <c r="O12" s="416"/>
      <c r="P12" s="416"/>
      <c r="Q12" s="464"/>
      <c r="R12" s="417"/>
    </row>
    <row r="13" spans="1:18" ht="14.45" customHeight="1" x14ac:dyDescent="0.2">
      <c r="A13" s="412" t="s">
        <v>491</v>
      </c>
      <c r="B13" s="413" t="s">
        <v>492</v>
      </c>
      <c r="C13" s="413" t="s">
        <v>270</v>
      </c>
      <c r="D13" s="413" t="s">
        <v>493</v>
      </c>
      <c r="E13" s="413" t="s">
        <v>506</v>
      </c>
      <c r="F13" s="413" t="s">
        <v>507</v>
      </c>
      <c r="G13" s="416">
        <v>2</v>
      </c>
      <c r="H13" s="416">
        <v>2237.8000000000002</v>
      </c>
      <c r="I13" s="413"/>
      <c r="J13" s="413">
        <v>1118.9000000000001</v>
      </c>
      <c r="K13" s="416"/>
      <c r="L13" s="416"/>
      <c r="M13" s="413"/>
      <c r="N13" s="413"/>
      <c r="O13" s="416">
        <v>1</v>
      </c>
      <c r="P13" s="416">
        <v>1118.9000000000001</v>
      </c>
      <c r="Q13" s="464"/>
      <c r="R13" s="417">
        <v>1118.9000000000001</v>
      </c>
    </row>
    <row r="14" spans="1:18" ht="14.45" customHeight="1" x14ac:dyDescent="0.2">
      <c r="A14" s="412" t="s">
        <v>491</v>
      </c>
      <c r="B14" s="413" t="s">
        <v>492</v>
      </c>
      <c r="C14" s="413" t="s">
        <v>270</v>
      </c>
      <c r="D14" s="413" t="s">
        <v>493</v>
      </c>
      <c r="E14" s="413" t="s">
        <v>508</v>
      </c>
      <c r="F14" s="413" t="s">
        <v>509</v>
      </c>
      <c r="G14" s="416">
        <v>0.1</v>
      </c>
      <c r="H14" s="416">
        <v>16.78</v>
      </c>
      <c r="I14" s="413"/>
      <c r="J14" s="413">
        <v>167.8</v>
      </c>
      <c r="K14" s="416"/>
      <c r="L14" s="416"/>
      <c r="M14" s="413"/>
      <c r="N14" s="413"/>
      <c r="O14" s="416"/>
      <c r="P14" s="416"/>
      <c r="Q14" s="464"/>
      <c r="R14" s="417"/>
    </row>
    <row r="15" spans="1:18" ht="14.45" customHeight="1" x14ac:dyDescent="0.2">
      <c r="A15" s="412" t="s">
        <v>491</v>
      </c>
      <c r="B15" s="413" t="s">
        <v>492</v>
      </c>
      <c r="C15" s="413" t="s">
        <v>270</v>
      </c>
      <c r="D15" s="413" t="s">
        <v>493</v>
      </c>
      <c r="E15" s="413" t="s">
        <v>510</v>
      </c>
      <c r="F15" s="413" t="s">
        <v>511</v>
      </c>
      <c r="G15" s="416">
        <v>0.1</v>
      </c>
      <c r="H15" s="416">
        <v>28.63</v>
      </c>
      <c r="I15" s="413"/>
      <c r="J15" s="413">
        <v>286.29999999999995</v>
      </c>
      <c r="K15" s="416"/>
      <c r="L15" s="416"/>
      <c r="M15" s="413"/>
      <c r="N15" s="413"/>
      <c r="O15" s="416"/>
      <c r="P15" s="416"/>
      <c r="Q15" s="464"/>
      <c r="R15" s="417"/>
    </row>
    <row r="16" spans="1:18" ht="14.45" customHeight="1" x14ac:dyDescent="0.2">
      <c r="A16" s="412" t="s">
        <v>491</v>
      </c>
      <c r="B16" s="413" t="s">
        <v>492</v>
      </c>
      <c r="C16" s="413" t="s">
        <v>270</v>
      </c>
      <c r="D16" s="413" t="s">
        <v>493</v>
      </c>
      <c r="E16" s="413" t="s">
        <v>512</v>
      </c>
      <c r="F16" s="413" t="s">
        <v>513</v>
      </c>
      <c r="G16" s="416">
        <v>2</v>
      </c>
      <c r="H16" s="416">
        <v>163.88</v>
      </c>
      <c r="I16" s="413"/>
      <c r="J16" s="413">
        <v>81.94</v>
      </c>
      <c r="K16" s="416"/>
      <c r="L16" s="416"/>
      <c r="M16" s="413"/>
      <c r="N16" s="413"/>
      <c r="O16" s="416"/>
      <c r="P16" s="416"/>
      <c r="Q16" s="464"/>
      <c r="R16" s="417"/>
    </row>
    <row r="17" spans="1:18" ht="14.45" customHeight="1" x14ac:dyDescent="0.2">
      <c r="A17" s="412" t="s">
        <v>491</v>
      </c>
      <c r="B17" s="413" t="s">
        <v>492</v>
      </c>
      <c r="C17" s="413" t="s">
        <v>270</v>
      </c>
      <c r="D17" s="413" t="s">
        <v>493</v>
      </c>
      <c r="E17" s="413" t="s">
        <v>514</v>
      </c>
      <c r="F17" s="413" t="s">
        <v>515</v>
      </c>
      <c r="G17" s="416"/>
      <c r="H17" s="416"/>
      <c r="I17" s="413"/>
      <c r="J17" s="413"/>
      <c r="K17" s="416"/>
      <c r="L17" s="416"/>
      <c r="M17" s="413"/>
      <c r="N17" s="413"/>
      <c r="O17" s="416">
        <v>0</v>
      </c>
      <c r="P17" s="416">
        <v>0</v>
      </c>
      <c r="Q17" s="464"/>
      <c r="R17" s="417"/>
    </row>
    <row r="18" spans="1:18" ht="14.45" customHeight="1" x14ac:dyDescent="0.2">
      <c r="A18" s="412" t="s">
        <v>491</v>
      </c>
      <c r="B18" s="413" t="s">
        <v>492</v>
      </c>
      <c r="C18" s="413" t="s">
        <v>270</v>
      </c>
      <c r="D18" s="413" t="s">
        <v>516</v>
      </c>
      <c r="E18" s="413" t="s">
        <v>517</v>
      </c>
      <c r="F18" s="413" t="s">
        <v>518</v>
      </c>
      <c r="G18" s="416">
        <v>8</v>
      </c>
      <c r="H18" s="416">
        <v>1176</v>
      </c>
      <c r="I18" s="413"/>
      <c r="J18" s="413">
        <v>147</v>
      </c>
      <c r="K18" s="416"/>
      <c r="L18" s="416"/>
      <c r="M18" s="413"/>
      <c r="N18" s="413"/>
      <c r="O18" s="416">
        <v>1</v>
      </c>
      <c r="P18" s="416">
        <v>151</v>
      </c>
      <c r="Q18" s="464"/>
      <c r="R18" s="417">
        <v>151</v>
      </c>
    </row>
    <row r="19" spans="1:18" ht="14.45" customHeight="1" x14ac:dyDescent="0.2">
      <c r="A19" s="412" t="s">
        <v>491</v>
      </c>
      <c r="B19" s="413" t="s">
        <v>492</v>
      </c>
      <c r="C19" s="413" t="s">
        <v>270</v>
      </c>
      <c r="D19" s="413" t="s">
        <v>516</v>
      </c>
      <c r="E19" s="413" t="s">
        <v>519</v>
      </c>
      <c r="F19" s="413" t="s">
        <v>520</v>
      </c>
      <c r="G19" s="416">
        <v>207</v>
      </c>
      <c r="H19" s="416">
        <v>7659</v>
      </c>
      <c r="I19" s="413">
        <v>1.0561224489795917</v>
      </c>
      <c r="J19" s="413">
        <v>37</v>
      </c>
      <c r="K19" s="416">
        <v>196</v>
      </c>
      <c r="L19" s="416">
        <v>7252</v>
      </c>
      <c r="M19" s="413">
        <v>1</v>
      </c>
      <c r="N19" s="413">
        <v>37</v>
      </c>
      <c r="O19" s="416">
        <v>189</v>
      </c>
      <c r="P19" s="416">
        <v>7182</v>
      </c>
      <c r="Q19" s="464">
        <v>0.99034749034749037</v>
      </c>
      <c r="R19" s="417">
        <v>38</v>
      </c>
    </row>
    <row r="20" spans="1:18" ht="14.45" customHeight="1" x14ac:dyDescent="0.2">
      <c r="A20" s="412" t="s">
        <v>491</v>
      </c>
      <c r="B20" s="413" t="s">
        <v>492</v>
      </c>
      <c r="C20" s="413" t="s">
        <v>270</v>
      </c>
      <c r="D20" s="413" t="s">
        <v>516</v>
      </c>
      <c r="E20" s="413" t="s">
        <v>521</v>
      </c>
      <c r="F20" s="413" t="s">
        <v>522</v>
      </c>
      <c r="G20" s="416"/>
      <c r="H20" s="416"/>
      <c r="I20" s="413"/>
      <c r="J20" s="413"/>
      <c r="K20" s="416"/>
      <c r="L20" s="416"/>
      <c r="M20" s="413"/>
      <c r="N20" s="413"/>
      <c r="O20" s="416">
        <v>0</v>
      </c>
      <c r="P20" s="416">
        <v>0</v>
      </c>
      <c r="Q20" s="464"/>
      <c r="R20" s="417"/>
    </row>
    <row r="21" spans="1:18" ht="14.45" customHeight="1" x14ac:dyDescent="0.2">
      <c r="A21" s="412" t="s">
        <v>491</v>
      </c>
      <c r="B21" s="413" t="s">
        <v>492</v>
      </c>
      <c r="C21" s="413" t="s">
        <v>270</v>
      </c>
      <c r="D21" s="413" t="s">
        <v>516</v>
      </c>
      <c r="E21" s="413" t="s">
        <v>523</v>
      </c>
      <c r="F21" s="413" t="s">
        <v>524</v>
      </c>
      <c r="G21" s="416">
        <v>80</v>
      </c>
      <c r="H21" s="416">
        <v>37600</v>
      </c>
      <c r="I21" s="413">
        <v>0.68230896256373963</v>
      </c>
      <c r="J21" s="413">
        <v>470</v>
      </c>
      <c r="K21" s="416">
        <v>117</v>
      </c>
      <c r="L21" s="416">
        <v>55107</v>
      </c>
      <c r="M21" s="413">
        <v>1</v>
      </c>
      <c r="N21" s="413">
        <v>471</v>
      </c>
      <c r="O21" s="416">
        <v>288</v>
      </c>
      <c r="P21" s="416">
        <v>136512</v>
      </c>
      <c r="Q21" s="464">
        <v>2.477217050465458</v>
      </c>
      <c r="R21" s="417">
        <v>474</v>
      </c>
    </row>
    <row r="22" spans="1:18" ht="14.45" customHeight="1" x14ac:dyDescent="0.2">
      <c r="A22" s="412" t="s">
        <v>491</v>
      </c>
      <c r="B22" s="413" t="s">
        <v>492</v>
      </c>
      <c r="C22" s="413" t="s">
        <v>270</v>
      </c>
      <c r="D22" s="413" t="s">
        <v>516</v>
      </c>
      <c r="E22" s="413" t="s">
        <v>525</v>
      </c>
      <c r="F22" s="413" t="s">
        <v>526</v>
      </c>
      <c r="G22" s="416">
        <v>93</v>
      </c>
      <c r="H22" s="416">
        <v>3099.99</v>
      </c>
      <c r="I22" s="413">
        <v>0.92079093225927178</v>
      </c>
      <c r="J22" s="413">
        <v>33.333225806451608</v>
      </c>
      <c r="K22" s="416">
        <v>101</v>
      </c>
      <c r="L22" s="416">
        <v>3366.66</v>
      </c>
      <c r="M22" s="413">
        <v>1</v>
      </c>
      <c r="N22" s="413">
        <v>33.333267326732674</v>
      </c>
      <c r="O22" s="416">
        <v>241</v>
      </c>
      <c r="P22" s="416">
        <v>8033.33</v>
      </c>
      <c r="Q22" s="464">
        <v>2.3861423487967302</v>
      </c>
      <c r="R22" s="417">
        <v>33.333319502074687</v>
      </c>
    </row>
    <row r="23" spans="1:18" ht="14.45" customHeight="1" x14ac:dyDescent="0.2">
      <c r="A23" s="412" t="s">
        <v>491</v>
      </c>
      <c r="B23" s="413" t="s">
        <v>492</v>
      </c>
      <c r="C23" s="413" t="s">
        <v>270</v>
      </c>
      <c r="D23" s="413" t="s">
        <v>516</v>
      </c>
      <c r="E23" s="413" t="s">
        <v>527</v>
      </c>
      <c r="F23" s="413" t="s">
        <v>528</v>
      </c>
      <c r="G23" s="416">
        <v>25</v>
      </c>
      <c r="H23" s="416">
        <v>925</v>
      </c>
      <c r="I23" s="413">
        <v>0.65789473684210531</v>
      </c>
      <c r="J23" s="413">
        <v>37</v>
      </c>
      <c r="K23" s="416">
        <v>38</v>
      </c>
      <c r="L23" s="416">
        <v>1406</v>
      </c>
      <c r="M23" s="413">
        <v>1</v>
      </c>
      <c r="N23" s="413">
        <v>37</v>
      </c>
      <c r="O23" s="416">
        <v>31</v>
      </c>
      <c r="P23" s="416">
        <v>1178</v>
      </c>
      <c r="Q23" s="464">
        <v>0.83783783783783783</v>
      </c>
      <c r="R23" s="417">
        <v>38</v>
      </c>
    </row>
    <row r="24" spans="1:18" ht="14.45" customHeight="1" x14ac:dyDescent="0.2">
      <c r="A24" s="412" t="s">
        <v>491</v>
      </c>
      <c r="B24" s="413" t="s">
        <v>492</v>
      </c>
      <c r="C24" s="413" t="s">
        <v>270</v>
      </c>
      <c r="D24" s="413" t="s">
        <v>516</v>
      </c>
      <c r="E24" s="413" t="s">
        <v>529</v>
      </c>
      <c r="F24" s="413" t="s">
        <v>530</v>
      </c>
      <c r="G24" s="416"/>
      <c r="H24" s="416"/>
      <c r="I24" s="413"/>
      <c r="J24" s="413"/>
      <c r="K24" s="416"/>
      <c r="L24" s="416"/>
      <c r="M24" s="413"/>
      <c r="N24" s="413"/>
      <c r="O24" s="416">
        <v>7</v>
      </c>
      <c r="P24" s="416">
        <v>938</v>
      </c>
      <c r="Q24" s="464"/>
      <c r="R24" s="417">
        <v>134</v>
      </c>
    </row>
    <row r="25" spans="1:18" ht="14.45" customHeight="1" x14ac:dyDescent="0.2">
      <c r="A25" s="412" t="s">
        <v>491</v>
      </c>
      <c r="B25" s="413" t="s">
        <v>492</v>
      </c>
      <c r="C25" s="413" t="s">
        <v>270</v>
      </c>
      <c r="D25" s="413" t="s">
        <v>516</v>
      </c>
      <c r="E25" s="413" t="s">
        <v>531</v>
      </c>
      <c r="F25" s="413" t="s">
        <v>532</v>
      </c>
      <c r="G25" s="416">
        <v>16</v>
      </c>
      <c r="H25" s="416">
        <v>3760</v>
      </c>
      <c r="I25" s="413">
        <v>0.61277705345501954</v>
      </c>
      <c r="J25" s="413">
        <v>235</v>
      </c>
      <c r="K25" s="416">
        <v>26</v>
      </c>
      <c r="L25" s="416">
        <v>6136</v>
      </c>
      <c r="M25" s="413">
        <v>1</v>
      </c>
      <c r="N25" s="413">
        <v>236</v>
      </c>
      <c r="O25" s="416">
        <v>13</v>
      </c>
      <c r="P25" s="416">
        <v>3081</v>
      </c>
      <c r="Q25" s="464">
        <v>0.5021186440677966</v>
      </c>
      <c r="R25" s="417">
        <v>237</v>
      </c>
    </row>
    <row r="26" spans="1:18" ht="14.45" customHeight="1" x14ac:dyDescent="0.2">
      <c r="A26" s="412" t="s">
        <v>491</v>
      </c>
      <c r="B26" s="413" t="s">
        <v>492</v>
      </c>
      <c r="C26" s="413" t="s">
        <v>270</v>
      </c>
      <c r="D26" s="413" t="s">
        <v>516</v>
      </c>
      <c r="E26" s="413" t="s">
        <v>533</v>
      </c>
      <c r="F26" s="413" t="s">
        <v>534</v>
      </c>
      <c r="G26" s="416">
        <v>8</v>
      </c>
      <c r="H26" s="416">
        <v>472</v>
      </c>
      <c r="I26" s="413">
        <v>2</v>
      </c>
      <c r="J26" s="413">
        <v>59</v>
      </c>
      <c r="K26" s="416">
        <v>4</v>
      </c>
      <c r="L26" s="416">
        <v>236</v>
      </c>
      <c r="M26" s="413">
        <v>1</v>
      </c>
      <c r="N26" s="413">
        <v>59</v>
      </c>
      <c r="O26" s="416">
        <v>24</v>
      </c>
      <c r="P26" s="416">
        <v>1464</v>
      </c>
      <c r="Q26" s="464">
        <v>6.2033898305084749</v>
      </c>
      <c r="R26" s="417">
        <v>61</v>
      </c>
    </row>
    <row r="27" spans="1:18" ht="14.45" customHeight="1" x14ac:dyDescent="0.2">
      <c r="A27" s="412" t="s">
        <v>491</v>
      </c>
      <c r="B27" s="413" t="s">
        <v>492</v>
      </c>
      <c r="C27" s="413" t="s">
        <v>270</v>
      </c>
      <c r="D27" s="413" t="s">
        <v>516</v>
      </c>
      <c r="E27" s="413" t="s">
        <v>535</v>
      </c>
      <c r="F27" s="413" t="s">
        <v>536</v>
      </c>
      <c r="G27" s="416">
        <v>1456</v>
      </c>
      <c r="H27" s="416">
        <v>381472</v>
      </c>
      <c r="I27" s="413">
        <v>1.0833333333333333</v>
      </c>
      <c r="J27" s="413">
        <v>262</v>
      </c>
      <c r="K27" s="416">
        <v>1344</v>
      </c>
      <c r="L27" s="416">
        <v>352128</v>
      </c>
      <c r="M27" s="413">
        <v>1</v>
      </c>
      <c r="N27" s="413">
        <v>262</v>
      </c>
      <c r="O27" s="416">
        <v>2077</v>
      </c>
      <c r="P27" s="416">
        <v>544174</v>
      </c>
      <c r="Q27" s="464">
        <v>1.5453869047619047</v>
      </c>
      <c r="R27" s="417">
        <v>262</v>
      </c>
    </row>
    <row r="28" spans="1:18" ht="14.45" customHeight="1" x14ac:dyDescent="0.2">
      <c r="A28" s="412" t="s">
        <v>491</v>
      </c>
      <c r="B28" s="413" t="s">
        <v>492</v>
      </c>
      <c r="C28" s="413" t="s">
        <v>270</v>
      </c>
      <c r="D28" s="413" t="s">
        <v>516</v>
      </c>
      <c r="E28" s="413" t="s">
        <v>537</v>
      </c>
      <c r="F28" s="413" t="s">
        <v>538</v>
      </c>
      <c r="G28" s="416">
        <v>315</v>
      </c>
      <c r="H28" s="416">
        <v>1129590</v>
      </c>
      <c r="I28" s="413">
        <v>0.984375</v>
      </c>
      <c r="J28" s="413">
        <v>3586</v>
      </c>
      <c r="K28" s="416">
        <v>320</v>
      </c>
      <c r="L28" s="416">
        <v>1147520</v>
      </c>
      <c r="M28" s="413">
        <v>1</v>
      </c>
      <c r="N28" s="413">
        <v>3586</v>
      </c>
      <c r="O28" s="416">
        <v>536</v>
      </c>
      <c r="P28" s="416">
        <v>1922096</v>
      </c>
      <c r="Q28" s="464">
        <v>1.675</v>
      </c>
      <c r="R28" s="417">
        <v>3586</v>
      </c>
    </row>
    <row r="29" spans="1:18" ht="14.45" customHeight="1" thickBot="1" x14ac:dyDescent="0.25">
      <c r="A29" s="418" t="s">
        <v>491</v>
      </c>
      <c r="B29" s="419" t="s">
        <v>492</v>
      </c>
      <c r="C29" s="419" t="s">
        <v>270</v>
      </c>
      <c r="D29" s="419" t="s">
        <v>516</v>
      </c>
      <c r="E29" s="419" t="s">
        <v>539</v>
      </c>
      <c r="F29" s="419" t="s">
        <v>538</v>
      </c>
      <c r="G29" s="422"/>
      <c r="H29" s="422"/>
      <c r="I29" s="419"/>
      <c r="J29" s="419"/>
      <c r="K29" s="422">
        <v>13</v>
      </c>
      <c r="L29" s="422">
        <v>67600</v>
      </c>
      <c r="M29" s="419">
        <v>1</v>
      </c>
      <c r="N29" s="419">
        <v>5200</v>
      </c>
      <c r="O29" s="422">
        <v>30</v>
      </c>
      <c r="P29" s="422">
        <v>156000</v>
      </c>
      <c r="Q29" s="465">
        <v>2.3076923076923075</v>
      </c>
      <c r="R29" s="423">
        <v>5200</v>
      </c>
    </row>
  </sheetData>
  <autoFilter ref="A5:R5" xr:uid="{00000000-0009-0000-0000-000022000000}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 xr:uid="{1863F757-01BB-4787-9FEA-C8192C186EB7}"/>
  </hyperlinks>
  <pageMargins left="0.25" right="0.25" top="0.75" bottom="0.75" header="0.3" footer="0.3"/>
  <pageSetup paperSize="9" scale="7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List58">
    <tabColor theme="0" tint="-0.249977111117893"/>
    <outlinePr summaryRight="0"/>
    <pageSetUpPr fitToPage="1"/>
  </sheetPr>
  <dimension ref="A1:S62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ColWidth="8.85546875" defaultRowHeight="14.45" customHeight="1" outlineLevelCol="1" x14ac:dyDescent="0.2"/>
  <cols>
    <col min="1" max="1" width="3.28515625" style="104" customWidth="1"/>
    <col min="2" max="2" width="8.7109375" style="104" bestFit="1" customWidth="1"/>
    <col min="3" max="3" width="6.140625" style="104" customWidth="1"/>
    <col min="4" max="4" width="27.7109375" style="104" customWidth="1"/>
    <col min="5" max="5" width="2.140625" style="104" bestFit="1" customWidth="1"/>
    <col min="6" max="6" width="8" style="104" customWidth="1"/>
    <col min="7" max="7" width="50.85546875" style="104" bestFit="1" customWidth="1" collapsed="1"/>
    <col min="8" max="9" width="11.140625" style="180" hidden="1" customWidth="1" outlineLevel="1"/>
    <col min="10" max="11" width="9.28515625" style="104" hidden="1" customWidth="1"/>
    <col min="12" max="13" width="11.140625" style="180" customWidth="1"/>
    <col min="14" max="15" width="9.28515625" style="104" hidden="1" customWidth="1"/>
    <col min="16" max="17" width="11.140625" style="180" customWidth="1"/>
    <col min="18" max="18" width="11.140625" style="183" customWidth="1"/>
    <col min="19" max="19" width="11.140625" style="180" customWidth="1"/>
    <col min="20" max="16384" width="8.85546875" style="104"/>
  </cols>
  <sheetData>
    <row r="1" spans="1:19" ht="18.600000000000001" customHeight="1" thickBot="1" x14ac:dyDescent="0.35">
      <c r="A1" s="272" t="s">
        <v>541</v>
      </c>
      <c r="B1" s="304"/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  <c r="N1" s="304"/>
      <c r="O1" s="304"/>
      <c r="P1" s="304"/>
      <c r="Q1" s="304"/>
      <c r="R1" s="304"/>
      <c r="S1" s="304"/>
    </row>
    <row r="2" spans="1:19" ht="14.45" customHeight="1" thickBot="1" x14ac:dyDescent="0.25">
      <c r="A2" s="199" t="s">
        <v>202</v>
      </c>
      <c r="B2" s="170"/>
      <c r="C2" s="170"/>
      <c r="D2" s="170"/>
      <c r="E2" s="86"/>
      <c r="F2" s="86"/>
      <c r="G2" s="86"/>
      <c r="H2" s="197"/>
      <c r="I2" s="197"/>
      <c r="J2" s="86"/>
      <c r="K2" s="86"/>
      <c r="L2" s="197"/>
      <c r="M2" s="197"/>
      <c r="N2" s="86"/>
      <c r="O2" s="86"/>
      <c r="P2" s="197"/>
      <c r="Q2" s="197"/>
      <c r="R2" s="194"/>
      <c r="S2" s="197"/>
    </row>
    <row r="3" spans="1:19" ht="14.45" customHeight="1" thickBot="1" x14ac:dyDescent="0.25">
      <c r="G3" s="63" t="s">
        <v>105</v>
      </c>
      <c r="H3" s="77">
        <f t="shared" ref="H3:Q3" si="0">SUBTOTAL(9,H6:H1048576)</f>
        <v>2221.9</v>
      </c>
      <c r="I3" s="78">
        <f t="shared" si="0"/>
        <v>1568323.69</v>
      </c>
      <c r="J3" s="58"/>
      <c r="K3" s="58"/>
      <c r="L3" s="78">
        <f t="shared" si="0"/>
        <v>2159</v>
      </c>
      <c r="M3" s="78">
        <f t="shared" si="0"/>
        <v>1640751.6600000001</v>
      </c>
      <c r="N3" s="58"/>
      <c r="O3" s="58"/>
      <c r="P3" s="78">
        <f t="shared" si="0"/>
        <v>3439</v>
      </c>
      <c r="Q3" s="78">
        <f t="shared" si="0"/>
        <v>2781930.67</v>
      </c>
      <c r="R3" s="59">
        <f>IF(M3=0,0,Q3/M3)</f>
        <v>1.6955220816293428</v>
      </c>
      <c r="S3" s="79">
        <f>IF(P3=0,0,Q3/P3)</f>
        <v>808.93593195696417</v>
      </c>
    </row>
    <row r="4" spans="1:19" ht="14.45" customHeight="1" x14ac:dyDescent="0.2">
      <c r="A4" s="355" t="s">
        <v>145</v>
      </c>
      <c r="B4" s="355" t="s">
        <v>76</v>
      </c>
      <c r="C4" s="363" t="s">
        <v>0</v>
      </c>
      <c r="D4" s="222" t="s">
        <v>106</v>
      </c>
      <c r="E4" s="357" t="s">
        <v>77</v>
      </c>
      <c r="F4" s="362" t="s">
        <v>52</v>
      </c>
      <c r="G4" s="358" t="s">
        <v>51</v>
      </c>
      <c r="H4" s="359">
        <v>2015</v>
      </c>
      <c r="I4" s="360"/>
      <c r="J4" s="76"/>
      <c r="K4" s="76"/>
      <c r="L4" s="359">
        <v>2018</v>
      </c>
      <c r="M4" s="360"/>
      <c r="N4" s="76"/>
      <c r="O4" s="76"/>
      <c r="P4" s="359">
        <v>2019</v>
      </c>
      <c r="Q4" s="360"/>
      <c r="R4" s="361" t="s">
        <v>2</v>
      </c>
      <c r="S4" s="356" t="s">
        <v>79</v>
      </c>
    </row>
    <row r="5" spans="1:19" ht="14.45" customHeight="1" thickBot="1" x14ac:dyDescent="0.25">
      <c r="A5" s="453"/>
      <c r="B5" s="453"/>
      <c r="C5" s="454"/>
      <c r="D5" s="466"/>
      <c r="E5" s="455"/>
      <c r="F5" s="456"/>
      <c r="G5" s="457"/>
      <c r="H5" s="458" t="s">
        <v>53</v>
      </c>
      <c r="I5" s="459" t="s">
        <v>10</v>
      </c>
      <c r="J5" s="460"/>
      <c r="K5" s="460"/>
      <c r="L5" s="458" t="s">
        <v>53</v>
      </c>
      <c r="M5" s="459" t="s">
        <v>10</v>
      </c>
      <c r="N5" s="460"/>
      <c r="O5" s="460"/>
      <c r="P5" s="458" t="s">
        <v>53</v>
      </c>
      <c r="Q5" s="459" t="s">
        <v>10</v>
      </c>
      <c r="R5" s="461"/>
      <c r="S5" s="462"/>
    </row>
    <row r="6" spans="1:19" ht="14.45" customHeight="1" x14ac:dyDescent="0.2">
      <c r="A6" s="406" t="s">
        <v>491</v>
      </c>
      <c r="B6" s="407" t="s">
        <v>492</v>
      </c>
      <c r="C6" s="407" t="s">
        <v>270</v>
      </c>
      <c r="D6" s="407" t="s">
        <v>476</v>
      </c>
      <c r="E6" s="407" t="s">
        <v>493</v>
      </c>
      <c r="F6" s="407" t="s">
        <v>514</v>
      </c>
      <c r="G6" s="407" t="s">
        <v>515</v>
      </c>
      <c r="H6" s="410"/>
      <c r="I6" s="410"/>
      <c r="J6" s="407"/>
      <c r="K6" s="407"/>
      <c r="L6" s="410"/>
      <c r="M6" s="410"/>
      <c r="N6" s="407"/>
      <c r="O6" s="407"/>
      <c r="P6" s="410">
        <v>0</v>
      </c>
      <c r="Q6" s="410">
        <v>0</v>
      </c>
      <c r="R6" s="463"/>
      <c r="S6" s="411"/>
    </row>
    <row r="7" spans="1:19" ht="14.45" customHeight="1" x14ac:dyDescent="0.2">
      <c r="A7" s="412" t="s">
        <v>491</v>
      </c>
      <c r="B7" s="413" t="s">
        <v>492</v>
      </c>
      <c r="C7" s="413" t="s">
        <v>270</v>
      </c>
      <c r="D7" s="413" t="s">
        <v>476</v>
      </c>
      <c r="E7" s="413" t="s">
        <v>516</v>
      </c>
      <c r="F7" s="413" t="s">
        <v>521</v>
      </c>
      <c r="G7" s="413" t="s">
        <v>522</v>
      </c>
      <c r="H7" s="416"/>
      <c r="I7" s="416"/>
      <c r="J7" s="413"/>
      <c r="K7" s="413"/>
      <c r="L7" s="416"/>
      <c r="M7" s="416"/>
      <c r="N7" s="413"/>
      <c r="O7" s="413"/>
      <c r="P7" s="416">
        <v>0</v>
      </c>
      <c r="Q7" s="416">
        <v>0</v>
      </c>
      <c r="R7" s="464"/>
      <c r="S7" s="417"/>
    </row>
    <row r="8" spans="1:19" ht="14.45" customHeight="1" x14ac:dyDescent="0.2">
      <c r="A8" s="412" t="s">
        <v>491</v>
      </c>
      <c r="B8" s="413" t="s">
        <v>492</v>
      </c>
      <c r="C8" s="413" t="s">
        <v>270</v>
      </c>
      <c r="D8" s="413" t="s">
        <v>476</v>
      </c>
      <c r="E8" s="413" t="s">
        <v>516</v>
      </c>
      <c r="F8" s="413" t="s">
        <v>527</v>
      </c>
      <c r="G8" s="413" t="s">
        <v>528</v>
      </c>
      <c r="H8" s="416">
        <v>1</v>
      </c>
      <c r="I8" s="416">
        <v>37</v>
      </c>
      <c r="J8" s="413">
        <v>5.8823529411764705E-2</v>
      </c>
      <c r="K8" s="413">
        <v>37</v>
      </c>
      <c r="L8" s="416">
        <v>17</v>
      </c>
      <c r="M8" s="416">
        <v>629</v>
      </c>
      <c r="N8" s="413">
        <v>1</v>
      </c>
      <c r="O8" s="413">
        <v>37</v>
      </c>
      <c r="P8" s="416">
        <v>28</v>
      </c>
      <c r="Q8" s="416">
        <v>1064</v>
      </c>
      <c r="R8" s="464">
        <v>1.6915739268680445</v>
      </c>
      <c r="S8" s="417">
        <v>38</v>
      </c>
    </row>
    <row r="9" spans="1:19" ht="14.45" customHeight="1" x14ac:dyDescent="0.2">
      <c r="A9" s="412" t="s">
        <v>491</v>
      </c>
      <c r="B9" s="413" t="s">
        <v>492</v>
      </c>
      <c r="C9" s="413" t="s">
        <v>270</v>
      </c>
      <c r="D9" s="413" t="s">
        <v>476</v>
      </c>
      <c r="E9" s="413" t="s">
        <v>516</v>
      </c>
      <c r="F9" s="413" t="s">
        <v>529</v>
      </c>
      <c r="G9" s="413" t="s">
        <v>530</v>
      </c>
      <c r="H9" s="416"/>
      <c r="I9" s="416"/>
      <c r="J9" s="413"/>
      <c r="K9" s="413"/>
      <c r="L9" s="416"/>
      <c r="M9" s="416"/>
      <c r="N9" s="413"/>
      <c r="O9" s="413"/>
      <c r="P9" s="416">
        <v>7</v>
      </c>
      <c r="Q9" s="416">
        <v>938</v>
      </c>
      <c r="R9" s="464"/>
      <c r="S9" s="417">
        <v>134</v>
      </c>
    </row>
    <row r="10" spans="1:19" ht="14.45" customHeight="1" x14ac:dyDescent="0.2">
      <c r="A10" s="412" t="s">
        <v>491</v>
      </c>
      <c r="B10" s="413" t="s">
        <v>492</v>
      </c>
      <c r="C10" s="413" t="s">
        <v>270</v>
      </c>
      <c r="D10" s="413" t="s">
        <v>476</v>
      </c>
      <c r="E10" s="413" t="s">
        <v>516</v>
      </c>
      <c r="F10" s="413" t="s">
        <v>533</v>
      </c>
      <c r="G10" s="413" t="s">
        <v>534</v>
      </c>
      <c r="H10" s="416">
        <v>3</v>
      </c>
      <c r="I10" s="416">
        <v>177</v>
      </c>
      <c r="J10" s="413">
        <v>1.5</v>
      </c>
      <c r="K10" s="413">
        <v>59</v>
      </c>
      <c r="L10" s="416">
        <v>2</v>
      </c>
      <c r="M10" s="416">
        <v>118</v>
      </c>
      <c r="N10" s="413">
        <v>1</v>
      </c>
      <c r="O10" s="413">
        <v>59</v>
      </c>
      <c r="P10" s="416">
        <v>23</v>
      </c>
      <c r="Q10" s="416">
        <v>1403</v>
      </c>
      <c r="R10" s="464">
        <v>11.889830508474576</v>
      </c>
      <c r="S10" s="417">
        <v>61</v>
      </c>
    </row>
    <row r="11" spans="1:19" ht="14.45" customHeight="1" x14ac:dyDescent="0.2">
      <c r="A11" s="412" t="s">
        <v>491</v>
      </c>
      <c r="B11" s="413" t="s">
        <v>492</v>
      </c>
      <c r="C11" s="413" t="s">
        <v>270</v>
      </c>
      <c r="D11" s="413" t="s">
        <v>477</v>
      </c>
      <c r="E11" s="413" t="s">
        <v>516</v>
      </c>
      <c r="F11" s="413" t="s">
        <v>527</v>
      </c>
      <c r="G11" s="413" t="s">
        <v>528</v>
      </c>
      <c r="H11" s="416">
        <v>1</v>
      </c>
      <c r="I11" s="416">
        <v>37</v>
      </c>
      <c r="J11" s="413"/>
      <c r="K11" s="413">
        <v>37</v>
      </c>
      <c r="L11" s="416"/>
      <c r="M11" s="416"/>
      <c r="N11" s="413"/>
      <c r="O11" s="413"/>
      <c r="P11" s="416"/>
      <c r="Q11" s="416"/>
      <c r="R11" s="464"/>
      <c r="S11" s="417"/>
    </row>
    <row r="12" spans="1:19" ht="14.45" customHeight="1" x14ac:dyDescent="0.2">
      <c r="A12" s="412" t="s">
        <v>491</v>
      </c>
      <c r="B12" s="413" t="s">
        <v>492</v>
      </c>
      <c r="C12" s="413" t="s">
        <v>270</v>
      </c>
      <c r="D12" s="413" t="s">
        <v>478</v>
      </c>
      <c r="E12" s="413" t="s">
        <v>493</v>
      </c>
      <c r="F12" s="413" t="s">
        <v>498</v>
      </c>
      <c r="G12" s="413" t="s">
        <v>499</v>
      </c>
      <c r="H12" s="416">
        <v>0.1</v>
      </c>
      <c r="I12" s="416">
        <v>6.14</v>
      </c>
      <c r="J12" s="413"/>
      <c r="K12" s="413">
        <v>61.399999999999991</v>
      </c>
      <c r="L12" s="416"/>
      <c r="M12" s="416"/>
      <c r="N12" s="413"/>
      <c r="O12" s="413"/>
      <c r="P12" s="416"/>
      <c r="Q12" s="416"/>
      <c r="R12" s="464"/>
      <c r="S12" s="417"/>
    </row>
    <row r="13" spans="1:19" ht="14.45" customHeight="1" x14ac:dyDescent="0.2">
      <c r="A13" s="412" t="s">
        <v>491</v>
      </c>
      <c r="B13" s="413" t="s">
        <v>492</v>
      </c>
      <c r="C13" s="413" t="s">
        <v>270</v>
      </c>
      <c r="D13" s="413" t="s">
        <v>478</v>
      </c>
      <c r="E13" s="413" t="s">
        <v>493</v>
      </c>
      <c r="F13" s="413" t="s">
        <v>504</v>
      </c>
      <c r="G13" s="413" t="s">
        <v>503</v>
      </c>
      <c r="H13" s="416">
        <v>2</v>
      </c>
      <c r="I13" s="416">
        <v>4.88</v>
      </c>
      <c r="J13" s="413"/>
      <c r="K13" s="413">
        <v>2.44</v>
      </c>
      <c r="L13" s="416"/>
      <c r="M13" s="416"/>
      <c r="N13" s="413"/>
      <c r="O13" s="413"/>
      <c r="P13" s="416"/>
      <c r="Q13" s="416"/>
      <c r="R13" s="464"/>
      <c r="S13" s="417"/>
    </row>
    <row r="14" spans="1:19" ht="14.45" customHeight="1" x14ac:dyDescent="0.2">
      <c r="A14" s="412" t="s">
        <v>491</v>
      </c>
      <c r="B14" s="413" t="s">
        <v>492</v>
      </c>
      <c r="C14" s="413" t="s">
        <v>270</v>
      </c>
      <c r="D14" s="413" t="s">
        <v>478</v>
      </c>
      <c r="E14" s="413" t="s">
        <v>493</v>
      </c>
      <c r="F14" s="413" t="s">
        <v>508</v>
      </c>
      <c r="G14" s="413" t="s">
        <v>509</v>
      </c>
      <c r="H14" s="416">
        <v>0.1</v>
      </c>
      <c r="I14" s="416">
        <v>16.78</v>
      </c>
      <c r="J14" s="413"/>
      <c r="K14" s="413">
        <v>167.8</v>
      </c>
      <c r="L14" s="416"/>
      <c r="M14" s="416"/>
      <c r="N14" s="413"/>
      <c r="O14" s="413"/>
      <c r="P14" s="416"/>
      <c r="Q14" s="416"/>
      <c r="R14" s="464"/>
      <c r="S14" s="417"/>
    </row>
    <row r="15" spans="1:19" ht="14.45" customHeight="1" x14ac:dyDescent="0.2">
      <c r="A15" s="412" t="s">
        <v>491</v>
      </c>
      <c r="B15" s="413" t="s">
        <v>492</v>
      </c>
      <c r="C15" s="413" t="s">
        <v>270</v>
      </c>
      <c r="D15" s="413" t="s">
        <v>478</v>
      </c>
      <c r="E15" s="413" t="s">
        <v>493</v>
      </c>
      <c r="F15" s="413" t="s">
        <v>512</v>
      </c>
      <c r="G15" s="413" t="s">
        <v>513</v>
      </c>
      <c r="H15" s="416">
        <v>1</v>
      </c>
      <c r="I15" s="416">
        <v>81.94</v>
      </c>
      <c r="J15" s="413"/>
      <c r="K15" s="413">
        <v>81.94</v>
      </c>
      <c r="L15" s="416"/>
      <c r="M15" s="416"/>
      <c r="N15" s="413"/>
      <c r="O15" s="413"/>
      <c r="P15" s="416"/>
      <c r="Q15" s="416"/>
      <c r="R15" s="464"/>
      <c r="S15" s="417"/>
    </row>
    <row r="16" spans="1:19" ht="14.45" customHeight="1" x14ac:dyDescent="0.2">
      <c r="A16" s="412" t="s">
        <v>491</v>
      </c>
      <c r="B16" s="413" t="s">
        <v>492</v>
      </c>
      <c r="C16" s="413" t="s">
        <v>270</v>
      </c>
      <c r="D16" s="413" t="s">
        <v>478</v>
      </c>
      <c r="E16" s="413" t="s">
        <v>516</v>
      </c>
      <c r="F16" s="413" t="s">
        <v>517</v>
      </c>
      <c r="G16" s="413" t="s">
        <v>518</v>
      </c>
      <c r="H16" s="416">
        <v>1</v>
      </c>
      <c r="I16" s="416">
        <v>147</v>
      </c>
      <c r="J16" s="413"/>
      <c r="K16" s="413">
        <v>147</v>
      </c>
      <c r="L16" s="416"/>
      <c r="M16" s="416"/>
      <c r="N16" s="413"/>
      <c r="O16" s="413"/>
      <c r="P16" s="416"/>
      <c r="Q16" s="416"/>
      <c r="R16" s="464"/>
      <c r="S16" s="417"/>
    </row>
    <row r="17" spans="1:19" ht="14.45" customHeight="1" x14ac:dyDescent="0.2">
      <c r="A17" s="412" t="s">
        <v>491</v>
      </c>
      <c r="B17" s="413" t="s">
        <v>492</v>
      </c>
      <c r="C17" s="413" t="s">
        <v>270</v>
      </c>
      <c r="D17" s="413" t="s">
        <v>478</v>
      </c>
      <c r="E17" s="413" t="s">
        <v>516</v>
      </c>
      <c r="F17" s="413" t="s">
        <v>527</v>
      </c>
      <c r="G17" s="413" t="s">
        <v>528</v>
      </c>
      <c r="H17" s="416">
        <v>8</v>
      </c>
      <c r="I17" s="416">
        <v>296</v>
      </c>
      <c r="J17" s="413">
        <v>0.61538461538461542</v>
      </c>
      <c r="K17" s="413">
        <v>37</v>
      </c>
      <c r="L17" s="416">
        <v>13</v>
      </c>
      <c r="M17" s="416">
        <v>481</v>
      </c>
      <c r="N17" s="413">
        <v>1</v>
      </c>
      <c r="O17" s="413">
        <v>37</v>
      </c>
      <c r="P17" s="416"/>
      <c r="Q17" s="416"/>
      <c r="R17" s="464"/>
      <c r="S17" s="417"/>
    </row>
    <row r="18" spans="1:19" ht="14.45" customHeight="1" x14ac:dyDescent="0.2">
      <c r="A18" s="412" t="s">
        <v>491</v>
      </c>
      <c r="B18" s="413" t="s">
        <v>492</v>
      </c>
      <c r="C18" s="413" t="s">
        <v>270</v>
      </c>
      <c r="D18" s="413" t="s">
        <v>478</v>
      </c>
      <c r="E18" s="413" t="s">
        <v>516</v>
      </c>
      <c r="F18" s="413" t="s">
        <v>533</v>
      </c>
      <c r="G18" s="413" t="s">
        <v>534</v>
      </c>
      <c r="H18" s="416">
        <v>1</v>
      </c>
      <c r="I18" s="416">
        <v>59</v>
      </c>
      <c r="J18" s="413">
        <v>0.5</v>
      </c>
      <c r="K18" s="413">
        <v>59</v>
      </c>
      <c r="L18" s="416">
        <v>2</v>
      </c>
      <c r="M18" s="416">
        <v>118</v>
      </c>
      <c r="N18" s="413">
        <v>1</v>
      </c>
      <c r="O18" s="413">
        <v>59</v>
      </c>
      <c r="P18" s="416"/>
      <c r="Q18" s="416"/>
      <c r="R18" s="464"/>
      <c r="S18" s="417"/>
    </row>
    <row r="19" spans="1:19" ht="14.45" customHeight="1" x14ac:dyDescent="0.2">
      <c r="A19" s="412" t="s">
        <v>491</v>
      </c>
      <c r="B19" s="413" t="s">
        <v>492</v>
      </c>
      <c r="C19" s="413" t="s">
        <v>270</v>
      </c>
      <c r="D19" s="413" t="s">
        <v>471</v>
      </c>
      <c r="E19" s="413" t="s">
        <v>516</v>
      </c>
      <c r="F19" s="413" t="s">
        <v>537</v>
      </c>
      <c r="G19" s="413" t="s">
        <v>538</v>
      </c>
      <c r="H19" s="416">
        <v>4</v>
      </c>
      <c r="I19" s="416">
        <v>14344</v>
      </c>
      <c r="J19" s="413"/>
      <c r="K19" s="413">
        <v>3586</v>
      </c>
      <c r="L19" s="416"/>
      <c r="M19" s="416"/>
      <c r="N19" s="413"/>
      <c r="O19" s="413"/>
      <c r="P19" s="416"/>
      <c r="Q19" s="416"/>
      <c r="R19" s="464"/>
      <c r="S19" s="417"/>
    </row>
    <row r="20" spans="1:19" ht="14.45" customHeight="1" x14ac:dyDescent="0.2">
      <c r="A20" s="412" t="s">
        <v>491</v>
      </c>
      <c r="B20" s="413" t="s">
        <v>492</v>
      </c>
      <c r="C20" s="413" t="s">
        <v>270</v>
      </c>
      <c r="D20" s="413" t="s">
        <v>479</v>
      </c>
      <c r="E20" s="413" t="s">
        <v>516</v>
      </c>
      <c r="F20" s="413" t="s">
        <v>519</v>
      </c>
      <c r="G20" s="413" t="s">
        <v>520</v>
      </c>
      <c r="H20" s="416"/>
      <c r="I20" s="416"/>
      <c r="J20" s="413"/>
      <c r="K20" s="413"/>
      <c r="L20" s="416"/>
      <c r="M20" s="416"/>
      <c r="N20" s="413"/>
      <c r="O20" s="413"/>
      <c r="P20" s="416">
        <v>50</v>
      </c>
      <c r="Q20" s="416">
        <v>1900</v>
      </c>
      <c r="R20" s="464"/>
      <c r="S20" s="417">
        <v>38</v>
      </c>
    </row>
    <row r="21" spans="1:19" ht="14.45" customHeight="1" x14ac:dyDescent="0.2">
      <c r="A21" s="412" t="s">
        <v>491</v>
      </c>
      <c r="B21" s="413" t="s">
        <v>492</v>
      </c>
      <c r="C21" s="413" t="s">
        <v>270</v>
      </c>
      <c r="D21" s="413" t="s">
        <v>479</v>
      </c>
      <c r="E21" s="413" t="s">
        <v>516</v>
      </c>
      <c r="F21" s="413" t="s">
        <v>523</v>
      </c>
      <c r="G21" s="413" t="s">
        <v>524</v>
      </c>
      <c r="H21" s="416"/>
      <c r="I21" s="416"/>
      <c r="J21" s="413"/>
      <c r="K21" s="413"/>
      <c r="L21" s="416"/>
      <c r="M21" s="416"/>
      <c r="N21" s="413"/>
      <c r="O21" s="413"/>
      <c r="P21" s="416">
        <v>88</v>
      </c>
      <c r="Q21" s="416">
        <v>41712</v>
      </c>
      <c r="R21" s="464"/>
      <c r="S21" s="417">
        <v>474</v>
      </c>
    </row>
    <row r="22" spans="1:19" ht="14.45" customHeight="1" x14ac:dyDescent="0.2">
      <c r="A22" s="412" t="s">
        <v>491</v>
      </c>
      <c r="B22" s="413" t="s">
        <v>492</v>
      </c>
      <c r="C22" s="413" t="s">
        <v>270</v>
      </c>
      <c r="D22" s="413" t="s">
        <v>479</v>
      </c>
      <c r="E22" s="413" t="s">
        <v>516</v>
      </c>
      <c r="F22" s="413" t="s">
        <v>525</v>
      </c>
      <c r="G22" s="413" t="s">
        <v>526</v>
      </c>
      <c r="H22" s="416"/>
      <c r="I22" s="416"/>
      <c r="J22" s="413"/>
      <c r="K22" s="413"/>
      <c r="L22" s="416"/>
      <c r="M22" s="416"/>
      <c r="N22" s="413"/>
      <c r="O22" s="413"/>
      <c r="P22" s="416">
        <v>61</v>
      </c>
      <c r="Q22" s="416">
        <v>2033.33</v>
      </c>
      <c r="R22" s="464"/>
      <c r="S22" s="417">
        <v>33.333278688524587</v>
      </c>
    </row>
    <row r="23" spans="1:19" ht="14.45" customHeight="1" x14ac:dyDescent="0.2">
      <c r="A23" s="412" t="s">
        <v>491</v>
      </c>
      <c r="B23" s="413" t="s">
        <v>492</v>
      </c>
      <c r="C23" s="413" t="s">
        <v>270</v>
      </c>
      <c r="D23" s="413" t="s">
        <v>479</v>
      </c>
      <c r="E23" s="413" t="s">
        <v>516</v>
      </c>
      <c r="F23" s="413" t="s">
        <v>527</v>
      </c>
      <c r="G23" s="413" t="s">
        <v>528</v>
      </c>
      <c r="H23" s="416"/>
      <c r="I23" s="416"/>
      <c r="J23" s="413"/>
      <c r="K23" s="413"/>
      <c r="L23" s="416"/>
      <c r="M23" s="416"/>
      <c r="N23" s="413"/>
      <c r="O23" s="413"/>
      <c r="P23" s="416">
        <v>1</v>
      </c>
      <c r="Q23" s="416">
        <v>38</v>
      </c>
      <c r="R23" s="464"/>
      <c r="S23" s="417">
        <v>38</v>
      </c>
    </row>
    <row r="24" spans="1:19" ht="14.45" customHeight="1" x14ac:dyDescent="0.2">
      <c r="A24" s="412" t="s">
        <v>491</v>
      </c>
      <c r="B24" s="413" t="s">
        <v>492</v>
      </c>
      <c r="C24" s="413" t="s">
        <v>270</v>
      </c>
      <c r="D24" s="413" t="s">
        <v>479</v>
      </c>
      <c r="E24" s="413" t="s">
        <v>516</v>
      </c>
      <c r="F24" s="413" t="s">
        <v>531</v>
      </c>
      <c r="G24" s="413" t="s">
        <v>532</v>
      </c>
      <c r="H24" s="416"/>
      <c r="I24" s="416"/>
      <c r="J24" s="413"/>
      <c r="K24" s="413"/>
      <c r="L24" s="416"/>
      <c r="M24" s="416"/>
      <c r="N24" s="413"/>
      <c r="O24" s="413"/>
      <c r="P24" s="416">
        <v>3</v>
      </c>
      <c r="Q24" s="416">
        <v>711</v>
      </c>
      <c r="R24" s="464"/>
      <c r="S24" s="417">
        <v>237</v>
      </c>
    </row>
    <row r="25" spans="1:19" ht="14.45" customHeight="1" x14ac:dyDescent="0.2">
      <c r="A25" s="412" t="s">
        <v>491</v>
      </c>
      <c r="B25" s="413" t="s">
        <v>492</v>
      </c>
      <c r="C25" s="413" t="s">
        <v>270</v>
      </c>
      <c r="D25" s="413" t="s">
        <v>480</v>
      </c>
      <c r="E25" s="413" t="s">
        <v>516</v>
      </c>
      <c r="F25" s="413" t="s">
        <v>527</v>
      </c>
      <c r="G25" s="413" t="s">
        <v>528</v>
      </c>
      <c r="H25" s="416">
        <v>1</v>
      </c>
      <c r="I25" s="416">
        <v>37</v>
      </c>
      <c r="J25" s="413"/>
      <c r="K25" s="413">
        <v>37</v>
      </c>
      <c r="L25" s="416"/>
      <c r="M25" s="416"/>
      <c r="N25" s="413"/>
      <c r="O25" s="413"/>
      <c r="P25" s="416"/>
      <c r="Q25" s="416"/>
      <c r="R25" s="464"/>
      <c r="S25" s="417"/>
    </row>
    <row r="26" spans="1:19" ht="14.45" customHeight="1" x14ac:dyDescent="0.2">
      <c r="A26" s="412" t="s">
        <v>491</v>
      </c>
      <c r="B26" s="413" t="s">
        <v>492</v>
      </c>
      <c r="C26" s="413" t="s">
        <v>270</v>
      </c>
      <c r="D26" s="413" t="s">
        <v>481</v>
      </c>
      <c r="E26" s="413" t="s">
        <v>493</v>
      </c>
      <c r="F26" s="413" t="s">
        <v>504</v>
      </c>
      <c r="G26" s="413" t="s">
        <v>503</v>
      </c>
      <c r="H26" s="416">
        <v>1</v>
      </c>
      <c r="I26" s="416">
        <v>2.44</v>
      </c>
      <c r="J26" s="413"/>
      <c r="K26" s="413">
        <v>2.44</v>
      </c>
      <c r="L26" s="416"/>
      <c r="M26" s="416"/>
      <c r="N26" s="413"/>
      <c r="O26" s="413"/>
      <c r="P26" s="416"/>
      <c r="Q26" s="416"/>
      <c r="R26" s="464"/>
      <c r="S26" s="417"/>
    </row>
    <row r="27" spans="1:19" ht="14.45" customHeight="1" x14ac:dyDescent="0.2">
      <c r="A27" s="412" t="s">
        <v>491</v>
      </c>
      <c r="B27" s="413" t="s">
        <v>492</v>
      </c>
      <c r="C27" s="413" t="s">
        <v>270</v>
      </c>
      <c r="D27" s="413" t="s">
        <v>481</v>
      </c>
      <c r="E27" s="413" t="s">
        <v>516</v>
      </c>
      <c r="F27" s="413" t="s">
        <v>517</v>
      </c>
      <c r="G27" s="413" t="s">
        <v>518</v>
      </c>
      <c r="H27" s="416">
        <v>1</v>
      </c>
      <c r="I27" s="416">
        <v>147</v>
      </c>
      <c r="J27" s="413"/>
      <c r="K27" s="413">
        <v>147</v>
      </c>
      <c r="L27" s="416"/>
      <c r="M27" s="416"/>
      <c r="N27" s="413"/>
      <c r="O27" s="413"/>
      <c r="P27" s="416"/>
      <c r="Q27" s="416"/>
      <c r="R27" s="464"/>
      <c r="S27" s="417"/>
    </row>
    <row r="28" spans="1:19" ht="14.45" customHeight="1" x14ac:dyDescent="0.2">
      <c r="A28" s="412" t="s">
        <v>491</v>
      </c>
      <c r="B28" s="413" t="s">
        <v>492</v>
      </c>
      <c r="C28" s="413" t="s">
        <v>270</v>
      </c>
      <c r="D28" s="413" t="s">
        <v>482</v>
      </c>
      <c r="E28" s="413" t="s">
        <v>493</v>
      </c>
      <c r="F28" s="413" t="s">
        <v>504</v>
      </c>
      <c r="G28" s="413" t="s">
        <v>503</v>
      </c>
      <c r="H28" s="416"/>
      <c r="I28" s="416"/>
      <c r="J28" s="413"/>
      <c r="K28" s="413"/>
      <c r="L28" s="416"/>
      <c r="M28" s="416"/>
      <c r="N28" s="413"/>
      <c r="O28" s="413"/>
      <c r="P28" s="416">
        <v>1</v>
      </c>
      <c r="Q28" s="416">
        <v>2.44</v>
      </c>
      <c r="R28" s="464"/>
      <c r="S28" s="417">
        <v>2.44</v>
      </c>
    </row>
    <row r="29" spans="1:19" ht="14.45" customHeight="1" x14ac:dyDescent="0.2">
      <c r="A29" s="412" t="s">
        <v>491</v>
      </c>
      <c r="B29" s="413" t="s">
        <v>492</v>
      </c>
      <c r="C29" s="413" t="s">
        <v>270</v>
      </c>
      <c r="D29" s="413" t="s">
        <v>482</v>
      </c>
      <c r="E29" s="413" t="s">
        <v>493</v>
      </c>
      <c r="F29" s="413" t="s">
        <v>505</v>
      </c>
      <c r="G29" s="413" t="s">
        <v>503</v>
      </c>
      <c r="H29" s="416">
        <v>1</v>
      </c>
      <c r="I29" s="416">
        <v>6.09</v>
      </c>
      <c r="J29" s="413"/>
      <c r="K29" s="413">
        <v>6.09</v>
      </c>
      <c r="L29" s="416"/>
      <c r="M29" s="416"/>
      <c r="N29" s="413"/>
      <c r="O29" s="413"/>
      <c r="P29" s="416"/>
      <c r="Q29" s="416"/>
      <c r="R29" s="464"/>
      <c r="S29" s="417"/>
    </row>
    <row r="30" spans="1:19" ht="14.45" customHeight="1" x14ac:dyDescent="0.2">
      <c r="A30" s="412" t="s">
        <v>491</v>
      </c>
      <c r="B30" s="413" t="s">
        <v>492</v>
      </c>
      <c r="C30" s="413" t="s">
        <v>270</v>
      </c>
      <c r="D30" s="413" t="s">
        <v>482</v>
      </c>
      <c r="E30" s="413" t="s">
        <v>493</v>
      </c>
      <c r="F30" s="413" t="s">
        <v>506</v>
      </c>
      <c r="G30" s="413" t="s">
        <v>507</v>
      </c>
      <c r="H30" s="416">
        <v>1</v>
      </c>
      <c r="I30" s="416">
        <v>1118.9000000000001</v>
      </c>
      <c r="J30" s="413"/>
      <c r="K30" s="413">
        <v>1118.9000000000001</v>
      </c>
      <c r="L30" s="416"/>
      <c r="M30" s="416"/>
      <c r="N30" s="413"/>
      <c r="O30" s="413"/>
      <c r="P30" s="416">
        <v>1</v>
      </c>
      <c r="Q30" s="416">
        <v>1118.9000000000001</v>
      </c>
      <c r="R30" s="464"/>
      <c r="S30" s="417">
        <v>1118.9000000000001</v>
      </c>
    </row>
    <row r="31" spans="1:19" ht="14.45" customHeight="1" x14ac:dyDescent="0.2">
      <c r="A31" s="412" t="s">
        <v>491</v>
      </c>
      <c r="B31" s="413" t="s">
        <v>492</v>
      </c>
      <c r="C31" s="413" t="s">
        <v>270</v>
      </c>
      <c r="D31" s="413" t="s">
        <v>482</v>
      </c>
      <c r="E31" s="413" t="s">
        <v>516</v>
      </c>
      <c r="F31" s="413" t="s">
        <v>517</v>
      </c>
      <c r="G31" s="413" t="s">
        <v>518</v>
      </c>
      <c r="H31" s="416">
        <v>1</v>
      </c>
      <c r="I31" s="416">
        <v>147</v>
      </c>
      <c r="J31" s="413"/>
      <c r="K31" s="413">
        <v>147</v>
      </c>
      <c r="L31" s="416"/>
      <c r="M31" s="416"/>
      <c r="N31" s="413"/>
      <c r="O31" s="413"/>
      <c r="P31" s="416">
        <v>1</v>
      </c>
      <c r="Q31" s="416">
        <v>151</v>
      </c>
      <c r="R31" s="464"/>
      <c r="S31" s="417">
        <v>151</v>
      </c>
    </row>
    <row r="32" spans="1:19" ht="14.45" customHeight="1" x14ac:dyDescent="0.2">
      <c r="A32" s="412" t="s">
        <v>491</v>
      </c>
      <c r="B32" s="413" t="s">
        <v>492</v>
      </c>
      <c r="C32" s="413" t="s">
        <v>270</v>
      </c>
      <c r="D32" s="413" t="s">
        <v>482</v>
      </c>
      <c r="E32" s="413" t="s">
        <v>516</v>
      </c>
      <c r="F32" s="413" t="s">
        <v>527</v>
      </c>
      <c r="G32" s="413" t="s">
        <v>528</v>
      </c>
      <c r="H32" s="416">
        <v>6</v>
      </c>
      <c r="I32" s="416">
        <v>222</v>
      </c>
      <c r="J32" s="413">
        <v>1.5</v>
      </c>
      <c r="K32" s="413">
        <v>37</v>
      </c>
      <c r="L32" s="416">
        <v>4</v>
      </c>
      <c r="M32" s="416">
        <v>148</v>
      </c>
      <c r="N32" s="413">
        <v>1</v>
      </c>
      <c r="O32" s="413">
        <v>37</v>
      </c>
      <c r="P32" s="416"/>
      <c r="Q32" s="416"/>
      <c r="R32" s="464"/>
      <c r="S32" s="417"/>
    </row>
    <row r="33" spans="1:19" ht="14.45" customHeight="1" x14ac:dyDescent="0.2">
      <c r="A33" s="412" t="s">
        <v>491</v>
      </c>
      <c r="B33" s="413" t="s">
        <v>492</v>
      </c>
      <c r="C33" s="413" t="s">
        <v>270</v>
      </c>
      <c r="D33" s="413" t="s">
        <v>482</v>
      </c>
      <c r="E33" s="413" t="s">
        <v>516</v>
      </c>
      <c r="F33" s="413" t="s">
        <v>539</v>
      </c>
      <c r="G33" s="413" t="s">
        <v>538</v>
      </c>
      <c r="H33" s="416"/>
      <c r="I33" s="416"/>
      <c r="J33" s="413"/>
      <c r="K33" s="413"/>
      <c r="L33" s="416">
        <v>4</v>
      </c>
      <c r="M33" s="416">
        <v>20800</v>
      </c>
      <c r="N33" s="413">
        <v>1</v>
      </c>
      <c r="O33" s="413">
        <v>5200</v>
      </c>
      <c r="P33" s="416"/>
      <c r="Q33" s="416"/>
      <c r="R33" s="464"/>
      <c r="S33" s="417"/>
    </row>
    <row r="34" spans="1:19" ht="14.45" customHeight="1" x14ac:dyDescent="0.2">
      <c r="A34" s="412" t="s">
        <v>491</v>
      </c>
      <c r="B34" s="413" t="s">
        <v>492</v>
      </c>
      <c r="C34" s="413" t="s">
        <v>270</v>
      </c>
      <c r="D34" s="413" t="s">
        <v>483</v>
      </c>
      <c r="E34" s="413" t="s">
        <v>493</v>
      </c>
      <c r="F34" s="413" t="s">
        <v>500</v>
      </c>
      <c r="G34" s="413" t="s">
        <v>501</v>
      </c>
      <c r="H34" s="416">
        <v>0.2</v>
      </c>
      <c r="I34" s="416">
        <v>54.34</v>
      </c>
      <c r="J34" s="413"/>
      <c r="K34" s="413">
        <v>271.7</v>
      </c>
      <c r="L34" s="416"/>
      <c r="M34" s="416"/>
      <c r="N34" s="413"/>
      <c r="O34" s="413"/>
      <c r="P34" s="416"/>
      <c r="Q34" s="416"/>
      <c r="R34" s="464"/>
      <c r="S34" s="417"/>
    </row>
    <row r="35" spans="1:19" ht="14.45" customHeight="1" x14ac:dyDescent="0.2">
      <c r="A35" s="412" t="s">
        <v>491</v>
      </c>
      <c r="B35" s="413" t="s">
        <v>492</v>
      </c>
      <c r="C35" s="413" t="s">
        <v>270</v>
      </c>
      <c r="D35" s="413" t="s">
        <v>483</v>
      </c>
      <c r="E35" s="413" t="s">
        <v>493</v>
      </c>
      <c r="F35" s="413" t="s">
        <v>504</v>
      </c>
      <c r="G35" s="413" t="s">
        <v>503</v>
      </c>
      <c r="H35" s="416">
        <v>1</v>
      </c>
      <c r="I35" s="416">
        <v>2.44</v>
      </c>
      <c r="J35" s="413"/>
      <c r="K35" s="413">
        <v>2.44</v>
      </c>
      <c r="L35" s="416"/>
      <c r="M35" s="416"/>
      <c r="N35" s="413"/>
      <c r="O35" s="413"/>
      <c r="P35" s="416"/>
      <c r="Q35" s="416"/>
      <c r="R35" s="464"/>
      <c r="S35" s="417"/>
    </row>
    <row r="36" spans="1:19" ht="14.45" customHeight="1" x14ac:dyDescent="0.2">
      <c r="A36" s="412" t="s">
        <v>491</v>
      </c>
      <c r="B36" s="413" t="s">
        <v>492</v>
      </c>
      <c r="C36" s="413" t="s">
        <v>270</v>
      </c>
      <c r="D36" s="413" t="s">
        <v>483</v>
      </c>
      <c r="E36" s="413" t="s">
        <v>516</v>
      </c>
      <c r="F36" s="413" t="s">
        <v>517</v>
      </c>
      <c r="G36" s="413" t="s">
        <v>518</v>
      </c>
      <c r="H36" s="416">
        <v>1</v>
      </c>
      <c r="I36" s="416">
        <v>147</v>
      </c>
      <c r="J36" s="413"/>
      <c r="K36" s="413">
        <v>147</v>
      </c>
      <c r="L36" s="416"/>
      <c r="M36" s="416"/>
      <c r="N36" s="413"/>
      <c r="O36" s="413"/>
      <c r="P36" s="416"/>
      <c r="Q36" s="416"/>
      <c r="R36" s="464"/>
      <c r="S36" s="417"/>
    </row>
    <row r="37" spans="1:19" ht="14.45" customHeight="1" x14ac:dyDescent="0.2">
      <c r="A37" s="412" t="s">
        <v>491</v>
      </c>
      <c r="B37" s="413" t="s">
        <v>492</v>
      </c>
      <c r="C37" s="413" t="s">
        <v>270</v>
      </c>
      <c r="D37" s="413" t="s">
        <v>483</v>
      </c>
      <c r="E37" s="413" t="s">
        <v>516</v>
      </c>
      <c r="F37" s="413" t="s">
        <v>527</v>
      </c>
      <c r="G37" s="413" t="s">
        <v>528</v>
      </c>
      <c r="H37" s="416">
        <v>2</v>
      </c>
      <c r="I37" s="416">
        <v>74</v>
      </c>
      <c r="J37" s="413"/>
      <c r="K37" s="413">
        <v>37</v>
      </c>
      <c r="L37" s="416"/>
      <c r="M37" s="416"/>
      <c r="N37" s="413"/>
      <c r="O37" s="413"/>
      <c r="P37" s="416"/>
      <c r="Q37" s="416"/>
      <c r="R37" s="464"/>
      <c r="S37" s="417"/>
    </row>
    <row r="38" spans="1:19" ht="14.45" customHeight="1" x14ac:dyDescent="0.2">
      <c r="A38" s="412" t="s">
        <v>491</v>
      </c>
      <c r="B38" s="413" t="s">
        <v>492</v>
      </c>
      <c r="C38" s="413" t="s">
        <v>270</v>
      </c>
      <c r="D38" s="413" t="s">
        <v>483</v>
      </c>
      <c r="E38" s="413" t="s">
        <v>516</v>
      </c>
      <c r="F38" s="413" t="s">
        <v>533</v>
      </c>
      <c r="G38" s="413" t="s">
        <v>534</v>
      </c>
      <c r="H38" s="416">
        <v>3</v>
      </c>
      <c r="I38" s="416">
        <v>177</v>
      </c>
      <c r="J38" s="413"/>
      <c r="K38" s="413">
        <v>59</v>
      </c>
      <c r="L38" s="416"/>
      <c r="M38" s="416"/>
      <c r="N38" s="413"/>
      <c r="O38" s="413"/>
      <c r="P38" s="416"/>
      <c r="Q38" s="416"/>
      <c r="R38" s="464"/>
      <c r="S38" s="417"/>
    </row>
    <row r="39" spans="1:19" ht="14.45" customHeight="1" x14ac:dyDescent="0.2">
      <c r="A39" s="412" t="s">
        <v>491</v>
      </c>
      <c r="B39" s="413" t="s">
        <v>492</v>
      </c>
      <c r="C39" s="413" t="s">
        <v>270</v>
      </c>
      <c r="D39" s="413" t="s">
        <v>484</v>
      </c>
      <c r="E39" s="413" t="s">
        <v>516</v>
      </c>
      <c r="F39" s="413" t="s">
        <v>527</v>
      </c>
      <c r="G39" s="413" t="s">
        <v>528</v>
      </c>
      <c r="H39" s="416">
        <v>1</v>
      </c>
      <c r="I39" s="416">
        <v>37</v>
      </c>
      <c r="J39" s="413"/>
      <c r="K39" s="413">
        <v>37</v>
      </c>
      <c r="L39" s="416"/>
      <c r="M39" s="416"/>
      <c r="N39" s="413"/>
      <c r="O39" s="413"/>
      <c r="P39" s="416"/>
      <c r="Q39" s="416"/>
      <c r="R39" s="464"/>
      <c r="S39" s="417"/>
    </row>
    <row r="40" spans="1:19" ht="14.45" customHeight="1" x14ac:dyDescent="0.2">
      <c r="A40" s="412" t="s">
        <v>491</v>
      </c>
      <c r="B40" s="413" t="s">
        <v>492</v>
      </c>
      <c r="C40" s="413" t="s">
        <v>270</v>
      </c>
      <c r="D40" s="413" t="s">
        <v>485</v>
      </c>
      <c r="E40" s="413" t="s">
        <v>493</v>
      </c>
      <c r="F40" s="413" t="s">
        <v>496</v>
      </c>
      <c r="G40" s="413" t="s">
        <v>497</v>
      </c>
      <c r="H40" s="416">
        <v>0.2</v>
      </c>
      <c r="I40" s="416">
        <v>2.57</v>
      </c>
      <c r="J40" s="413"/>
      <c r="K40" s="413">
        <v>12.849999999999998</v>
      </c>
      <c r="L40" s="416"/>
      <c r="M40" s="416"/>
      <c r="N40" s="413"/>
      <c r="O40" s="413"/>
      <c r="P40" s="416"/>
      <c r="Q40" s="416"/>
      <c r="R40" s="464"/>
      <c r="S40" s="417"/>
    </row>
    <row r="41" spans="1:19" ht="14.45" customHeight="1" x14ac:dyDescent="0.2">
      <c r="A41" s="412" t="s">
        <v>491</v>
      </c>
      <c r="B41" s="413" t="s">
        <v>492</v>
      </c>
      <c r="C41" s="413" t="s">
        <v>270</v>
      </c>
      <c r="D41" s="413" t="s">
        <v>485</v>
      </c>
      <c r="E41" s="413" t="s">
        <v>493</v>
      </c>
      <c r="F41" s="413" t="s">
        <v>502</v>
      </c>
      <c r="G41" s="413" t="s">
        <v>503</v>
      </c>
      <c r="H41" s="416">
        <v>1</v>
      </c>
      <c r="I41" s="416">
        <v>12.18</v>
      </c>
      <c r="J41" s="413"/>
      <c r="K41" s="413">
        <v>12.18</v>
      </c>
      <c r="L41" s="416"/>
      <c r="M41" s="416"/>
      <c r="N41" s="413"/>
      <c r="O41" s="413"/>
      <c r="P41" s="416"/>
      <c r="Q41" s="416"/>
      <c r="R41" s="464"/>
      <c r="S41" s="417"/>
    </row>
    <row r="42" spans="1:19" ht="14.45" customHeight="1" x14ac:dyDescent="0.2">
      <c r="A42" s="412" t="s">
        <v>491</v>
      </c>
      <c r="B42" s="413" t="s">
        <v>492</v>
      </c>
      <c r="C42" s="413" t="s">
        <v>270</v>
      </c>
      <c r="D42" s="413" t="s">
        <v>485</v>
      </c>
      <c r="E42" s="413" t="s">
        <v>493</v>
      </c>
      <c r="F42" s="413" t="s">
        <v>504</v>
      </c>
      <c r="G42" s="413" t="s">
        <v>503</v>
      </c>
      <c r="H42" s="416">
        <v>1</v>
      </c>
      <c r="I42" s="416">
        <v>2.44</v>
      </c>
      <c r="J42" s="413"/>
      <c r="K42" s="413">
        <v>2.44</v>
      </c>
      <c r="L42" s="416"/>
      <c r="M42" s="416"/>
      <c r="N42" s="413"/>
      <c r="O42" s="413"/>
      <c r="P42" s="416"/>
      <c r="Q42" s="416"/>
      <c r="R42" s="464"/>
      <c r="S42" s="417"/>
    </row>
    <row r="43" spans="1:19" ht="14.45" customHeight="1" x14ac:dyDescent="0.2">
      <c r="A43" s="412" t="s">
        <v>491</v>
      </c>
      <c r="B43" s="413" t="s">
        <v>492</v>
      </c>
      <c r="C43" s="413" t="s">
        <v>270</v>
      </c>
      <c r="D43" s="413" t="s">
        <v>485</v>
      </c>
      <c r="E43" s="413" t="s">
        <v>493</v>
      </c>
      <c r="F43" s="413" t="s">
        <v>510</v>
      </c>
      <c r="G43" s="413" t="s">
        <v>511</v>
      </c>
      <c r="H43" s="416">
        <v>0.1</v>
      </c>
      <c r="I43" s="416">
        <v>28.63</v>
      </c>
      <c r="J43" s="413"/>
      <c r="K43" s="413">
        <v>286.29999999999995</v>
      </c>
      <c r="L43" s="416"/>
      <c r="M43" s="416"/>
      <c r="N43" s="413"/>
      <c r="O43" s="413"/>
      <c r="P43" s="416"/>
      <c r="Q43" s="416"/>
      <c r="R43" s="464"/>
      <c r="S43" s="417"/>
    </row>
    <row r="44" spans="1:19" ht="14.45" customHeight="1" x14ac:dyDescent="0.2">
      <c r="A44" s="412" t="s">
        <v>491</v>
      </c>
      <c r="B44" s="413" t="s">
        <v>492</v>
      </c>
      <c r="C44" s="413" t="s">
        <v>270</v>
      </c>
      <c r="D44" s="413" t="s">
        <v>485</v>
      </c>
      <c r="E44" s="413" t="s">
        <v>493</v>
      </c>
      <c r="F44" s="413" t="s">
        <v>512</v>
      </c>
      <c r="G44" s="413" t="s">
        <v>513</v>
      </c>
      <c r="H44" s="416">
        <v>1</v>
      </c>
      <c r="I44" s="416">
        <v>81.94</v>
      </c>
      <c r="J44" s="413"/>
      <c r="K44" s="413">
        <v>81.94</v>
      </c>
      <c r="L44" s="416"/>
      <c r="M44" s="416"/>
      <c r="N44" s="413"/>
      <c r="O44" s="413"/>
      <c r="P44" s="416"/>
      <c r="Q44" s="416"/>
      <c r="R44" s="464"/>
      <c r="S44" s="417"/>
    </row>
    <row r="45" spans="1:19" ht="14.45" customHeight="1" x14ac:dyDescent="0.2">
      <c r="A45" s="412" t="s">
        <v>491</v>
      </c>
      <c r="B45" s="413" t="s">
        <v>492</v>
      </c>
      <c r="C45" s="413" t="s">
        <v>270</v>
      </c>
      <c r="D45" s="413" t="s">
        <v>485</v>
      </c>
      <c r="E45" s="413" t="s">
        <v>516</v>
      </c>
      <c r="F45" s="413" t="s">
        <v>517</v>
      </c>
      <c r="G45" s="413" t="s">
        <v>518</v>
      </c>
      <c r="H45" s="416">
        <v>2</v>
      </c>
      <c r="I45" s="416">
        <v>294</v>
      </c>
      <c r="J45" s="413"/>
      <c r="K45" s="413">
        <v>147</v>
      </c>
      <c r="L45" s="416"/>
      <c r="M45" s="416"/>
      <c r="N45" s="413"/>
      <c r="O45" s="413"/>
      <c r="P45" s="416"/>
      <c r="Q45" s="416"/>
      <c r="R45" s="464"/>
      <c r="S45" s="417"/>
    </row>
    <row r="46" spans="1:19" ht="14.45" customHeight="1" x14ac:dyDescent="0.2">
      <c r="A46" s="412" t="s">
        <v>491</v>
      </c>
      <c r="B46" s="413" t="s">
        <v>492</v>
      </c>
      <c r="C46" s="413" t="s">
        <v>270</v>
      </c>
      <c r="D46" s="413" t="s">
        <v>486</v>
      </c>
      <c r="E46" s="413" t="s">
        <v>493</v>
      </c>
      <c r="F46" s="413" t="s">
        <v>494</v>
      </c>
      <c r="G46" s="413" t="s">
        <v>495</v>
      </c>
      <c r="H46" s="416">
        <v>0.2</v>
      </c>
      <c r="I46" s="416">
        <v>10.82</v>
      </c>
      <c r="J46" s="413"/>
      <c r="K46" s="413">
        <v>54.1</v>
      </c>
      <c r="L46" s="416"/>
      <c r="M46" s="416"/>
      <c r="N46" s="413"/>
      <c r="O46" s="413"/>
      <c r="P46" s="416"/>
      <c r="Q46" s="416"/>
      <c r="R46" s="464"/>
      <c r="S46" s="417"/>
    </row>
    <row r="47" spans="1:19" ht="14.45" customHeight="1" x14ac:dyDescent="0.2">
      <c r="A47" s="412" t="s">
        <v>491</v>
      </c>
      <c r="B47" s="413" t="s">
        <v>492</v>
      </c>
      <c r="C47" s="413" t="s">
        <v>270</v>
      </c>
      <c r="D47" s="413" t="s">
        <v>486</v>
      </c>
      <c r="E47" s="413" t="s">
        <v>493</v>
      </c>
      <c r="F47" s="413" t="s">
        <v>502</v>
      </c>
      <c r="G47" s="413" t="s">
        <v>503</v>
      </c>
      <c r="H47" s="416">
        <v>1</v>
      </c>
      <c r="I47" s="416">
        <v>12.18</v>
      </c>
      <c r="J47" s="413"/>
      <c r="K47" s="413">
        <v>12.18</v>
      </c>
      <c r="L47" s="416"/>
      <c r="M47" s="416"/>
      <c r="N47" s="413"/>
      <c r="O47" s="413"/>
      <c r="P47" s="416"/>
      <c r="Q47" s="416"/>
      <c r="R47" s="464"/>
      <c r="S47" s="417"/>
    </row>
    <row r="48" spans="1:19" ht="14.45" customHeight="1" x14ac:dyDescent="0.2">
      <c r="A48" s="412" t="s">
        <v>491</v>
      </c>
      <c r="B48" s="413" t="s">
        <v>492</v>
      </c>
      <c r="C48" s="413" t="s">
        <v>270</v>
      </c>
      <c r="D48" s="413" t="s">
        <v>486</v>
      </c>
      <c r="E48" s="413" t="s">
        <v>516</v>
      </c>
      <c r="F48" s="413" t="s">
        <v>517</v>
      </c>
      <c r="G48" s="413" t="s">
        <v>518</v>
      </c>
      <c r="H48" s="416">
        <v>1</v>
      </c>
      <c r="I48" s="416">
        <v>147</v>
      </c>
      <c r="J48" s="413"/>
      <c r="K48" s="413">
        <v>147</v>
      </c>
      <c r="L48" s="416"/>
      <c r="M48" s="416"/>
      <c r="N48" s="413"/>
      <c r="O48" s="413"/>
      <c r="P48" s="416"/>
      <c r="Q48" s="416"/>
      <c r="R48" s="464"/>
      <c r="S48" s="417"/>
    </row>
    <row r="49" spans="1:19" ht="14.45" customHeight="1" x14ac:dyDescent="0.2">
      <c r="A49" s="412" t="s">
        <v>491</v>
      </c>
      <c r="B49" s="413" t="s">
        <v>492</v>
      </c>
      <c r="C49" s="413" t="s">
        <v>270</v>
      </c>
      <c r="D49" s="413" t="s">
        <v>488</v>
      </c>
      <c r="E49" s="413" t="s">
        <v>516</v>
      </c>
      <c r="F49" s="413" t="s">
        <v>519</v>
      </c>
      <c r="G49" s="413" t="s">
        <v>520</v>
      </c>
      <c r="H49" s="416">
        <v>207</v>
      </c>
      <c r="I49" s="416">
        <v>7659</v>
      </c>
      <c r="J49" s="413">
        <v>1.0561224489795917</v>
      </c>
      <c r="K49" s="413">
        <v>37</v>
      </c>
      <c r="L49" s="416">
        <v>196</v>
      </c>
      <c r="M49" s="416">
        <v>7252</v>
      </c>
      <c r="N49" s="413">
        <v>1</v>
      </c>
      <c r="O49" s="413">
        <v>37</v>
      </c>
      <c r="P49" s="416">
        <v>139</v>
      </c>
      <c r="Q49" s="416">
        <v>5282</v>
      </c>
      <c r="R49" s="464">
        <v>0.72835079977937123</v>
      </c>
      <c r="S49" s="417">
        <v>38</v>
      </c>
    </row>
    <row r="50" spans="1:19" ht="14.45" customHeight="1" x14ac:dyDescent="0.2">
      <c r="A50" s="412" t="s">
        <v>491</v>
      </c>
      <c r="B50" s="413" t="s">
        <v>492</v>
      </c>
      <c r="C50" s="413" t="s">
        <v>270</v>
      </c>
      <c r="D50" s="413" t="s">
        <v>488</v>
      </c>
      <c r="E50" s="413" t="s">
        <v>516</v>
      </c>
      <c r="F50" s="413" t="s">
        <v>523</v>
      </c>
      <c r="G50" s="413" t="s">
        <v>524</v>
      </c>
      <c r="H50" s="416">
        <v>80</v>
      </c>
      <c r="I50" s="416">
        <v>37600</v>
      </c>
      <c r="J50" s="413">
        <v>0.68230896256373963</v>
      </c>
      <c r="K50" s="413">
        <v>470</v>
      </c>
      <c r="L50" s="416">
        <v>117</v>
      </c>
      <c r="M50" s="416">
        <v>55107</v>
      </c>
      <c r="N50" s="413">
        <v>1</v>
      </c>
      <c r="O50" s="413">
        <v>471</v>
      </c>
      <c r="P50" s="416">
        <v>200</v>
      </c>
      <c r="Q50" s="416">
        <v>94800</v>
      </c>
      <c r="R50" s="464">
        <v>1.7202896183787904</v>
      </c>
      <c r="S50" s="417">
        <v>474</v>
      </c>
    </row>
    <row r="51" spans="1:19" ht="14.45" customHeight="1" x14ac:dyDescent="0.2">
      <c r="A51" s="412" t="s">
        <v>491</v>
      </c>
      <c r="B51" s="413" t="s">
        <v>492</v>
      </c>
      <c r="C51" s="413" t="s">
        <v>270</v>
      </c>
      <c r="D51" s="413" t="s">
        <v>488</v>
      </c>
      <c r="E51" s="413" t="s">
        <v>516</v>
      </c>
      <c r="F51" s="413" t="s">
        <v>525</v>
      </c>
      <c r="G51" s="413" t="s">
        <v>526</v>
      </c>
      <c r="H51" s="416">
        <v>93</v>
      </c>
      <c r="I51" s="416">
        <v>3099.99</v>
      </c>
      <c r="J51" s="413">
        <v>0.92079093225927178</v>
      </c>
      <c r="K51" s="413">
        <v>33.333225806451608</v>
      </c>
      <c r="L51" s="416">
        <v>101</v>
      </c>
      <c r="M51" s="416">
        <v>3366.66</v>
      </c>
      <c r="N51" s="413">
        <v>1</v>
      </c>
      <c r="O51" s="413">
        <v>33.333267326732674</v>
      </c>
      <c r="P51" s="416">
        <v>180</v>
      </c>
      <c r="Q51" s="416">
        <v>6000</v>
      </c>
      <c r="R51" s="464">
        <v>1.7821817468945484</v>
      </c>
      <c r="S51" s="417">
        <v>33.333333333333336</v>
      </c>
    </row>
    <row r="52" spans="1:19" ht="14.45" customHeight="1" x14ac:dyDescent="0.2">
      <c r="A52" s="412" t="s">
        <v>491</v>
      </c>
      <c r="B52" s="413" t="s">
        <v>492</v>
      </c>
      <c r="C52" s="413" t="s">
        <v>270</v>
      </c>
      <c r="D52" s="413" t="s">
        <v>488</v>
      </c>
      <c r="E52" s="413" t="s">
        <v>516</v>
      </c>
      <c r="F52" s="413" t="s">
        <v>527</v>
      </c>
      <c r="G52" s="413" t="s">
        <v>528</v>
      </c>
      <c r="H52" s="416">
        <v>2</v>
      </c>
      <c r="I52" s="416">
        <v>74</v>
      </c>
      <c r="J52" s="413"/>
      <c r="K52" s="413">
        <v>37</v>
      </c>
      <c r="L52" s="416"/>
      <c r="M52" s="416"/>
      <c r="N52" s="413"/>
      <c r="O52" s="413"/>
      <c r="P52" s="416">
        <v>1</v>
      </c>
      <c r="Q52" s="416">
        <v>38</v>
      </c>
      <c r="R52" s="464"/>
      <c r="S52" s="417">
        <v>38</v>
      </c>
    </row>
    <row r="53" spans="1:19" ht="14.45" customHeight="1" x14ac:dyDescent="0.2">
      <c r="A53" s="412" t="s">
        <v>491</v>
      </c>
      <c r="B53" s="413" t="s">
        <v>492</v>
      </c>
      <c r="C53" s="413" t="s">
        <v>270</v>
      </c>
      <c r="D53" s="413" t="s">
        <v>488</v>
      </c>
      <c r="E53" s="413" t="s">
        <v>516</v>
      </c>
      <c r="F53" s="413" t="s">
        <v>531</v>
      </c>
      <c r="G53" s="413" t="s">
        <v>532</v>
      </c>
      <c r="H53" s="416">
        <v>16</v>
      </c>
      <c r="I53" s="416">
        <v>3760</v>
      </c>
      <c r="J53" s="413">
        <v>0.61277705345501954</v>
      </c>
      <c r="K53" s="413">
        <v>235</v>
      </c>
      <c r="L53" s="416">
        <v>26</v>
      </c>
      <c r="M53" s="416">
        <v>6136</v>
      </c>
      <c r="N53" s="413">
        <v>1</v>
      </c>
      <c r="O53" s="413">
        <v>236</v>
      </c>
      <c r="P53" s="416">
        <v>10</v>
      </c>
      <c r="Q53" s="416">
        <v>2370</v>
      </c>
      <c r="R53" s="464">
        <v>0.38624511082138202</v>
      </c>
      <c r="S53" s="417">
        <v>237</v>
      </c>
    </row>
    <row r="54" spans="1:19" ht="14.45" customHeight="1" x14ac:dyDescent="0.2">
      <c r="A54" s="412" t="s">
        <v>491</v>
      </c>
      <c r="B54" s="413" t="s">
        <v>492</v>
      </c>
      <c r="C54" s="413" t="s">
        <v>270</v>
      </c>
      <c r="D54" s="413" t="s">
        <v>488</v>
      </c>
      <c r="E54" s="413" t="s">
        <v>516</v>
      </c>
      <c r="F54" s="413" t="s">
        <v>533</v>
      </c>
      <c r="G54" s="413" t="s">
        <v>534</v>
      </c>
      <c r="H54" s="416">
        <v>1</v>
      </c>
      <c r="I54" s="416">
        <v>59</v>
      </c>
      <c r="J54" s="413"/>
      <c r="K54" s="413">
        <v>59</v>
      </c>
      <c r="L54" s="416"/>
      <c r="M54" s="416"/>
      <c r="N54" s="413"/>
      <c r="O54" s="413"/>
      <c r="P54" s="416">
        <v>1</v>
      </c>
      <c r="Q54" s="416">
        <v>61</v>
      </c>
      <c r="R54" s="464"/>
      <c r="S54" s="417">
        <v>61</v>
      </c>
    </row>
    <row r="55" spans="1:19" ht="14.45" customHeight="1" x14ac:dyDescent="0.2">
      <c r="A55" s="412" t="s">
        <v>491</v>
      </c>
      <c r="B55" s="413" t="s">
        <v>492</v>
      </c>
      <c r="C55" s="413" t="s">
        <v>270</v>
      </c>
      <c r="D55" s="413" t="s">
        <v>488</v>
      </c>
      <c r="E55" s="413" t="s">
        <v>516</v>
      </c>
      <c r="F55" s="413" t="s">
        <v>535</v>
      </c>
      <c r="G55" s="413" t="s">
        <v>536</v>
      </c>
      <c r="H55" s="416">
        <v>1456</v>
      </c>
      <c r="I55" s="416">
        <v>381472</v>
      </c>
      <c r="J55" s="413">
        <v>1.0833333333333333</v>
      </c>
      <c r="K55" s="413">
        <v>262</v>
      </c>
      <c r="L55" s="416">
        <v>1344</v>
      </c>
      <c r="M55" s="416">
        <v>352128</v>
      </c>
      <c r="N55" s="413">
        <v>1</v>
      </c>
      <c r="O55" s="413">
        <v>262</v>
      </c>
      <c r="P55" s="416">
        <v>2077</v>
      </c>
      <c r="Q55" s="416">
        <v>544174</v>
      </c>
      <c r="R55" s="464">
        <v>1.5453869047619047</v>
      </c>
      <c r="S55" s="417">
        <v>262</v>
      </c>
    </row>
    <row r="56" spans="1:19" ht="14.45" customHeight="1" x14ac:dyDescent="0.2">
      <c r="A56" s="412" t="s">
        <v>491</v>
      </c>
      <c r="B56" s="413" t="s">
        <v>492</v>
      </c>
      <c r="C56" s="413" t="s">
        <v>270</v>
      </c>
      <c r="D56" s="413" t="s">
        <v>488</v>
      </c>
      <c r="E56" s="413" t="s">
        <v>516</v>
      </c>
      <c r="F56" s="413" t="s">
        <v>537</v>
      </c>
      <c r="G56" s="413" t="s">
        <v>538</v>
      </c>
      <c r="H56" s="416">
        <v>311</v>
      </c>
      <c r="I56" s="416">
        <v>1115246</v>
      </c>
      <c r="J56" s="413">
        <v>0.97187500000000004</v>
      </c>
      <c r="K56" s="413">
        <v>3586</v>
      </c>
      <c r="L56" s="416">
        <v>320</v>
      </c>
      <c r="M56" s="416">
        <v>1147520</v>
      </c>
      <c r="N56" s="413">
        <v>1</v>
      </c>
      <c r="O56" s="413">
        <v>3586</v>
      </c>
      <c r="P56" s="416">
        <v>536</v>
      </c>
      <c r="Q56" s="416">
        <v>1922096</v>
      </c>
      <c r="R56" s="464">
        <v>1.675</v>
      </c>
      <c r="S56" s="417">
        <v>3586</v>
      </c>
    </row>
    <row r="57" spans="1:19" ht="14.45" customHeight="1" x14ac:dyDescent="0.2">
      <c r="A57" s="412" t="s">
        <v>491</v>
      </c>
      <c r="B57" s="413" t="s">
        <v>492</v>
      </c>
      <c r="C57" s="413" t="s">
        <v>270</v>
      </c>
      <c r="D57" s="413" t="s">
        <v>488</v>
      </c>
      <c r="E57" s="413" t="s">
        <v>516</v>
      </c>
      <c r="F57" s="413" t="s">
        <v>539</v>
      </c>
      <c r="G57" s="413" t="s">
        <v>538</v>
      </c>
      <c r="H57" s="416"/>
      <c r="I57" s="416"/>
      <c r="J57" s="413"/>
      <c r="K57" s="413"/>
      <c r="L57" s="416">
        <v>9</v>
      </c>
      <c r="M57" s="416">
        <v>46800</v>
      </c>
      <c r="N57" s="413">
        <v>1</v>
      </c>
      <c r="O57" s="413">
        <v>5200</v>
      </c>
      <c r="P57" s="416">
        <v>30</v>
      </c>
      <c r="Q57" s="416">
        <v>156000</v>
      </c>
      <c r="R57" s="464">
        <v>3.3333333333333335</v>
      </c>
      <c r="S57" s="417">
        <v>5200</v>
      </c>
    </row>
    <row r="58" spans="1:19" ht="14.45" customHeight="1" x14ac:dyDescent="0.2">
      <c r="A58" s="412" t="s">
        <v>491</v>
      </c>
      <c r="B58" s="413" t="s">
        <v>492</v>
      </c>
      <c r="C58" s="413" t="s">
        <v>270</v>
      </c>
      <c r="D58" s="413" t="s">
        <v>489</v>
      </c>
      <c r="E58" s="413" t="s">
        <v>493</v>
      </c>
      <c r="F58" s="413" t="s">
        <v>505</v>
      </c>
      <c r="G58" s="413" t="s">
        <v>503</v>
      </c>
      <c r="H58" s="416">
        <v>1</v>
      </c>
      <c r="I58" s="416">
        <v>6.09</v>
      </c>
      <c r="J58" s="413"/>
      <c r="K58" s="413">
        <v>6.09</v>
      </c>
      <c r="L58" s="416"/>
      <c r="M58" s="416"/>
      <c r="N58" s="413"/>
      <c r="O58" s="413"/>
      <c r="P58" s="416"/>
      <c r="Q58" s="416"/>
      <c r="R58" s="464"/>
      <c r="S58" s="417"/>
    </row>
    <row r="59" spans="1:19" ht="14.45" customHeight="1" x14ac:dyDescent="0.2">
      <c r="A59" s="412" t="s">
        <v>491</v>
      </c>
      <c r="B59" s="413" t="s">
        <v>492</v>
      </c>
      <c r="C59" s="413" t="s">
        <v>270</v>
      </c>
      <c r="D59" s="413" t="s">
        <v>489</v>
      </c>
      <c r="E59" s="413" t="s">
        <v>493</v>
      </c>
      <c r="F59" s="413" t="s">
        <v>506</v>
      </c>
      <c r="G59" s="413" t="s">
        <v>507</v>
      </c>
      <c r="H59" s="416">
        <v>1</v>
      </c>
      <c r="I59" s="416">
        <v>1118.9000000000001</v>
      </c>
      <c r="J59" s="413"/>
      <c r="K59" s="413">
        <v>1118.9000000000001</v>
      </c>
      <c r="L59" s="416"/>
      <c r="M59" s="416"/>
      <c r="N59" s="413"/>
      <c r="O59" s="413"/>
      <c r="P59" s="416"/>
      <c r="Q59" s="416"/>
      <c r="R59" s="464"/>
      <c r="S59" s="417"/>
    </row>
    <row r="60" spans="1:19" ht="14.45" customHeight="1" x14ac:dyDescent="0.2">
      <c r="A60" s="412" t="s">
        <v>491</v>
      </c>
      <c r="B60" s="413" t="s">
        <v>492</v>
      </c>
      <c r="C60" s="413" t="s">
        <v>270</v>
      </c>
      <c r="D60" s="413" t="s">
        <v>489</v>
      </c>
      <c r="E60" s="413" t="s">
        <v>516</v>
      </c>
      <c r="F60" s="413" t="s">
        <v>517</v>
      </c>
      <c r="G60" s="413" t="s">
        <v>518</v>
      </c>
      <c r="H60" s="416">
        <v>1</v>
      </c>
      <c r="I60" s="416">
        <v>147</v>
      </c>
      <c r="J60" s="413"/>
      <c r="K60" s="413">
        <v>147</v>
      </c>
      <c r="L60" s="416"/>
      <c r="M60" s="416"/>
      <c r="N60" s="413"/>
      <c r="O60" s="413"/>
      <c r="P60" s="416"/>
      <c r="Q60" s="416"/>
      <c r="R60" s="464"/>
      <c r="S60" s="417"/>
    </row>
    <row r="61" spans="1:19" ht="14.45" customHeight="1" x14ac:dyDescent="0.2">
      <c r="A61" s="412" t="s">
        <v>491</v>
      </c>
      <c r="B61" s="413" t="s">
        <v>492</v>
      </c>
      <c r="C61" s="413" t="s">
        <v>270</v>
      </c>
      <c r="D61" s="413" t="s">
        <v>489</v>
      </c>
      <c r="E61" s="413" t="s">
        <v>516</v>
      </c>
      <c r="F61" s="413" t="s">
        <v>527</v>
      </c>
      <c r="G61" s="413" t="s">
        <v>528</v>
      </c>
      <c r="H61" s="416">
        <v>3</v>
      </c>
      <c r="I61" s="416">
        <v>111</v>
      </c>
      <c r="J61" s="413"/>
      <c r="K61" s="413">
        <v>37</v>
      </c>
      <c r="L61" s="416"/>
      <c r="M61" s="416"/>
      <c r="N61" s="413"/>
      <c r="O61" s="413"/>
      <c r="P61" s="416"/>
      <c r="Q61" s="416"/>
      <c r="R61" s="464"/>
      <c r="S61" s="417"/>
    </row>
    <row r="62" spans="1:19" ht="14.45" customHeight="1" thickBot="1" x14ac:dyDescent="0.25">
      <c r="A62" s="418" t="s">
        <v>491</v>
      </c>
      <c r="B62" s="419" t="s">
        <v>492</v>
      </c>
      <c r="C62" s="419" t="s">
        <v>270</v>
      </c>
      <c r="D62" s="419" t="s">
        <v>487</v>
      </c>
      <c r="E62" s="419" t="s">
        <v>516</v>
      </c>
      <c r="F62" s="419" t="s">
        <v>527</v>
      </c>
      <c r="G62" s="419" t="s">
        <v>528</v>
      </c>
      <c r="H62" s="422"/>
      <c r="I62" s="422"/>
      <c r="J62" s="419"/>
      <c r="K62" s="419"/>
      <c r="L62" s="422">
        <v>4</v>
      </c>
      <c r="M62" s="422">
        <v>148</v>
      </c>
      <c r="N62" s="419">
        <v>1</v>
      </c>
      <c r="O62" s="419">
        <v>37</v>
      </c>
      <c r="P62" s="422">
        <v>1</v>
      </c>
      <c r="Q62" s="422">
        <v>38</v>
      </c>
      <c r="R62" s="465">
        <v>0.25675675675675674</v>
      </c>
      <c r="S62" s="423">
        <v>38</v>
      </c>
    </row>
  </sheetData>
  <autoFilter ref="A5:S5" xr:uid="{00000000-0009-0000-0000-000023000000}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 xr:uid="{7EA8C4A2-2D97-476D-9E40-B0DB0ED28405}"/>
  </hyperlinks>
  <pageMargins left="0.25" right="0.25" top="0.75" bottom="0.75" header="0.3" footer="0.3"/>
  <pageSetup paperSize="9" scale="7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List46">
    <tabColor theme="0" tint="-0.249977111117893"/>
    <outlinePr summaryRight="0"/>
    <pageSetUpPr fitToPage="1"/>
  </sheetPr>
  <dimension ref="A1:S15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ColWidth="8.85546875" defaultRowHeight="14.45" customHeight="1" outlineLevelCol="1" x14ac:dyDescent="0.2"/>
  <cols>
    <col min="1" max="1" width="46.7109375" style="104" bestFit="1" customWidth="1" collapsed="1"/>
    <col min="2" max="2" width="7.7109375" style="81" hidden="1" customWidth="1" outlineLevel="1"/>
    <col min="3" max="3" width="0.140625" style="104" hidden="1" customWidth="1"/>
    <col min="4" max="4" width="7.7109375" style="81" customWidth="1"/>
    <col min="5" max="5" width="5.42578125" style="104" hidden="1" customWidth="1"/>
    <col min="6" max="6" width="7.7109375" style="81" customWidth="1"/>
    <col min="7" max="7" width="7.7109375" style="183" customWidth="1" collapsed="1"/>
    <col min="8" max="8" width="7.7109375" style="81" hidden="1" customWidth="1" outlineLevel="1"/>
    <col min="9" max="9" width="5.42578125" style="104" hidden="1" customWidth="1"/>
    <col min="10" max="10" width="7.7109375" style="81" customWidth="1"/>
    <col min="11" max="11" width="5.42578125" style="104" hidden="1" customWidth="1"/>
    <col min="12" max="12" width="7.7109375" style="81" customWidth="1"/>
    <col min="13" max="13" width="7.7109375" style="183" customWidth="1" collapsed="1"/>
    <col min="14" max="14" width="7.7109375" style="81" hidden="1" customWidth="1" outlineLevel="1"/>
    <col min="15" max="15" width="5" style="104" hidden="1" customWidth="1"/>
    <col min="16" max="16" width="7.7109375" style="81" customWidth="1"/>
    <col min="17" max="17" width="5" style="104" hidden="1" customWidth="1"/>
    <col min="18" max="18" width="7.7109375" style="81" customWidth="1"/>
    <col min="19" max="19" width="7.7109375" style="183" customWidth="1"/>
    <col min="20" max="16384" width="8.85546875" style="104"/>
  </cols>
  <sheetData>
    <row r="1" spans="1:19" ht="18.600000000000001" customHeight="1" thickBot="1" x14ac:dyDescent="0.35">
      <c r="A1" s="284" t="s">
        <v>104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2"/>
      <c r="R1" s="272"/>
      <c r="S1" s="272"/>
    </row>
    <row r="2" spans="1:19" ht="14.45" customHeight="1" thickBot="1" x14ac:dyDescent="0.25">
      <c r="A2" s="199" t="s">
        <v>202</v>
      </c>
      <c r="B2" s="193"/>
      <c r="C2" s="86"/>
      <c r="D2" s="193"/>
      <c r="E2" s="86"/>
      <c r="F2" s="193"/>
      <c r="G2" s="194"/>
      <c r="H2" s="193"/>
      <c r="I2" s="86"/>
      <c r="J2" s="193"/>
      <c r="K2" s="86"/>
      <c r="L2" s="193"/>
      <c r="M2" s="194"/>
      <c r="N2" s="193"/>
      <c r="O2" s="86"/>
      <c r="P2" s="193"/>
      <c r="Q2" s="86"/>
      <c r="R2" s="193"/>
      <c r="S2" s="194"/>
    </row>
    <row r="3" spans="1:19" ht="14.45" customHeight="1" thickBot="1" x14ac:dyDescent="0.25">
      <c r="A3" s="187" t="s">
        <v>105</v>
      </c>
      <c r="B3" s="188">
        <f>SUBTOTAL(9,B6:B1048576)</f>
        <v>4002.33</v>
      </c>
      <c r="C3" s="189">
        <f t="shared" ref="C3:R3" si="0">SUBTOTAL(9,C6:C1048576)</f>
        <v>18.226043091047103</v>
      </c>
      <c r="D3" s="189">
        <f t="shared" si="0"/>
        <v>3739.33</v>
      </c>
      <c r="E3" s="189">
        <f t="shared" si="0"/>
        <v>7</v>
      </c>
      <c r="F3" s="189">
        <f t="shared" si="0"/>
        <v>15640</v>
      </c>
      <c r="G3" s="192">
        <f>IF(D3&lt;&gt;0,F3/D3,"")</f>
        <v>4.1825674652945848</v>
      </c>
      <c r="H3" s="188">
        <f t="shared" si="0"/>
        <v>0</v>
      </c>
      <c r="I3" s="189">
        <f t="shared" si="0"/>
        <v>0</v>
      </c>
      <c r="J3" s="189">
        <f t="shared" si="0"/>
        <v>0</v>
      </c>
      <c r="K3" s="189">
        <f t="shared" si="0"/>
        <v>0</v>
      </c>
      <c r="L3" s="189">
        <f t="shared" si="0"/>
        <v>0</v>
      </c>
      <c r="M3" s="190" t="str">
        <f>IF(J3&lt;&gt;0,L3/J3,"")</f>
        <v/>
      </c>
      <c r="N3" s="191">
        <f t="shared" si="0"/>
        <v>0</v>
      </c>
      <c r="O3" s="189">
        <f t="shared" si="0"/>
        <v>0</v>
      </c>
      <c r="P3" s="189">
        <f t="shared" si="0"/>
        <v>0</v>
      </c>
      <c r="Q3" s="189">
        <f t="shared" si="0"/>
        <v>0</v>
      </c>
      <c r="R3" s="189">
        <f t="shared" si="0"/>
        <v>0</v>
      </c>
      <c r="S3" s="190" t="str">
        <f>IF(P3&lt;&gt;0,R3/P3,"")</f>
        <v/>
      </c>
    </row>
    <row r="4" spans="1:19" ht="14.45" customHeight="1" x14ac:dyDescent="0.2">
      <c r="A4" s="348" t="s">
        <v>86</v>
      </c>
      <c r="B4" s="349" t="s">
        <v>80</v>
      </c>
      <c r="C4" s="350"/>
      <c r="D4" s="350"/>
      <c r="E4" s="350"/>
      <c r="F4" s="350"/>
      <c r="G4" s="352"/>
      <c r="H4" s="349" t="s">
        <v>81</v>
      </c>
      <c r="I4" s="350"/>
      <c r="J4" s="350"/>
      <c r="K4" s="350"/>
      <c r="L4" s="350"/>
      <c r="M4" s="352"/>
      <c r="N4" s="349" t="s">
        <v>82</v>
      </c>
      <c r="O4" s="350"/>
      <c r="P4" s="350"/>
      <c r="Q4" s="350"/>
      <c r="R4" s="350"/>
      <c r="S4" s="352"/>
    </row>
    <row r="5" spans="1:19" ht="14.45" customHeight="1" thickBot="1" x14ac:dyDescent="0.25">
      <c r="A5" s="424"/>
      <c r="B5" s="425">
        <v>2015</v>
      </c>
      <c r="C5" s="426"/>
      <c r="D5" s="426">
        <v>2018</v>
      </c>
      <c r="E5" s="426"/>
      <c r="F5" s="426">
        <v>2019</v>
      </c>
      <c r="G5" s="467" t="s">
        <v>2</v>
      </c>
      <c r="H5" s="425">
        <v>2015</v>
      </c>
      <c r="I5" s="426"/>
      <c r="J5" s="426">
        <v>2018</v>
      </c>
      <c r="K5" s="426"/>
      <c r="L5" s="426">
        <v>2019</v>
      </c>
      <c r="M5" s="467" t="s">
        <v>2</v>
      </c>
      <c r="N5" s="425">
        <v>2015</v>
      </c>
      <c r="O5" s="426"/>
      <c r="P5" s="426">
        <v>2018</v>
      </c>
      <c r="Q5" s="426"/>
      <c r="R5" s="426">
        <v>2019</v>
      </c>
      <c r="S5" s="467" t="s">
        <v>2</v>
      </c>
    </row>
    <row r="6" spans="1:19" ht="14.45" customHeight="1" x14ac:dyDescent="0.2">
      <c r="A6" s="450" t="s">
        <v>542</v>
      </c>
      <c r="B6" s="444">
        <v>37</v>
      </c>
      <c r="C6" s="407">
        <v>6.7765567765567761E-2</v>
      </c>
      <c r="D6" s="444">
        <v>546</v>
      </c>
      <c r="E6" s="407">
        <v>1</v>
      </c>
      <c r="F6" s="444"/>
      <c r="G6" s="463"/>
      <c r="H6" s="444"/>
      <c r="I6" s="407"/>
      <c r="J6" s="444"/>
      <c r="K6" s="407"/>
      <c r="L6" s="444"/>
      <c r="M6" s="463"/>
      <c r="N6" s="444"/>
      <c r="O6" s="407"/>
      <c r="P6" s="444"/>
      <c r="Q6" s="407"/>
      <c r="R6" s="444"/>
      <c r="S6" s="468"/>
    </row>
    <row r="7" spans="1:19" ht="14.45" customHeight="1" x14ac:dyDescent="0.2">
      <c r="A7" s="451" t="s">
        <v>543</v>
      </c>
      <c r="B7" s="446">
        <v>1752.33</v>
      </c>
      <c r="C7" s="413">
        <v>1.6130733754936346</v>
      </c>
      <c r="D7" s="446">
        <v>1086.33</v>
      </c>
      <c r="E7" s="413">
        <v>1</v>
      </c>
      <c r="F7" s="446">
        <v>3975</v>
      </c>
      <c r="G7" s="464">
        <v>3.6591091104912876</v>
      </c>
      <c r="H7" s="446"/>
      <c r="I7" s="413"/>
      <c r="J7" s="446"/>
      <c r="K7" s="413"/>
      <c r="L7" s="446"/>
      <c r="M7" s="464"/>
      <c r="N7" s="446"/>
      <c r="O7" s="413"/>
      <c r="P7" s="446"/>
      <c r="Q7" s="413"/>
      <c r="R7" s="446"/>
      <c r="S7" s="469"/>
    </row>
    <row r="8" spans="1:19" ht="14.45" customHeight="1" x14ac:dyDescent="0.2">
      <c r="A8" s="451" t="s">
        <v>544</v>
      </c>
      <c r="B8" s="446">
        <v>37</v>
      </c>
      <c r="C8" s="413">
        <v>7.2834645669291334E-2</v>
      </c>
      <c r="D8" s="446">
        <v>508</v>
      </c>
      <c r="E8" s="413">
        <v>1</v>
      </c>
      <c r="F8" s="446">
        <v>512</v>
      </c>
      <c r="G8" s="464">
        <v>1.0078740157480315</v>
      </c>
      <c r="H8" s="446"/>
      <c r="I8" s="413"/>
      <c r="J8" s="446"/>
      <c r="K8" s="413"/>
      <c r="L8" s="446"/>
      <c r="M8" s="464"/>
      <c r="N8" s="446"/>
      <c r="O8" s="413"/>
      <c r="P8" s="446"/>
      <c r="Q8" s="413"/>
      <c r="R8" s="446"/>
      <c r="S8" s="469"/>
    </row>
    <row r="9" spans="1:19" ht="14.45" customHeight="1" x14ac:dyDescent="0.2">
      <c r="A9" s="451" t="s">
        <v>545</v>
      </c>
      <c r="B9" s="446">
        <v>581</v>
      </c>
      <c r="C9" s="413">
        <v>1.8741935483870968</v>
      </c>
      <c r="D9" s="446">
        <v>310</v>
      </c>
      <c r="E9" s="413">
        <v>1</v>
      </c>
      <c r="F9" s="446">
        <v>5883</v>
      </c>
      <c r="G9" s="464">
        <v>18.977419354838709</v>
      </c>
      <c r="H9" s="446"/>
      <c r="I9" s="413"/>
      <c r="J9" s="446"/>
      <c r="K9" s="413"/>
      <c r="L9" s="446"/>
      <c r="M9" s="464"/>
      <c r="N9" s="446"/>
      <c r="O9" s="413"/>
      <c r="P9" s="446"/>
      <c r="Q9" s="413"/>
      <c r="R9" s="446"/>
      <c r="S9" s="469"/>
    </row>
    <row r="10" spans="1:19" ht="14.45" customHeight="1" x14ac:dyDescent="0.2">
      <c r="A10" s="451" t="s">
        <v>546</v>
      </c>
      <c r="B10" s="446"/>
      <c r="C10" s="413"/>
      <c r="D10" s="446"/>
      <c r="E10" s="413"/>
      <c r="F10" s="446">
        <v>38</v>
      </c>
      <c r="G10" s="464"/>
      <c r="H10" s="446"/>
      <c r="I10" s="413"/>
      <c r="J10" s="446"/>
      <c r="K10" s="413"/>
      <c r="L10" s="446"/>
      <c r="M10" s="464"/>
      <c r="N10" s="446"/>
      <c r="O10" s="413"/>
      <c r="P10" s="446"/>
      <c r="Q10" s="413"/>
      <c r="R10" s="446"/>
      <c r="S10" s="469"/>
    </row>
    <row r="11" spans="1:19" ht="14.45" customHeight="1" x14ac:dyDescent="0.2">
      <c r="A11" s="451" t="s">
        <v>547</v>
      </c>
      <c r="B11" s="446"/>
      <c r="C11" s="413"/>
      <c r="D11" s="446"/>
      <c r="E11" s="413"/>
      <c r="F11" s="446">
        <v>152</v>
      </c>
      <c r="G11" s="464"/>
      <c r="H11" s="446"/>
      <c r="I11" s="413"/>
      <c r="J11" s="446"/>
      <c r="K11" s="413"/>
      <c r="L11" s="446"/>
      <c r="M11" s="464"/>
      <c r="N11" s="446"/>
      <c r="O11" s="413"/>
      <c r="P11" s="446"/>
      <c r="Q11" s="413"/>
      <c r="R11" s="446"/>
      <c r="S11" s="469"/>
    </row>
    <row r="12" spans="1:19" ht="14.45" customHeight="1" x14ac:dyDescent="0.2">
      <c r="A12" s="451" t="s">
        <v>548</v>
      </c>
      <c r="B12" s="446">
        <v>1088</v>
      </c>
      <c r="C12" s="413">
        <v>0.89547325102880659</v>
      </c>
      <c r="D12" s="446">
        <v>1215</v>
      </c>
      <c r="E12" s="413">
        <v>1</v>
      </c>
      <c r="F12" s="446">
        <v>4297</v>
      </c>
      <c r="G12" s="464">
        <v>3.5366255144032923</v>
      </c>
      <c r="H12" s="446"/>
      <c r="I12" s="413"/>
      <c r="J12" s="446"/>
      <c r="K12" s="413"/>
      <c r="L12" s="446"/>
      <c r="M12" s="464"/>
      <c r="N12" s="446"/>
      <c r="O12" s="413"/>
      <c r="P12" s="446"/>
      <c r="Q12" s="413"/>
      <c r="R12" s="446"/>
      <c r="S12" s="469"/>
    </row>
    <row r="13" spans="1:19" ht="14.45" customHeight="1" x14ac:dyDescent="0.2">
      <c r="A13" s="451" t="s">
        <v>549</v>
      </c>
      <c r="B13" s="446">
        <v>37</v>
      </c>
      <c r="C13" s="413">
        <v>1</v>
      </c>
      <c r="D13" s="446">
        <v>37</v>
      </c>
      <c r="E13" s="413">
        <v>1</v>
      </c>
      <c r="F13" s="446"/>
      <c r="G13" s="464"/>
      <c r="H13" s="446"/>
      <c r="I13" s="413"/>
      <c r="J13" s="446"/>
      <c r="K13" s="413"/>
      <c r="L13" s="446"/>
      <c r="M13" s="464"/>
      <c r="N13" s="446"/>
      <c r="O13" s="413"/>
      <c r="P13" s="446"/>
      <c r="Q13" s="413"/>
      <c r="R13" s="446"/>
      <c r="S13" s="469"/>
    </row>
    <row r="14" spans="1:19" ht="14.45" customHeight="1" x14ac:dyDescent="0.2">
      <c r="A14" s="451" t="s">
        <v>550</v>
      </c>
      <c r="B14" s="446">
        <v>470</v>
      </c>
      <c r="C14" s="413">
        <v>12.702702702702704</v>
      </c>
      <c r="D14" s="446">
        <v>37</v>
      </c>
      <c r="E14" s="413">
        <v>1</v>
      </c>
      <c r="F14" s="446">
        <v>76</v>
      </c>
      <c r="G14" s="464">
        <v>2.0540540540540539</v>
      </c>
      <c r="H14" s="446"/>
      <c r="I14" s="413"/>
      <c r="J14" s="446"/>
      <c r="K14" s="413"/>
      <c r="L14" s="446"/>
      <c r="M14" s="464"/>
      <c r="N14" s="446"/>
      <c r="O14" s="413"/>
      <c r="P14" s="446"/>
      <c r="Q14" s="413"/>
      <c r="R14" s="446"/>
      <c r="S14" s="469"/>
    </row>
    <row r="15" spans="1:19" ht="14.45" customHeight="1" thickBot="1" x14ac:dyDescent="0.25">
      <c r="A15" s="452" t="s">
        <v>551</v>
      </c>
      <c r="B15" s="448"/>
      <c r="C15" s="419"/>
      <c r="D15" s="448"/>
      <c r="E15" s="419"/>
      <c r="F15" s="448">
        <v>707</v>
      </c>
      <c r="G15" s="465"/>
      <c r="H15" s="448"/>
      <c r="I15" s="419"/>
      <c r="J15" s="448"/>
      <c r="K15" s="419"/>
      <c r="L15" s="448"/>
      <c r="M15" s="465"/>
      <c r="N15" s="448"/>
      <c r="O15" s="419"/>
      <c r="P15" s="448"/>
      <c r="Q15" s="419"/>
      <c r="R15" s="448"/>
      <c r="S15" s="470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 xr:uid="{578C492C-1418-465E-AF13-9A46FEF3302D}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List21">
    <tabColor theme="0" tint="-0.249977111117893"/>
    <outlinePr summaryRight="0"/>
    <pageSetUpPr fitToPage="1"/>
  </sheetPr>
  <dimension ref="A1:Q29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ColWidth="8.85546875" defaultRowHeight="14.45" customHeight="1" outlineLevelCol="1" x14ac:dyDescent="0.2"/>
  <cols>
    <col min="1" max="1" width="3" style="104" bestFit="1" customWidth="1"/>
    <col min="2" max="2" width="8.7109375" style="104" bestFit="1" customWidth="1"/>
    <col min="3" max="3" width="2.140625" style="104" bestFit="1" customWidth="1"/>
    <col min="4" max="4" width="8" style="104" bestFit="1" customWidth="1"/>
    <col min="5" max="5" width="52.85546875" style="104" bestFit="1" customWidth="1" collapsed="1"/>
    <col min="6" max="7" width="11.140625" style="180" hidden="1" customWidth="1" outlineLevel="1"/>
    <col min="8" max="9" width="9.28515625" style="180" hidden="1" customWidth="1"/>
    <col min="10" max="11" width="11.140625" style="180" customWidth="1"/>
    <col min="12" max="13" width="9.28515625" style="180" hidden="1" customWidth="1"/>
    <col min="14" max="15" width="11.140625" style="180" customWidth="1"/>
    <col min="16" max="16" width="11.140625" style="183" customWidth="1"/>
    <col min="17" max="17" width="11.140625" style="180" customWidth="1"/>
    <col min="18" max="16384" width="8.85546875" style="104"/>
  </cols>
  <sheetData>
    <row r="1" spans="1:17" ht="18.600000000000001" customHeight="1" thickBot="1" x14ac:dyDescent="0.35">
      <c r="A1" s="272" t="s">
        <v>564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2"/>
    </row>
    <row r="2" spans="1:17" ht="14.45" customHeight="1" thickBot="1" x14ac:dyDescent="0.25">
      <c r="A2" s="199" t="s">
        <v>202</v>
      </c>
      <c r="B2" s="105"/>
      <c r="C2" s="105"/>
      <c r="D2" s="105"/>
      <c r="E2" s="10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6"/>
      <c r="Q2" s="195"/>
    </row>
    <row r="3" spans="1:17" ht="14.45" customHeight="1" thickBot="1" x14ac:dyDescent="0.25">
      <c r="E3" s="63" t="s">
        <v>105</v>
      </c>
      <c r="F3" s="77">
        <f t="shared" ref="F3:O3" si="0">SUBTOTAL(9,F6:F1048576)</f>
        <v>21</v>
      </c>
      <c r="G3" s="78">
        <f t="shared" si="0"/>
        <v>4002.33</v>
      </c>
      <c r="H3" s="78"/>
      <c r="I3" s="78"/>
      <c r="J3" s="78">
        <f t="shared" si="0"/>
        <v>21</v>
      </c>
      <c r="K3" s="78">
        <f t="shared" si="0"/>
        <v>3739.33</v>
      </c>
      <c r="L3" s="78"/>
      <c r="M3" s="78"/>
      <c r="N3" s="78">
        <f t="shared" si="0"/>
        <v>29</v>
      </c>
      <c r="O3" s="78">
        <f t="shared" si="0"/>
        <v>15640</v>
      </c>
      <c r="P3" s="59">
        <f>IF(K3=0,0,O3/K3)</f>
        <v>4.1825674652945848</v>
      </c>
      <c r="Q3" s="79">
        <f>IF(N3=0,0,O3/N3)</f>
        <v>539.31034482758616</v>
      </c>
    </row>
    <row r="4" spans="1:17" ht="14.45" customHeight="1" x14ac:dyDescent="0.2">
      <c r="A4" s="357" t="s">
        <v>50</v>
      </c>
      <c r="B4" s="355" t="s">
        <v>76</v>
      </c>
      <c r="C4" s="357" t="s">
        <v>77</v>
      </c>
      <c r="D4" s="366" t="s">
        <v>78</v>
      </c>
      <c r="E4" s="358" t="s">
        <v>51</v>
      </c>
      <c r="F4" s="364">
        <v>2015</v>
      </c>
      <c r="G4" s="365"/>
      <c r="H4" s="80"/>
      <c r="I4" s="80"/>
      <c r="J4" s="364">
        <v>2018</v>
      </c>
      <c r="K4" s="365"/>
      <c r="L4" s="80"/>
      <c r="M4" s="80"/>
      <c r="N4" s="364">
        <v>2019</v>
      </c>
      <c r="O4" s="365"/>
      <c r="P4" s="367" t="s">
        <v>2</v>
      </c>
      <c r="Q4" s="356" t="s">
        <v>79</v>
      </c>
    </row>
    <row r="5" spans="1:17" ht="14.45" customHeight="1" thickBot="1" x14ac:dyDescent="0.25">
      <c r="A5" s="455"/>
      <c r="B5" s="453"/>
      <c r="C5" s="455"/>
      <c r="D5" s="471"/>
      <c r="E5" s="457"/>
      <c r="F5" s="472" t="s">
        <v>53</v>
      </c>
      <c r="G5" s="473" t="s">
        <v>10</v>
      </c>
      <c r="H5" s="474"/>
      <c r="I5" s="474"/>
      <c r="J5" s="472" t="s">
        <v>53</v>
      </c>
      <c r="K5" s="473" t="s">
        <v>10</v>
      </c>
      <c r="L5" s="474"/>
      <c r="M5" s="474"/>
      <c r="N5" s="472" t="s">
        <v>53</v>
      </c>
      <c r="O5" s="473" t="s">
        <v>10</v>
      </c>
      <c r="P5" s="475"/>
      <c r="Q5" s="462"/>
    </row>
    <row r="6" spans="1:17" ht="14.45" customHeight="1" x14ac:dyDescent="0.2">
      <c r="A6" s="406" t="s">
        <v>552</v>
      </c>
      <c r="B6" s="407" t="s">
        <v>492</v>
      </c>
      <c r="C6" s="407" t="s">
        <v>516</v>
      </c>
      <c r="D6" s="407" t="s">
        <v>519</v>
      </c>
      <c r="E6" s="407" t="s">
        <v>520</v>
      </c>
      <c r="F6" s="410">
        <v>1</v>
      </c>
      <c r="G6" s="410">
        <v>37</v>
      </c>
      <c r="H6" s="410">
        <v>0.5</v>
      </c>
      <c r="I6" s="410">
        <v>37</v>
      </c>
      <c r="J6" s="410">
        <v>2</v>
      </c>
      <c r="K6" s="410">
        <v>74</v>
      </c>
      <c r="L6" s="410">
        <v>1</v>
      </c>
      <c r="M6" s="410">
        <v>37</v>
      </c>
      <c r="N6" s="410"/>
      <c r="O6" s="410"/>
      <c r="P6" s="463"/>
      <c r="Q6" s="411"/>
    </row>
    <row r="7" spans="1:17" ht="14.45" customHeight="1" x14ac:dyDescent="0.2">
      <c r="A7" s="412" t="s">
        <v>552</v>
      </c>
      <c r="B7" s="413" t="s">
        <v>492</v>
      </c>
      <c r="C7" s="413" t="s">
        <v>516</v>
      </c>
      <c r="D7" s="413" t="s">
        <v>531</v>
      </c>
      <c r="E7" s="413" t="s">
        <v>532</v>
      </c>
      <c r="F7" s="416"/>
      <c r="G7" s="416"/>
      <c r="H7" s="416"/>
      <c r="I7" s="416"/>
      <c r="J7" s="416">
        <v>2</v>
      </c>
      <c r="K7" s="416">
        <v>472</v>
      </c>
      <c r="L7" s="416">
        <v>1</v>
      </c>
      <c r="M7" s="416">
        <v>236</v>
      </c>
      <c r="N7" s="416"/>
      <c r="O7" s="416"/>
      <c r="P7" s="464"/>
      <c r="Q7" s="417"/>
    </row>
    <row r="8" spans="1:17" ht="14.45" customHeight="1" x14ac:dyDescent="0.2">
      <c r="A8" s="412" t="s">
        <v>553</v>
      </c>
      <c r="B8" s="413" t="s">
        <v>492</v>
      </c>
      <c r="C8" s="413" t="s">
        <v>516</v>
      </c>
      <c r="D8" s="413" t="s">
        <v>519</v>
      </c>
      <c r="E8" s="413" t="s">
        <v>520</v>
      </c>
      <c r="F8" s="416">
        <v>2</v>
      </c>
      <c r="G8" s="416">
        <v>74</v>
      </c>
      <c r="H8" s="416">
        <v>0.66666666666666663</v>
      </c>
      <c r="I8" s="416">
        <v>37</v>
      </c>
      <c r="J8" s="416">
        <v>3</v>
      </c>
      <c r="K8" s="416">
        <v>111</v>
      </c>
      <c r="L8" s="416">
        <v>1</v>
      </c>
      <c r="M8" s="416">
        <v>37</v>
      </c>
      <c r="N8" s="416">
        <v>4</v>
      </c>
      <c r="O8" s="416">
        <v>152</v>
      </c>
      <c r="P8" s="464">
        <v>1.3693693693693694</v>
      </c>
      <c r="Q8" s="417">
        <v>38</v>
      </c>
    </row>
    <row r="9" spans="1:17" ht="14.45" customHeight="1" x14ac:dyDescent="0.2">
      <c r="A9" s="412" t="s">
        <v>553</v>
      </c>
      <c r="B9" s="413" t="s">
        <v>492</v>
      </c>
      <c r="C9" s="413" t="s">
        <v>516</v>
      </c>
      <c r="D9" s="413" t="s">
        <v>523</v>
      </c>
      <c r="E9" s="413" t="s">
        <v>524</v>
      </c>
      <c r="F9" s="416">
        <v>3</v>
      </c>
      <c r="G9" s="416">
        <v>1410</v>
      </c>
      <c r="H9" s="416">
        <v>1.4968152866242037</v>
      </c>
      <c r="I9" s="416">
        <v>470</v>
      </c>
      <c r="J9" s="416">
        <v>2</v>
      </c>
      <c r="K9" s="416">
        <v>942</v>
      </c>
      <c r="L9" s="416">
        <v>1</v>
      </c>
      <c r="M9" s="416">
        <v>471</v>
      </c>
      <c r="N9" s="416"/>
      <c r="O9" s="416"/>
      <c r="P9" s="464"/>
      <c r="Q9" s="417"/>
    </row>
    <row r="10" spans="1:17" ht="14.45" customHeight="1" x14ac:dyDescent="0.2">
      <c r="A10" s="412" t="s">
        <v>553</v>
      </c>
      <c r="B10" s="413" t="s">
        <v>492</v>
      </c>
      <c r="C10" s="413" t="s">
        <v>516</v>
      </c>
      <c r="D10" s="413" t="s">
        <v>525</v>
      </c>
      <c r="E10" s="413" t="s">
        <v>526</v>
      </c>
      <c r="F10" s="416">
        <v>1</v>
      </c>
      <c r="G10" s="416">
        <v>33.33</v>
      </c>
      <c r="H10" s="416">
        <v>1</v>
      </c>
      <c r="I10" s="416">
        <v>33.33</v>
      </c>
      <c r="J10" s="416">
        <v>1</v>
      </c>
      <c r="K10" s="416">
        <v>33.33</v>
      </c>
      <c r="L10" s="416">
        <v>1</v>
      </c>
      <c r="M10" s="416">
        <v>33.33</v>
      </c>
      <c r="N10" s="416"/>
      <c r="O10" s="416"/>
      <c r="P10" s="464"/>
      <c r="Q10" s="417"/>
    </row>
    <row r="11" spans="1:17" ht="14.45" customHeight="1" x14ac:dyDescent="0.2">
      <c r="A11" s="412" t="s">
        <v>553</v>
      </c>
      <c r="B11" s="413" t="s">
        <v>492</v>
      </c>
      <c r="C11" s="413" t="s">
        <v>516</v>
      </c>
      <c r="D11" s="413" t="s">
        <v>531</v>
      </c>
      <c r="E11" s="413" t="s">
        <v>532</v>
      </c>
      <c r="F11" s="416">
        <v>1</v>
      </c>
      <c r="G11" s="416">
        <v>235</v>
      </c>
      <c r="H11" s="416"/>
      <c r="I11" s="416">
        <v>235</v>
      </c>
      <c r="J11" s="416"/>
      <c r="K11" s="416"/>
      <c r="L11" s="416"/>
      <c r="M11" s="416"/>
      <c r="N11" s="416">
        <v>1</v>
      </c>
      <c r="O11" s="416">
        <v>237</v>
      </c>
      <c r="P11" s="464"/>
      <c r="Q11" s="417">
        <v>237</v>
      </c>
    </row>
    <row r="12" spans="1:17" ht="14.45" customHeight="1" x14ac:dyDescent="0.2">
      <c r="A12" s="412" t="s">
        <v>553</v>
      </c>
      <c r="B12" s="413" t="s">
        <v>492</v>
      </c>
      <c r="C12" s="413" t="s">
        <v>516</v>
      </c>
      <c r="D12" s="413" t="s">
        <v>537</v>
      </c>
      <c r="E12" s="413" t="s">
        <v>538</v>
      </c>
      <c r="F12" s="416"/>
      <c r="G12" s="416"/>
      <c r="H12" s="416"/>
      <c r="I12" s="416"/>
      <c r="J12" s="416"/>
      <c r="K12" s="416"/>
      <c r="L12" s="416"/>
      <c r="M12" s="416"/>
      <c r="N12" s="416">
        <v>1</v>
      </c>
      <c r="O12" s="416">
        <v>3586</v>
      </c>
      <c r="P12" s="464"/>
      <c r="Q12" s="417">
        <v>3586</v>
      </c>
    </row>
    <row r="13" spans="1:17" ht="14.45" customHeight="1" x14ac:dyDescent="0.2">
      <c r="A13" s="412" t="s">
        <v>554</v>
      </c>
      <c r="B13" s="413" t="s">
        <v>492</v>
      </c>
      <c r="C13" s="413" t="s">
        <v>516</v>
      </c>
      <c r="D13" s="413" t="s">
        <v>519</v>
      </c>
      <c r="E13" s="413" t="s">
        <v>520</v>
      </c>
      <c r="F13" s="416">
        <v>1</v>
      </c>
      <c r="G13" s="416">
        <v>37</v>
      </c>
      <c r="H13" s="416">
        <v>1</v>
      </c>
      <c r="I13" s="416">
        <v>37</v>
      </c>
      <c r="J13" s="416">
        <v>1</v>
      </c>
      <c r="K13" s="416">
        <v>37</v>
      </c>
      <c r="L13" s="416">
        <v>1</v>
      </c>
      <c r="M13" s="416">
        <v>37</v>
      </c>
      <c r="N13" s="416">
        <v>1</v>
      </c>
      <c r="O13" s="416">
        <v>38</v>
      </c>
      <c r="P13" s="464">
        <v>1.027027027027027</v>
      </c>
      <c r="Q13" s="417">
        <v>38</v>
      </c>
    </row>
    <row r="14" spans="1:17" ht="14.45" customHeight="1" x14ac:dyDescent="0.2">
      <c r="A14" s="412" t="s">
        <v>554</v>
      </c>
      <c r="B14" s="413" t="s">
        <v>492</v>
      </c>
      <c r="C14" s="413" t="s">
        <v>516</v>
      </c>
      <c r="D14" s="413" t="s">
        <v>523</v>
      </c>
      <c r="E14" s="413" t="s">
        <v>524</v>
      </c>
      <c r="F14" s="416"/>
      <c r="G14" s="416"/>
      <c r="H14" s="416"/>
      <c r="I14" s="416"/>
      <c r="J14" s="416">
        <v>1</v>
      </c>
      <c r="K14" s="416">
        <v>471</v>
      </c>
      <c r="L14" s="416">
        <v>1</v>
      </c>
      <c r="M14" s="416">
        <v>471</v>
      </c>
      <c r="N14" s="416">
        <v>1</v>
      </c>
      <c r="O14" s="416">
        <v>474</v>
      </c>
      <c r="P14" s="464">
        <v>1.0063694267515924</v>
      </c>
      <c r="Q14" s="417">
        <v>474</v>
      </c>
    </row>
    <row r="15" spans="1:17" ht="14.45" customHeight="1" x14ac:dyDescent="0.2">
      <c r="A15" s="412" t="s">
        <v>555</v>
      </c>
      <c r="B15" s="413" t="s">
        <v>492</v>
      </c>
      <c r="C15" s="413" t="s">
        <v>516</v>
      </c>
      <c r="D15" s="413" t="s">
        <v>519</v>
      </c>
      <c r="E15" s="413" t="s">
        <v>520</v>
      </c>
      <c r="F15" s="416">
        <v>3</v>
      </c>
      <c r="G15" s="416">
        <v>111</v>
      </c>
      <c r="H15" s="416">
        <v>1.5</v>
      </c>
      <c r="I15" s="416">
        <v>37</v>
      </c>
      <c r="J15" s="416">
        <v>2</v>
      </c>
      <c r="K15" s="416">
        <v>74</v>
      </c>
      <c r="L15" s="416">
        <v>1</v>
      </c>
      <c r="M15" s="416">
        <v>37</v>
      </c>
      <c r="N15" s="416">
        <v>3</v>
      </c>
      <c r="O15" s="416">
        <v>114</v>
      </c>
      <c r="P15" s="464">
        <v>1.5405405405405406</v>
      </c>
      <c r="Q15" s="417">
        <v>38</v>
      </c>
    </row>
    <row r="16" spans="1:17" ht="14.45" customHeight="1" x14ac:dyDescent="0.2">
      <c r="A16" s="412" t="s">
        <v>555</v>
      </c>
      <c r="B16" s="413" t="s">
        <v>492</v>
      </c>
      <c r="C16" s="413" t="s">
        <v>516</v>
      </c>
      <c r="D16" s="413" t="s">
        <v>523</v>
      </c>
      <c r="E16" s="413" t="s">
        <v>524</v>
      </c>
      <c r="F16" s="416">
        <v>1</v>
      </c>
      <c r="G16" s="416">
        <v>470</v>
      </c>
      <c r="H16" s="416"/>
      <c r="I16" s="416">
        <v>470</v>
      </c>
      <c r="J16" s="416"/>
      <c r="K16" s="416"/>
      <c r="L16" s="416"/>
      <c r="M16" s="416"/>
      <c r="N16" s="416">
        <v>3</v>
      </c>
      <c r="O16" s="416">
        <v>1422</v>
      </c>
      <c r="P16" s="464"/>
      <c r="Q16" s="417">
        <v>474</v>
      </c>
    </row>
    <row r="17" spans="1:17" ht="14.45" customHeight="1" x14ac:dyDescent="0.2">
      <c r="A17" s="412" t="s">
        <v>555</v>
      </c>
      <c r="B17" s="413" t="s">
        <v>492</v>
      </c>
      <c r="C17" s="413" t="s">
        <v>516</v>
      </c>
      <c r="D17" s="413" t="s">
        <v>531</v>
      </c>
      <c r="E17" s="413" t="s">
        <v>532</v>
      </c>
      <c r="F17" s="416"/>
      <c r="G17" s="416"/>
      <c r="H17" s="416"/>
      <c r="I17" s="416"/>
      <c r="J17" s="416">
        <v>1</v>
      </c>
      <c r="K17" s="416">
        <v>236</v>
      </c>
      <c r="L17" s="416">
        <v>1</v>
      </c>
      <c r="M17" s="416">
        <v>236</v>
      </c>
      <c r="N17" s="416">
        <v>1</v>
      </c>
      <c r="O17" s="416">
        <v>237</v>
      </c>
      <c r="P17" s="464">
        <v>1.0042372881355932</v>
      </c>
      <c r="Q17" s="417">
        <v>237</v>
      </c>
    </row>
    <row r="18" spans="1:17" ht="14.45" customHeight="1" x14ac:dyDescent="0.2">
      <c r="A18" s="412" t="s">
        <v>555</v>
      </c>
      <c r="B18" s="413" t="s">
        <v>492</v>
      </c>
      <c r="C18" s="413" t="s">
        <v>516</v>
      </c>
      <c r="D18" s="413" t="s">
        <v>535</v>
      </c>
      <c r="E18" s="413" t="s">
        <v>536</v>
      </c>
      <c r="F18" s="416"/>
      <c r="G18" s="416"/>
      <c r="H18" s="416"/>
      <c r="I18" s="416"/>
      <c r="J18" s="416"/>
      <c r="K18" s="416"/>
      <c r="L18" s="416"/>
      <c r="M18" s="416"/>
      <c r="N18" s="416">
        <v>2</v>
      </c>
      <c r="O18" s="416">
        <v>524</v>
      </c>
      <c r="P18" s="464"/>
      <c r="Q18" s="417">
        <v>262</v>
      </c>
    </row>
    <row r="19" spans="1:17" ht="14.45" customHeight="1" x14ac:dyDescent="0.2">
      <c r="A19" s="412" t="s">
        <v>555</v>
      </c>
      <c r="B19" s="413" t="s">
        <v>492</v>
      </c>
      <c r="C19" s="413" t="s">
        <v>516</v>
      </c>
      <c r="D19" s="413" t="s">
        <v>537</v>
      </c>
      <c r="E19" s="413" t="s">
        <v>538</v>
      </c>
      <c r="F19" s="416"/>
      <c r="G19" s="416"/>
      <c r="H19" s="416"/>
      <c r="I19" s="416"/>
      <c r="J19" s="416"/>
      <c r="K19" s="416"/>
      <c r="L19" s="416"/>
      <c r="M19" s="416"/>
      <c r="N19" s="416">
        <v>1</v>
      </c>
      <c r="O19" s="416">
        <v>3586</v>
      </c>
      <c r="P19" s="464"/>
      <c r="Q19" s="417">
        <v>3586</v>
      </c>
    </row>
    <row r="20" spans="1:17" ht="14.45" customHeight="1" x14ac:dyDescent="0.2">
      <c r="A20" s="412" t="s">
        <v>556</v>
      </c>
      <c r="B20" s="413" t="s">
        <v>492</v>
      </c>
      <c r="C20" s="413" t="s">
        <v>516</v>
      </c>
      <c r="D20" s="413" t="s">
        <v>519</v>
      </c>
      <c r="E20" s="413" t="s">
        <v>520</v>
      </c>
      <c r="F20" s="416"/>
      <c r="G20" s="416"/>
      <c r="H20" s="416"/>
      <c r="I20" s="416"/>
      <c r="J20" s="416"/>
      <c r="K20" s="416"/>
      <c r="L20" s="416"/>
      <c r="M20" s="416"/>
      <c r="N20" s="416">
        <v>1</v>
      </c>
      <c r="O20" s="416">
        <v>38</v>
      </c>
      <c r="P20" s="464"/>
      <c r="Q20" s="417">
        <v>38</v>
      </c>
    </row>
    <row r="21" spans="1:17" ht="14.45" customHeight="1" x14ac:dyDescent="0.2">
      <c r="A21" s="412" t="s">
        <v>557</v>
      </c>
      <c r="B21" s="413" t="s">
        <v>492</v>
      </c>
      <c r="C21" s="413" t="s">
        <v>516</v>
      </c>
      <c r="D21" s="413" t="s">
        <v>519</v>
      </c>
      <c r="E21" s="413" t="s">
        <v>520</v>
      </c>
      <c r="F21" s="416"/>
      <c r="G21" s="416"/>
      <c r="H21" s="416"/>
      <c r="I21" s="416"/>
      <c r="J21" s="416"/>
      <c r="K21" s="416"/>
      <c r="L21" s="416"/>
      <c r="M21" s="416"/>
      <c r="N21" s="416">
        <v>4</v>
      </c>
      <c r="O21" s="416">
        <v>152</v>
      </c>
      <c r="P21" s="464"/>
      <c r="Q21" s="417">
        <v>38</v>
      </c>
    </row>
    <row r="22" spans="1:17" ht="14.45" customHeight="1" x14ac:dyDescent="0.2">
      <c r="A22" s="412" t="s">
        <v>558</v>
      </c>
      <c r="B22" s="413" t="s">
        <v>492</v>
      </c>
      <c r="C22" s="413" t="s">
        <v>516</v>
      </c>
      <c r="D22" s="413" t="s">
        <v>519</v>
      </c>
      <c r="E22" s="413" t="s">
        <v>520</v>
      </c>
      <c r="F22" s="416">
        <v>4</v>
      </c>
      <c r="G22" s="416">
        <v>148</v>
      </c>
      <c r="H22" s="416">
        <v>4</v>
      </c>
      <c r="I22" s="416">
        <v>37</v>
      </c>
      <c r="J22" s="416">
        <v>1</v>
      </c>
      <c r="K22" s="416">
        <v>37</v>
      </c>
      <c r="L22" s="416">
        <v>1</v>
      </c>
      <c r="M22" s="416">
        <v>37</v>
      </c>
      <c r="N22" s="416"/>
      <c r="O22" s="416"/>
      <c r="P22" s="464"/>
      <c r="Q22" s="417"/>
    </row>
    <row r="23" spans="1:17" ht="14.45" customHeight="1" x14ac:dyDescent="0.2">
      <c r="A23" s="412" t="s">
        <v>558</v>
      </c>
      <c r="B23" s="413" t="s">
        <v>492</v>
      </c>
      <c r="C23" s="413" t="s">
        <v>516</v>
      </c>
      <c r="D23" s="413" t="s">
        <v>523</v>
      </c>
      <c r="E23" s="413" t="s">
        <v>524</v>
      </c>
      <c r="F23" s="416">
        <v>2</v>
      </c>
      <c r="G23" s="416">
        <v>940</v>
      </c>
      <c r="H23" s="416">
        <v>0.99787685774946921</v>
      </c>
      <c r="I23" s="416">
        <v>470</v>
      </c>
      <c r="J23" s="416">
        <v>2</v>
      </c>
      <c r="K23" s="416">
        <v>942</v>
      </c>
      <c r="L23" s="416">
        <v>1</v>
      </c>
      <c r="M23" s="416">
        <v>471</v>
      </c>
      <c r="N23" s="416">
        <v>1</v>
      </c>
      <c r="O23" s="416">
        <v>474</v>
      </c>
      <c r="P23" s="464">
        <v>0.50318471337579618</v>
      </c>
      <c r="Q23" s="417">
        <v>474</v>
      </c>
    </row>
    <row r="24" spans="1:17" ht="14.45" customHeight="1" x14ac:dyDescent="0.2">
      <c r="A24" s="412" t="s">
        <v>558</v>
      </c>
      <c r="B24" s="413" t="s">
        <v>492</v>
      </c>
      <c r="C24" s="413" t="s">
        <v>516</v>
      </c>
      <c r="D24" s="413" t="s">
        <v>531</v>
      </c>
      <c r="E24" s="413" t="s">
        <v>532</v>
      </c>
      <c r="F24" s="416"/>
      <c r="G24" s="416"/>
      <c r="H24" s="416"/>
      <c r="I24" s="416"/>
      <c r="J24" s="416">
        <v>1</v>
      </c>
      <c r="K24" s="416">
        <v>236</v>
      </c>
      <c r="L24" s="416">
        <v>1</v>
      </c>
      <c r="M24" s="416">
        <v>236</v>
      </c>
      <c r="N24" s="416">
        <v>1</v>
      </c>
      <c r="O24" s="416">
        <v>237</v>
      </c>
      <c r="P24" s="464">
        <v>1.0042372881355932</v>
      </c>
      <c r="Q24" s="417">
        <v>237</v>
      </c>
    </row>
    <row r="25" spans="1:17" ht="14.45" customHeight="1" x14ac:dyDescent="0.2">
      <c r="A25" s="412" t="s">
        <v>558</v>
      </c>
      <c r="B25" s="413" t="s">
        <v>492</v>
      </c>
      <c r="C25" s="413" t="s">
        <v>516</v>
      </c>
      <c r="D25" s="413" t="s">
        <v>537</v>
      </c>
      <c r="E25" s="413" t="s">
        <v>538</v>
      </c>
      <c r="F25" s="416"/>
      <c r="G25" s="416"/>
      <c r="H25" s="416"/>
      <c r="I25" s="416"/>
      <c r="J25" s="416"/>
      <c r="K25" s="416"/>
      <c r="L25" s="416"/>
      <c r="M25" s="416"/>
      <c r="N25" s="416">
        <v>1</v>
      </c>
      <c r="O25" s="416">
        <v>3586</v>
      </c>
      <c r="P25" s="464"/>
      <c r="Q25" s="417">
        <v>3586</v>
      </c>
    </row>
    <row r="26" spans="1:17" ht="14.45" customHeight="1" x14ac:dyDescent="0.2">
      <c r="A26" s="412" t="s">
        <v>559</v>
      </c>
      <c r="B26" s="413" t="s">
        <v>492</v>
      </c>
      <c r="C26" s="413" t="s">
        <v>516</v>
      </c>
      <c r="D26" s="413" t="s">
        <v>519</v>
      </c>
      <c r="E26" s="413" t="s">
        <v>520</v>
      </c>
      <c r="F26" s="416">
        <v>1</v>
      </c>
      <c r="G26" s="416">
        <v>37</v>
      </c>
      <c r="H26" s="416">
        <v>1</v>
      </c>
      <c r="I26" s="416">
        <v>37</v>
      </c>
      <c r="J26" s="416">
        <v>1</v>
      </c>
      <c r="K26" s="416">
        <v>37</v>
      </c>
      <c r="L26" s="416">
        <v>1</v>
      </c>
      <c r="M26" s="416">
        <v>37</v>
      </c>
      <c r="N26" s="416"/>
      <c r="O26" s="416"/>
      <c r="P26" s="464"/>
      <c r="Q26" s="417"/>
    </row>
    <row r="27" spans="1:17" ht="14.45" customHeight="1" x14ac:dyDescent="0.2">
      <c r="A27" s="412" t="s">
        <v>560</v>
      </c>
      <c r="B27" s="413" t="s">
        <v>492</v>
      </c>
      <c r="C27" s="413" t="s">
        <v>516</v>
      </c>
      <c r="D27" s="413" t="s">
        <v>519</v>
      </c>
      <c r="E27" s="413" t="s">
        <v>520</v>
      </c>
      <c r="F27" s="416"/>
      <c r="G27" s="416"/>
      <c r="H27" s="416"/>
      <c r="I27" s="416"/>
      <c r="J27" s="416">
        <v>1</v>
      </c>
      <c r="K27" s="416">
        <v>37</v>
      </c>
      <c r="L27" s="416">
        <v>1</v>
      </c>
      <c r="M27" s="416">
        <v>37</v>
      </c>
      <c r="N27" s="416">
        <v>2</v>
      </c>
      <c r="O27" s="416">
        <v>76</v>
      </c>
      <c r="P27" s="464">
        <v>2.0540540540540539</v>
      </c>
      <c r="Q27" s="417">
        <v>38</v>
      </c>
    </row>
    <row r="28" spans="1:17" ht="14.45" customHeight="1" x14ac:dyDescent="0.2">
      <c r="A28" s="412" t="s">
        <v>560</v>
      </c>
      <c r="B28" s="413" t="s">
        <v>492</v>
      </c>
      <c r="C28" s="413" t="s">
        <v>516</v>
      </c>
      <c r="D28" s="413" t="s">
        <v>523</v>
      </c>
      <c r="E28" s="413" t="s">
        <v>524</v>
      </c>
      <c r="F28" s="416">
        <v>1</v>
      </c>
      <c r="G28" s="416">
        <v>470</v>
      </c>
      <c r="H28" s="416"/>
      <c r="I28" s="416">
        <v>470</v>
      </c>
      <c r="J28" s="416"/>
      <c r="K28" s="416"/>
      <c r="L28" s="416"/>
      <c r="M28" s="416"/>
      <c r="N28" s="416"/>
      <c r="O28" s="416"/>
      <c r="P28" s="464"/>
      <c r="Q28" s="417"/>
    </row>
    <row r="29" spans="1:17" ht="14.45" customHeight="1" thickBot="1" x14ac:dyDescent="0.25">
      <c r="A29" s="418" t="s">
        <v>561</v>
      </c>
      <c r="B29" s="419" t="s">
        <v>492</v>
      </c>
      <c r="C29" s="419" t="s">
        <v>516</v>
      </c>
      <c r="D29" s="419" t="s">
        <v>562</v>
      </c>
      <c r="E29" s="419" t="s">
        <v>563</v>
      </c>
      <c r="F29" s="422"/>
      <c r="G29" s="422"/>
      <c r="H29" s="422"/>
      <c r="I29" s="422"/>
      <c r="J29" s="422"/>
      <c r="K29" s="422"/>
      <c r="L29" s="422"/>
      <c r="M29" s="422"/>
      <c r="N29" s="422">
        <v>1</v>
      </c>
      <c r="O29" s="422">
        <v>707</v>
      </c>
      <c r="P29" s="465"/>
      <c r="Q29" s="423">
        <v>707</v>
      </c>
    </row>
  </sheetData>
  <autoFilter ref="A5:Q5" xr:uid="{00000000-0009-0000-0000-000027000000}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 xr:uid="{FD0D73C3-65C4-447D-99F0-61CAB55D0FF8}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23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123" bestFit="1" customWidth="1"/>
    <col min="2" max="2" width="11.7109375" style="123" hidden="1" customWidth="1"/>
    <col min="3" max="4" width="11" style="125" customWidth="1"/>
    <col min="5" max="5" width="11" style="126" customWidth="1"/>
    <col min="6" max="16384" width="8.85546875" style="123"/>
  </cols>
  <sheetData>
    <row r="1" spans="1:5" ht="19.5" thickBot="1" x14ac:dyDescent="0.35">
      <c r="A1" s="272" t="s">
        <v>98</v>
      </c>
      <c r="B1" s="272"/>
      <c r="C1" s="273"/>
      <c r="D1" s="273"/>
      <c r="E1" s="273"/>
    </row>
    <row r="2" spans="1:5" ht="14.45" customHeight="1" thickBot="1" x14ac:dyDescent="0.25">
      <c r="A2" s="199" t="s">
        <v>202</v>
      </c>
      <c r="B2" s="124"/>
    </row>
    <row r="3" spans="1:5" ht="14.45" customHeight="1" thickBot="1" x14ac:dyDescent="0.25">
      <c r="A3" s="127"/>
      <c r="C3" s="128" t="s">
        <v>88</v>
      </c>
      <c r="D3" s="129" t="s">
        <v>54</v>
      </c>
      <c r="E3" s="130" t="s">
        <v>56</v>
      </c>
    </row>
    <row r="4" spans="1:5" ht="14.45" customHeight="1" thickBot="1" x14ac:dyDescent="0.25">
      <c r="A4" s="131" t="str">
        <f>HYPERLINK("#HI!A1","NÁKLADY CELKEM (v tisících Kč)")</f>
        <v>NÁKLADY CELKEM (v tisících Kč)</v>
      </c>
      <c r="B4" s="132"/>
      <c r="C4" s="133">
        <f ca="1">IF(ISERROR(VLOOKUP("Náklady celkem",INDIRECT("HI!$A:$G"),6,0)),0,VLOOKUP("Náklady celkem",INDIRECT("HI!$A:$G"),6,0))</f>
        <v>1076.2612140431404</v>
      </c>
      <c r="D4" s="133">
        <f ca="1">IF(ISERROR(VLOOKUP("Náklady celkem",INDIRECT("HI!$A:$G"),5,0)),0,VLOOKUP("Náklady celkem",INDIRECT("HI!$A:$G"),5,0))</f>
        <v>983.43789000000015</v>
      </c>
      <c r="E4" s="134">
        <f ca="1">IF(C4=0,0,D4/C4)</f>
        <v>0.91375390766481757</v>
      </c>
    </row>
    <row r="5" spans="1:5" ht="14.45" customHeight="1" x14ac:dyDescent="0.2">
      <c r="A5" s="135" t="s">
        <v>112</v>
      </c>
      <c r="B5" s="136"/>
      <c r="C5" s="137"/>
      <c r="D5" s="137"/>
      <c r="E5" s="138"/>
    </row>
    <row r="6" spans="1:5" ht="14.45" customHeight="1" x14ac:dyDescent="0.2">
      <c r="A6" s="139" t="s">
        <v>117</v>
      </c>
      <c r="B6" s="140"/>
      <c r="C6" s="141"/>
      <c r="D6" s="141"/>
      <c r="E6" s="138"/>
    </row>
    <row r="7" spans="1:5" ht="14.45" customHeight="1" x14ac:dyDescent="0.25">
      <c r="A7" s="214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40" t="s">
        <v>92</v>
      </c>
      <c r="C7" s="141">
        <f>IF(ISERROR(HI!F5),"",HI!F5)</f>
        <v>0</v>
      </c>
      <c r="D7" s="141">
        <f>IF(ISERROR(HI!E5),"",HI!E5)</f>
        <v>0</v>
      </c>
      <c r="E7" s="138">
        <f t="shared" ref="E7:E11" si="0">IF(C7=0,0,D7/C7)</f>
        <v>0</v>
      </c>
    </row>
    <row r="8" spans="1:5" ht="14.45" customHeight="1" x14ac:dyDescent="0.2">
      <c r="A8" s="143" t="s">
        <v>113</v>
      </c>
      <c r="B8" s="140"/>
      <c r="C8" s="141"/>
      <c r="D8" s="141"/>
      <c r="E8" s="138"/>
    </row>
    <row r="9" spans="1:5" ht="14.45" customHeight="1" x14ac:dyDescent="0.2">
      <c r="A9" s="143" t="s">
        <v>114</v>
      </c>
      <c r="B9" s="140"/>
      <c r="C9" s="141"/>
      <c r="D9" s="141"/>
      <c r="E9" s="138"/>
    </row>
    <row r="10" spans="1:5" ht="14.45" customHeight="1" x14ac:dyDescent="0.2">
      <c r="A10" s="144" t="s">
        <v>118</v>
      </c>
      <c r="B10" s="140"/>
      <c r="C10" s="137"/>
      <c r="D10" s="137"/>
      <c r="E10" s="138"/>
    </row>
    <row r="11" spans="1:5" ht="14.45" customHeight="1" x14ac:dyDescent="0.2">
      <c r="A11" s="145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1" s="140" t="s">
        <v>92</v>
      </c>
      <c r="C11" s="141">
        <f>IF(ISERROR(HI!F6),"",HI!F6)</f>
        <v>997.71189648437496</v>
      </c>
      <c r="D11" s="141">
        <f>IF(ISERROR(HI!E6),"",HI!E6)</f>
        <v>907.14210999999989</v>
      </c>
      <c r="E11" s="138">
        <f t="shared" si="0"/>
        <v>0.90922250521065784</v>
      </c>
    </row>
    <row r="12" spans="1:5" ht="14.45" customHeight="1" thickBot="1" x14ac:dyDescent="0.25">
      <c r="A12" s="146" t="str">
        <f>HYPERLINK("#HI!A1","Osobní náklady")</f>
        <v>Osobní náklady</v>
      </c>
      <c r="B12" s="140"/>
      <c r="C12" s="137">
        <f ca="1">IF(ISERROR(VLOOKUP("Osobní náklady (Kč) *",INDIRECT("HI!$A:$G"),6,0)),0,VLOOKUP("Osobní náklady (Kč) *",INDIRECT("HI!$A:$G"),6,0))</f>
        <v>0</v>
      </c>
      <c r="D12" s="137">
        <f ca="1">IF(ISERROR(VLOOKUP("Osobní náklady (Kč) *",INDIRECT("HI!$A:$G"),5,0)),0,VLOOKUP("Osobní náklady (Kč) *",INDIRECT("HI!$A:$G"),5,0))</f>
        <v>0</v>
      </c>
      <c r="E12" s="138">
        <f ca="1">IF(C12=0,0,D12/C12)</f>
        <v>0</v>
      </c>
    </row>
    <row r="13" spans="1:5" ht="14.45" customHeight="1" thickBot="1" x14ac:dyDescent="0.25">
      <c r="A13" s="150"/>
      <c r="B13" s="151"/>
      <c r="C13" s="152"/>
      <c r="D13" s="152"/>
      <c r="E13" s="153"/>
    </row>
    <row r="14" spans="1:5" ht="14.45" customHeight="1" thickBot="1" x14ac:dyDescent="0.25">
      <c r="A14" s="154" t="str">
        <f>HYPERLINK("#HI!A1","VÝNOSY CELKEM (v tisících)")</f>
        <v>VÝNOSY CELKEM (v tisících)</v>
      </c>
      <c r="B14" s="155"/>
      <c r="C14" s="156">
        <f ca="1">IF(ISERROR(VLOOKUP("Výnosy celkem",INDIRECT("HI!$A:$G"),6,0)),0,VLOOKUP("Výnosy celkem",INDIRECT("HI!$A:$G"),6,0))</f>
        <v>1640.7516599999999</v>
      </c>
      <c r="D14" s="156">
        <f ca="1">IF(ISERROR(VLOOKUP("Výnosy celkem",INDIRECT("HI!$A:$G"),5,0)),0,VLOOKUP("Výnosy celkem",INDIRECT("HI!$A:$G"),5,0))</f>
        <v>2780.80933</v>
      </c>
      <c r="E14" s="157">
        <f t="shared" ref="E14:E19" ca="1" si="1">IF(C14=0,0,D14/C14)</f>
        <v>1.6948386509631812</v>
      </c>
    </row>
    <row r="15" spans="1:5" ht="14.45" customHeight="1" x14ac:dyDescent="0.2">
      <c r="A15" s="158" t="str">
        <f>HYPERLINK("#HI!A1","Ambulance (body za výkony + Kč za ZUM a ZULP)")</f>
        <v>Ambulance (body za výkony + Kč za ZUM a ZULP)</v>
      </c>
      <c r="B15" s="136"/>
      <c r="C15" s="137">
        <f ca="1">IF(ISERROR(VLOOKUP("Ambulance *",INDIRECT("HI!$A:$G"),6,0)),0,VLOOKUP("Ambulance *",INDIRECT("HI!$A:$G"),6,0))</f>
        <v>1640.7516599999999</v>
      </c>
      <c r="D15" s="137">
        <f ca="1">IF(ISERROR(VLOOKUP("Ambulance *",INDIRECT("HI!$A:$G"),5,0)),0,VLOOKUP("Ambulance *",INDIRECT("HI!$A:$G"),5,0))</f>
        <v>2780.80933</v>
      </c>
      <c r="E15" s="138">
        <f t="shared" ca="1" si="1"/>
        <v>1.6948386509631812</v>
      </c>
    </row>
    <row r="16" spans="1:5" ht="14.45" customHeight="1" x14ac:dyDescent="0.25">
      <c r="A16" s="220" t="str">
        <f>HYPERLINK("#'ZV Vykáz.-A'!A1","Zdravotní výkony vykázané u ambulantních pacientů (min. 100 % 2016)")</f>
        <v>Zdravotní výkony vykázané u ambulantních pacientů (min. 100 % 2016)</v>
      </c>
      <c r="B16" s="221" t="s">
        <v>100</v>
      </c>
      <c r="C16" s="142">
        <v>1</v>
      </c>
      <c r="D16" s="142">
        <f>IF(ISERROR(VLOOKUP("Celkem:",'ZV Vykáz.-A'!$A:$AB,10,0)),"",VLOOKUP("Celkem:",'ZV Vykáz.-A'!$A:$AB,10,0))</f>
        <v>1.6948386509631812</v>
      </c>
      <c r="E16" s="138">
        <f t="shared" si="1"/>
        <v>1.6948386509631812</v>
      </c>
    </row>
    <row r="17" spans="1:5" ht="14.45" customHeight="1" x14ac:dyDescent="0.25">
      <c r="A17" s="219" t="str">
        <f>HYPERLINK("#'ZV Vykáz.-A'!A1","Specializovaná ambulantní péče")</f>
        <v>Specializovaná ambulantní péče</v>
      </c>
      <c r="B17" s="221" t="s">
        <v>100</v>
      </c>
      <c r="C17" s="142">
        <v>1</v>
      </c>
      <c r="D17" s="213">
        <f>IF(ISERROR(VLOOKUP("Specializovaná ambulantní péče",'ZV Vykáz.-A'!$A:$AB,10,0)),"",VLOOKUP("Specializovaná ambulantní péče",'ZV Vykáz.-A'!$A:$AB,10,0))</f>
        <v>1.6948386509631812</v>
      </c>
      <c r="E17" s="138">
        <f t="shared" si="1"/>
        <v>1.6948386509631812</v>
      </c>
    </row>
    <row r="18" spans="1:5" ht="14.45" customHeight="1" x14ac:dyDescent="0.25">
      <c r="A18" s="219" t="str">
        <f>HYPERLINK("#'ZV Vykáz.-A'!A1","Ambulantní péče ve vyjmenovaných odbornostech (§9)")</f>
        <v>Ambulantní péče ve vyjmenovaných odbornostech (§9)</v>
      </c>
      <c r="B18" s="221" t="s">
        <v>100</v>
      </c>
      <c r="C18" s="142">
        <v>1</v>
      </c>
      <c r="D18" s="213" t="str">
        <f>IF(ISERROR(VLOOKUP("Ambulantní péče ve vyjmenovaných odbornostech (§9) *",'ZV Vykáz.-A'!$A:$AB,10,0)),"",VLOOKUP("Ambulantní péče ve vyjmenovaných odbornostech (§9) *",'ZV Vykáz.-A'!$A:$AB,10,0))</f>
        <v/>
      </c>
      <c r="E18" s="138">
        <f>IF(OR(C18=0,D18=""),0,IF(C18="","",D18/C18))</f>
        <v>0</v>
      </c>
    </row>
    <row r="19" spans="1:5" ht="14.45" customHeight="1" x14ac:dyDescent="0.2">
      <c r="A19" s="159" t="str">
        <f>HYPERLINK("#'ZV Vykáz.-H'!A1","Zdravotní výkony vykázané u hospitalizovaných pacientů (max. 85 %)")</f>
        <v>Zdravotní výkony vykázané u hospitalizovaných pacientů (max. 85 %)</v>
      </c>
      <c r="B19" s="221" t="s">
        <v>102</v>
      </c>
      <c r="C19" s="142">
        <v>0.85</v>
      </c>
      <c r="D19" s="142">
        <f>IF(ISERROR(VLOOKUP("Celkem:",'ZV Vykáz.-H'!$A:$S,7,0)),"",VLOOKUP("Celkem:",'ZV Vykáz.-H'!$A:$S,7,0))</f>
        <v>4.1825674652945848</v>
      </c>
      <c r="E19" s="138">
        <f t="shared" si="1"/>
        <v>4.920667606228923</v>
      </c>
    </row>
    <row r="20" spans="1:5" ht="14.45" customHeight="1" x14ac:dyDescent="0.2">
      <c r="A20" s="160" t="str">
        <f>HYPERLINK("#HI!A1","Hospitalizace (casemix * 30000)")</f>
        <v>Hospitalizace (casemix * 30000)</v>
      </c>
      <c r="B20" s="140"/>
      <c r="C20" s="137">
        <f ca="1">IF(ISERROR(VLOOKUP("Hospitalizace *",INDIRECT("HI!$A:$G"),6,0)),0,VLOOKUP("Hospitalizace *",INDIRECT("HI!$A:$G"),6,0))</f>
        <v>0</v>
      </c>
      <c r="D20" s="137">
        <f ca="1">IF(ISERROR(VLOOKUP("Hospitalizace *",INDIRECT("HI!$A:$G"),5,0)),0,VLOOKUP("Hospitalizace *",INDIRECT("HI!$A:$G"),5,0))</f>
        <v>0</v>
      </c>
      <c r="E20" s="138">
        <f ca="1">IF(C20=0,0,D20/C20)</f>
        <v>0</v>
      </c>
    </row>
    <row r="21" spans="1:5" ht="14.45" customHeight="1" thickBot="1" x14ac:dyDescent="0.25">
      <c r="A21" s="161" t="s">
        <v>115</v>
      </c>
      <c r="B21" s="147"/>
      <c r="C21" s="148"/>
      <c r="D21" s="148"/>
      <c r="E21" s="149"/>
    </row>
    <row r="22" spans="1:5" ht="14.45" customHeight="1" thickBot="1" x14ac:dyDescent="0.25">
      <c r="A22" s="162"/>
      <c r="B22" s="163"/>
      <c r="C22" s="164"/>
      <c r="D22" s="164"/>
      <c r="E22" s="165"/>
    </row>
    <row r="23" spans="1:5" ht="14.45" customHeight="1" thickBot="1" x14ac:dyDescent="0.25">
      <c r="A23" s="166" t="s">
        <v>116</v>
      </c>
      <c r="B23" s="167"/>
      <c r="C23" s="168"/>
      <c r="D23" s="168"/>
      <c r="E23" s="169"/>
    </row>
  </sheetData>
  <mergeCells count="1">
    <mergeCell ref="A1:E1"/>
  </mergeCells>
  <conditionalFormatting sqref="E5">
    <cfRule type="cellIs" dxfId="34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0">
    <cfRule type="cellIs" dxfId="33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32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31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0">
    <cfRule type="cellIs" dxfId="30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29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4 E16:E17">
    <cfRule type="cellIs" dxfId="28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1 E18:E19">
    <cfRule type="cellIs" dxfId="27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C5ED4967-89F0-4C0E-837C-9B70B89914CA}"/>
  </hyperlinks>
  <pageMargins left="0.25" right="0.25" top="0.75" bottom="0.75" header="0.3" footer="0.3"/>
  <pageSetup paperSize="9" fitToHeight="0" orientation="landscape" r:id="rId1"/>
  <ignoredErrors>
    <ignoredError sqref="E16:E17 E19" evalError="1"/>
    <ignoredError sqref="E18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104" bestFit="1" customWidth="1"/>
    <col min="2" max="2" width="9.5703125" style="104" hidden="1" customWidth="1" outlineLevel="1"/>
    <col min="3" max="3" width="9.5703125" style="104" customWidth="1" collapsed="1"/>
    <col min="4" max="4" width="2.28515625" style="104" customWidth="1"/>
    <col min="5" max="8" width="9.5703125" style="104" customWidth="1"/>
    <col min="9" max="10" width="9.7109375" style="104" hidden="1" customWidth="1" outlineLevel="1"/>
    <col min="11" max="11" width="8.85546875" style="104" collapsed="1"/>
    <col min="12" max="16384" width="8.85546875" style="104"/>
  </cols>
  <sheetData>
    <row r="1" spans="1:10" ht="18.600000000000001" customHeight="1" thickBot="1" x14ac:dyDescent="0.35">
      <c r="A1" s="283" t="s">
        <v>107</v>
      </c>
      <c r="B1" s="283"/>
      <c r="C1" s="283"/>
      <c r="D1" s="283"/>
      <c r="E1" s="283"/>
      <c r="F1" s="283"/>
      <c r="G1" s="283"/>
      <c r="H1" s="283"/>
      <c r="I1" s="283"/>
      <c r="J1" s="283"/>
    </row>
    <row r="2" spans="1:10" ht="14.45" customHeight="1" thickBot="1" x14ac:dyDescent="0.25">
      <c r="A2" s="199" t="s">
        <v>202</v>
      </c>
      <c r="B2" s="86"/>
      <c r="C2" s="86"/>
      <c r="D2" s="86"/>
      <c r="E2" s="86"/>
      <c r="F2" s="86"/>
    </row>
    <row r="3" spans="1:10" ht="14.45" customHeight="1" x14ac:dyDescent="0.2">
      <c r="A3" s="274"/>
      <c r="B3" s="82">
        <v>2015</v>
      </c>
      <c r="C3" s="40">
        <v>2018</v>
      </c>
      <c r="D3" s="7"/>
      <c r="E3" s="278">
        <v>2019</v>
      </c>
      <c r="F3" s="279"/>
      <c r="G3" s="279"/>
      <c r="H3" s="280"/>
      <c r="I3" s="281">
        <v>2017</v>
      </c>
      <c r="J3" s="282"/>
    </row>
    <row r="4" spans="1:10" ht="14.45" customHeight="1" thickBot="1" x14ac:dyDescent="0.25">
      <c r="A4" s="275"/>
      <c r="B4" s="276" t="s">
        <v>54</v>
      </c>
      <c r="C4" s="277"/>
      <c r="D4" s="7"/>
      <c r="E4" s="103" t="s">
        <v>54</v>
      </c>
      <c r="F4" s="84" t="s">
        <v>55</v>
      </c>
      <c r="G4" s="84" t="s">
        <v>49</v>
      </c>
      <c r="H4" s="85" t="s">
        <v>56</v>
      </c>
      <c r="I4" s="224" t="s">
        <v>147</v>
      </c>
      <c r="J4" s="225" t="s">
        <v>148</v>
      </c>
    </row>
    <row r="5" spans="1:10" ht="14.45" customHeight="1" x14ac:dyDescent="0.2">
      <c r="A5" s="87" t="str">
        <f>HYPERLINK("#'Léky Žádanky'!A1","Léky (Kč)")</f>
        <v>Léky (Kč)</v>
      </c>
      <c r="B5" s="27">
        <v>0</v>
      </c>
      <c r="C5" s="29">
        <v>0</v>
      </c>
      <c r="D5" s="8"/>
      <c r="E5" s="92">
        <v>0</v>
      </c>
      <c r="F5" s="28">
        <v>0</v>
      </c>
      <c r="G5" s="91">
        <f>E5-F5</f>
        <v>0</v>
      </c>
      <c r="H5" s="97" t="str">
        <f>IF(F5&lt;0.00000001,"",E5/F5)</f>
        <v/>
      </c>
    </row>
    <row r="6" spans="1:10" ht="14.45" customHeight="1" x14ac:dyDescent="0.2">
      <c r="A6" s="87" t="str">
        <f>HYPERLINK("#'Materiál Žádanky'!A1","Materiál - SZM (Kč)")</f>
        <v>Materiál - SZM (Kč)</v>
      </c>
      <c r="B6" s="10">
        <v>632.70545000000004</v>
      </c>
      <c r="C6" s="31">
        <v>771.59997999999996</v>
      </c>
      <c r="D6" s="8"/>
      <c r="E6" s="93">
        <v>907.14210999999989</v>
      </c>
      <c r="F6" s="30">
        <v>997.71189648437496</v>
      </c>
      <c r="G6" s="94">
        <f>E6-F6</f>
        <v>-90.569786484375072</v>
      </c>
      <c r="H6" s="98">
        <f>IF(F6&lt;0.00000001,"",E6/F6)</f>
        <v>0.90922250521065784</v>
      </c>
    </row>
    <row r="7" spans="1:10" ht="14.45" customHeight="1" x14ac:dyDescent="0.2">
      <c r="A7" s="87" t="str">
        <f>HYPERLINK("#'Osobní náklady'!A1","Osobní náklady (Kč) *")</f>
        <v>Osobní náklady (Kč) *</v>
      </c>
      <c r="B7" s="10">
        <v>0</v>
      </c>
      <c r="C7" s="31">
        <v>0</v>
      </c>
      <c r="D7" s="8"/>
      <c r="E7" s="93">
        <v>0</v>
      </c>
      <c r="F7" s="30">
        <v>0</v>
      </c>
      <c r="G7" s="94">
        <f>E7-F7</f>
        <v>0</v>
      </c>
      <c r="H7" s="98" t="str">
        <f>IF(F7&lt;0.00000001,"",E7/F7)</f>
        <v/>
      </c>
    </row>
    <row r="8" spans="1:10" ht="14.45" customHeight="1" thickBot="1" x14ac:dyDescent="0.25">
      <c r="A8" s="1" t="s">
        <v>57</v>
      </c>
      <c r="B8" s="11">
        <v>44.040450000000078</v>
      </c>
      <c r="C8" s="33">
        <v>47.561190000000124</v>
      </c>
      <c r="D8" s="8"/>
      <c r="E8" s="95">
        <v>76.295780000000263</v>
      </c>
      <c r="F8" s="32">
        <v>78.549317558765438</v>
      </c>
      <c r="G8" s="96">
        <f>E8-F8</f>
        <v>-2.2535375587651743</v>
      </c>
      <c r="H8" s="99">
        <f>IF(F8&lt;0.00000001,"",E8/F8)</f>
        <v>0.97131053930444111</v>
      </c>
    </row>
    <row r="9" spans="1:10" ht="14.45" customHeight="1" thickBot="1" x14ac:dyDescent="0.25">
      <c r="A9" s="2" t="s">
        <v>58</v>
      </c>
      <c r="B9" s="3">
        <v>676.74590000000012</v>
      </c>
      <c r="C9" s="35">
        <v>819.16117000000008</v>
      </c>
      <c r="D9" s="8"/>
      <c r="E9" s="3">
        <v>983.43789000000015</v>
      </c>
      <c r="F9" s="34">
        <v>1076.2612140431404</v>
      </c>
      <c r="G9" s="34">
        <f>E9-F9</f>
        <v>-92.823324043140246</v>
      </c>
      <c r="H9" s="100">
        <f>IF(F9&lt;0.00000001,"",E9/F9)</f>
        <v>0.91375390766481757</v>
      </c>
    </row>
    <row r="10" spans="1:10" ht="14.45" customHeight="1" thickBot="1" x14ac:dyDescent="0.25">
      <c r="A10" s="12"/>
      <c r="B10" s="12"/>
      <c r="C10" s="83"/>
      <c r="D10" s="8"/>
      <c r="E10" s="12"/>
      <c r="F10" s="13"/>
    </row>
    <row r="11" spans="1:10" ht="14.45" customHeight="1" x14ac:dyDescent="0.2">
      <c r="A11" s="107" t="str">
        <f>HYPERLINK("#'ZV Vykáz.-A'!A1","Ambulance *")</f>
        <v>Ambulance *</v>
      </c>
      <c r="B11" s="9">
        <f>IF(ISERROR(VLOOKUP("Celkem:",'ZV Vykáz.-A'!A:H,2,0)),0,VLOOKUP("Celkem:",'ZV Vykáz.-A'!A:H,2,0)/1000)</f>
        <v>1565.7539900000002</v>
      </c>
      <c r="C11" s="29">
        <f>IF(ISERROR(VLOOKUP("Celkem:",'ZV Vykáz.-A'!A:H,5,0)),0,VLOOKUP("Celkem:",'ZV Vykáz.-A'!A:H,5,0)/1000)</f>
        <v>1640.7516599999999</v>
      </c>
      <c r="D11" s="8"/>
      <c r="E11" s="92">
        <f>IF(ISERROR(VLOOKUP("Celkem:",'ZV Vykáz.-A'!A:H,8,0)),0,VLOOKUP("Celkem:",'ZV Vykáz.-A'!A:H,8,0)/1000)</f>
        <v>2780.80933</v>
      </c>
      <c r="F11" s="28">
        <f>C11</f>
        <v>1640.7516599999999</v>
      </c>
      <c r="G11" s="91">
        <f>E11-F11</f>
        <v>1140.0576700000001</v>
      </c>
      <c r="H11" s="97">
        <f>IF(F11&lt;0.00000001,"",E11/F11)</f>
        <v>1.6948386509631812</v>
      </c>
      <c r="I11" s="91">
        <f>E11-B11</f>
        <v>1215.0553399999999</v>
      </c>
      <c r="J11" s="97">
        <f>IF(B11&lt;0.00000001,"",E11/B11)</f>
        <v>1.7760193157802522</v>
      </c>
    </row>
    <row r="12" spans="1:10" ht="14.45" customHeight="1" thickBot="1" x14ac:dyDescent="0.25">
      <c r="A12" s="108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95">
        <f>IF(ISERROR(VLOOKUP("Celkem",#REF!,4,0)),0,VLOOKUP("Celkem",#REF!,4,0)*30)</f>
        <v>0</v>
      </c>
      <c r="F12" s="32">
        <f>C12</f>
        <v>0</v>
      </c>
      <c r="G12" s="96">
        <f>E12-F12</f>
        <v>0</v>
      </c>
      <c r="H12" s="99" t="str">
        <f>IF(F12&lt;0.00000001,"",E12/F12)</f>
        <v/>
      </c>
      <c r="I12" s="96">
        <f>E12-B12</f>
        <v>0</v>
      </c>
      <c r="J12" s="99" t="str">
        <f>IF(B12&lt;0.00000001,"",E12/B12)</f>
        <v/>
      </c>
    </row>
    <row r="13" spans="1:10" ht="14.45" customHeight="1" thickBot="1" x14ac:dyDescent="0.25">
      <c r="A13" s="4" t="s">
        <v>61</v>
      </c>
      <c r="B13" s="5">
        <f>SUM(B11:B12)</f>
        <v>1565.7539900000002</v>
      </c>
      <c r="C13" s="37">
        <f>SUM(C11:C12)</f>
        <v>1640.7516599999999</v>
      </c>
      <c r="D13" s="8"/>
      <c r="E13" s="5">
        <f>SUM(E11:E12)</f>
        <v>2780.80933</v>
      </c>
      <c r="F13" s="36">
        <f>SUM(F11:F12)</f>
        <v>1640.7516599999999</v>
      </c>
      <c r="G13" s="36">
        <f>E13-F13</f>
        <v>1140.0576700000001</v>
      </c>
      <c r="H13" s="101">
        <f>IF(F13&lt;0.00000001,"",E13/F13)</f>
        <v>1.6948386509631812</v>
      </c>
      <c r="I13" s="36">
        <f>SUM(I11:I12)</f>
        <v>1215.0553399999999</v>
      </c>
      <c r="J13" s="101">
        <f>IF(B13&lt;0.00000001,"",E13/B13)</f>
        <v>1.7760193157802522</v>
      </c>
    </row>
    <row r="14" spans="1:10" ht="14.45" customHeight="1" thickBot="1" x14ac:dyDescent="0.25">
      <c r="A14" s="12"/>
      <c r="B14" s="12"/>
      <c r="C14" s="83"/>
      <c r="D14" s="8"/>
      <c r="E14" s="12"/>
      <c r="F14" s="13"/>
    </row>
    <row r="15" spans="1:10" ht="14.45" customHeight="1" thickBot="1" x14ac:dyDescent="0.25">
      <c r="A15" s="109" t="str">
        <f>HYPERLINK("#'HI Graf'!A1","Hospodářský index (Výnosy / Náklady) *")</f>
        <v>Hospodářský index (Výnosy / Náklady) *</v>
      </c>
      <c r="B15" s="6">
        <f>IF(B9=0,"",B13/B9)</f>
        <v>2.3136512389657624</v>
      </c>
      <c r="C15" s="39">
        <f>IF(C9=0,"",C13/C9)</f>
        <v>2.0029656190856797</v>
      </c>
      <c r="D15" s="8"/>
      <c r="E15" s="6">
        <f>IF(E9=0,"",E13/E9)</f>
        <v>2.8276410318093395</v>
      </c>
      <c r="F15" s="38">
        <f>IF(F9=0,"",F13/F9)</f>
        <v>1.5244920457890185</v>
      </c>
      <c r="G15" s="38">
        <f>IF(ISERROR(F15-E15),"",E15-F15)</f>
        <v>1.3031489860203209</v>
      </c>
      <c r="H15" s="102">
        <f>IF(ISERROR(F15-E15),"",IF(F15&lt;0.00000001,"",E15/F15))</f>
        <v>1.8548086489659978</v>
      </c>
    </row>
    <row r="17" spans="1:8" ht="14.45" customHeight="1" x14ac:dyDescent="0.2">
      <c r="A17" s="88" t="s">
        <v>120</v>
      </c>
    </row>
    <row r="18" spans="1:8" ht="14.45" customHeight="1" x14ac:dyDescent="0.25">
      <c r="A18" s="202" t="s">
        <v>132</v>
      </c>
      <c r="B18" s="203"/>
      <c r="C18" s="203"/>
      <c r="D18" s="203"/>
      <c r="E18" s="203"/>
      <c r="F18" s="203"/>
      <c r="G18" s="203"/>
      <c r="H18" s="203"/>
    </row>
    <row r="19" spans="1:8" ht="15" x14ac:dyDescent="0.25">
      <c r="A19" s="201" t="s">
        <v>131</v>
      </c>
      <c r="B19" s="203"/>
      <c r="C19" s="203"/>
      <c r="D19" s="203"/>
      <c r="E19" s="203"/>
      <c r="F19" s="203"/>
      <c r="G19" s="203"/>
      <c r="H19" s="203"/>
    </row>
    <row r="20" spans="1:8" ht="14.45" customHeight="1" x14ac:dyDescent="0.2">
      <c r="A20" s="89" t="s">
        <v>140</v>
      </c>
    </row>
    <row r="21" spans="1:8" ht="14.45" customHeight="1" x14ac:dyDescent="0.2">
      <c r="A21" s="89" t="s">
        <v>121</v>
      </c>
    </row>
    <row r="22" spans="1:8" ht="14.45" customHeight="1" x14ac:dyDescent="0.2">
      <c r="A22" s="90" t="s">
        <v>181</v>
      </c>
    </row>
    <row r="23" spans="1:8" ht="14.45" customHeight="1" x14ac:dyDescent="0.2">
      <c r="A23" s="90" t="s">
        <v>122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26" priority="8" operator="greaterThan">
      <formula>0</formula>
    </cfRule>
  </conditionalFormatting>
  <conditionalFormatting sqref="G11:G13 G15">
    <cfRule type="cellIs" dxfId="25" priority="7" operator="lessThan">
      <formula>0</formula>
    </cfRule>
  </conditionalFormatting>
  <conditionalFormatting sqref="H5:H9">
    <cfRule type="cellIs" dxfId="24" priority="6" operator="greaterThan">
      <formula>1</formula>
    </cfRule>
  </conditionalFormatting>
  <conditionalFormatting sqref="H11:H13 H15">
    <cfRule type="cellIs" dxfId="23" priority="5" operator="lessThan">
      <formula>1</formula>
    </cfRule>
  </conditionalFormatting>
  <conditionalFormatting sqref="I11:I13">
    <cfRule type="cellIs" dxfId="22" priority="4" operator="lessThan">
      <formula>0</formula>
    </cfRule>
  </conditionalFormatting>
  <conditionalFormatting sqref="J11:J13">
    <cfRule type="cellIs" dxfId="21" priority="3" operator="lessThan">
      <formula>1</formula>
    </cfRule>
  </conditionalFormatting>
  <hyperlinks>
    <hyperlink ref="A2" location="Obsah!A1" display="Zpět na Obsah  KL 01  1.-4.měsíc" xr:uid="{B1525DEF-FA74-42B5-B3C9-64AC124999B0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ColWidth="8.85546875" defaultRowHeight="14.45" customHeight="1" x14ac:dyDescent="0.2"/>
  <cols>
    <col min="1" max="1" width="8.85546875" style="104"/>
    <col min="2" max="13" width="8.85546875" style="104" customWidth="1"/>
    <col min="14" max="16384" width="8.85546875" style="104"/>
  </cols>
  <sheetData>
    <row r="1" spans="1:13" ht="18.600000000000001" customHeight="1" thickBot="1" x14ac:dyDescent="0.35">
      <c r="A1" s="272" t="s">
        <v>85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</row>
    <row r="2" spans="1:13" ht="14.45" customHeight="1" x14ac:dyDescent="0.2">
      <c r="A2" s="199" t="s">
        <v>202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</row>
    <row r="3" spans="1:13" ht="14.45" customHeight="1" x14ac:dyDescent="0.2">
      <c r="A3" s="171"/>
      <c r="B3" s="172" t="s">
        <v>63</v>
      </c>
      <c r="C3" s="173" t="s">
        <v>64</v>
      </c>
      <c r="D3" s="173" t="s">
        <v>65</v>
      </c>
      <c r="E3" s="172" t="s">
        <v>66</v>
      </c>
      <c r="F3" s="173" t="s">
        <v>67</v>
      </c>
      <c r="G3" s="173" t="s">
        <v>68</v>
      </c>
      <c r="H3" s="173" t="s">
        <v>69</v>
      </c>
      <c r="I3" s="173" t="s">
        <v>70</v>
      </c>
      <c r="J3" s="173" t="s">
        <v>71</v>
      </c>
      <c r="K3" s="173" t="s">
        <v>72</v>
      </c>
      <c r="L3" s="173" t="s">
        <v>73</v>
      </c>
      <c r="M3" s="173" t="s">
        <v>74</v>
      </c>
    </row>
    <row r="4" spans="1:13" ht="14.45" customHeight="1" x14ac:dyDescent="0.2">
      <c r="A4" s="171" t="s">
        <v>62</v>
      </c>
      <c r="B4" s="174">
        <f>(B10+B8)/B6</f>
        <v>2.0071379523714543</v>
      </c>
      <c r="C4" s="174">
        <f t="shared" ref="C4:M4" si="0">(C10+C8)/C6</f>
        <v>1.9733703099370128</v>
      </c>
      <c r="D4" s="174">
        <f t="shared" si="0"/>
        <v>2.435407639476896</v>
      </c>
      <c r="E4" s="174">
        <f t="shared" si="0"/>
        <v>2.797791473292091</v>
      </c>
      <c r="F4" s="174">
        <f t="shared" si="0"/>
        <v>2.7202325714317559</v>
      </c>
      <c r="G4" s="174">
        <f t="shared" si="0"/>
        <v>2.6502939837972326</v>
      </c>
      <c r="H4" s="174">
        <f t="shared" si="0"/>
        <v>2.7863914198186159</v>
      </c>
      <c r="I4" s="174">
        <f t="shared" si="0"/>
        <v>2.8276409911357074</v>
      </c>
      <c r="J4" s="174">
        <f t="shared" si="0"/>
        <v>2.8276409911357074</v>
      </c>
      <c r="K4" s="174">
        <f t="shared" si="0"/>
        <v>2.8276409911357074</v>
      </c>
      <c r="L4" s="174">
        <f t="shared" si="0"/>
        <v>2.8276409911357074</v>
      </c>
      <c r="M4" s="174">
        <f t="shared" si="0"/>
        <v>2.8276409911357074</v>
      </c>
    </row>
    <row r="5" spans="1:13" ht="14.45" customHeight="1" x14ac:dyDescent="0.2">
      <c r="A5" s="175" t="s">
        <v>35</v>
      </c>
      <c r="B5" s="174">
        <f>IF(ISERROR(VLOOKUP($A5,'Man Tab'!$A:$Q,COLUMN()+2,0)),0,VLOOKUP($A5,'Man Tab'!$A:$Q,COLUMN()+2,0))</f>
        <v>160.83464000000001</v>
      </c>
      <c r="C5" s="174">
        <f>IF(ISERROR(VLOOKUP($A5,'Man Tab'!$A:$Q,COLUMN()+2,0)),0,VLOOKUP($A5,'Man Tab'!$A:$Q,COLUMN()+2,0))</f>
        <v>150.39278999999999</v>
      </c>
      <c r="D5" s="174">
        <f>IF(ISERROR(VLOOKUP($A5,'Man Tab'!$A:$Q,COLUMN()+2,0)),0,VLOOKUP($A5,'Man Tab'!$A:$Q,COLUMN()+2,0))</f>
        <v>82.160499999999004</v>
      </c>
      <c r="E5" s="174">
        <f>IF(ISERROR(VLOOKUP($A5,'Man Tab'!$A:$Q,COLUMN()+2,0)),0,VLOOKUP($A5,'Man Tab'!$A:$Q,COLUMN()+2,0))</f>
        <v>67.179739999999001</v>
      </c>
      <c r="F5" s="174">
        <f>IF(ISERROR(VLOOKUP($A5,'Man Tab'!$A:$Q,COLUMN()+2,0)),0,VLOOKUP($A5,'Man Tab'!$A:$Q,COLUMN()+2,0))</f>
        <v>144.08785</v>
      </c>
      <c r="G5" s="174">
        <f>IF(ISERROR(VLOOKUP($A5,'Man Tab'!$A:$Q,COLUMN()+2,0)),0,VLOOKUP($A5,'Man Tab'!$A:$Q,COLUMN()+2,0))</f>
        <v>158.359319999999</v>
      </c>
      <c r="H5" s="174">
        <f>IF(ISERROR(VLOOKUP($A5,'Man Tab'!$A:$Q,COLUMN()+2,0)),0,VLOOKUP($A5,'Man Tab'!$A:$Q,COLUMN()+2,0))</f>
        <v>99.763189999999994</v>
      </c>
      <c r="I5" s="174">
        <f>IF(ISERROR(VLOOKUP($A5,'Man Tab'!$A:$Q,COLUMN()+2,0)),0,VLOOKUP($A5,'Man Tab'!$A:$Q,COLUMN()+2,0))</f>
        <v>120.65985999999999</v>
      </c>
      <c r="J5" s="174">
        <f>IF(ISERROR(VLOOKUP($A5,'Man Tab'!$A:$Q,COLUMN()+2,0)),0,VLOOKUP($A5,'Man Tab'!$A:$Q,COLUMN()+2,0))</f>
        <v>0</v>
      </c>
      <c r="K5" s="174">
        <f>IF(ISERROR(VLOOKUP($A5,'Man Tab'!$A:$Q,COLUMN()+2,0)),0,VLOOKUP($A5,'Man Tab'!$A:$Q,COLUMN()+2,0))</f>
        <v>0</v>
      </c>
      <c r="L5" s="174">
        <f>IF(ISERROR(VLOOKUP($A5,'Man Tab'!$A:$Q,COLUMN()+2,0)),0,VLOOKUP($A5,'Man Tab'!$A:$Q,COLUMN()+2,0))</f>
        <v>0</v>
      </c>
      <c r="M5" s="174">
        <f>IF(ISERROR(VLOOKUP($A5,'Man Tab'!$A:$Q,COLUMN()+2,0)),0,VLOOKUP($A5,'Man Tab'!$A:$Q,COLUMN()+2,0))</f>
        <v>0</v>
      </c>
    </row>
    <row r="6" spans="1:13" ht="14.45" customHeight="1" x14ac:dyDescent="0.2">
      <c r="A6" s="175" t="s">
        <v>58</v>
      </c>
      <c r="B6" s="176">
        <f>B5</f>
        <v>160.83464000000001</v>
      </c>
      <c r="C6" s="176">
        <f t="shared" ref="C6:M6" si="1">C5+B6</f>
        <v>311.22743000000003</v>
      </c>
      <c r="D6" s="176">
        <f t="shared" si="1"/>
        <v>393.38792999999902</v>
      </c>
      <c r="E6" s="176">
        <f t="shared" si="1"/>
        <v>460.56766999999803</v>
      </c>
      <c r="F6" s="176">
        <f t="shared" si="1"/>
        <v>604.65551999999798</v>
      </c>
      <c r="G6" s="176">
        <f t="shared" si="1"/>
        <v>763.01483999999698</v>
      </c>
      <c r="H6" s="176">
        <f t="shared" si="1"/>
        <v>862.77802999999699</v>
      </c>
      <c r="I6" s="176">
        <f t="shared" si="1"/>
        <v>983.43788999999697</v>
      </c>
      <c r="J6" s="176">
        <f t="shared" si="1"/>
        <v>983.43788999999697</v>
      </c>
      <c r="K6" s="176">
        <f t="shared" si="1"/>
        <v>983.43788999999697</v>
      </c>
      <c r="L6" s="176">
        <f t="shared" si="1"/>
        <v>983.43788999999697</v>
      </c>
      <c r="M6" s="176">
        <f t="shared" si="1"/>
        <v>983.43788999999697</v>
      </c>
    </row>
    <row r="7" spans="1:13" ht="14.45" customHeight="1" x14ac:dyDescent="0.2">
      <c r="A7" s="175" t="s">
        <v>83</v>
      </c>
      <c r="B7" s="175"/>
      <c r="C7" s="175"/>
      <c r="D7" s="175"/>
      <c r="E7" s="175"/>
      <c r="F7" s="175"/>
      <c r="G7" s="175"/>
      <c r="H7" s="175"/>
      <c r="I7" s="175"/>
      <c r="J7" s="175"/>
      <c r="K7" s="175"/>
      <c r="L7" s="175"/>
      <c r="M7" s="175"/>
    </row>
    <row r="8" spans="1:13" ht="14.45" customHeight="1" x14ac:dyDescent="0.2">
      <c r="A8" s="175" t="s">
        <v>59</v>
      </c>
      <c r="B8" s="176">
        <f>B7*30</f>
        <v>0</v>
      </c>
      <c r="C8" s="176">
        <f t="shared" ref="C8:M8" si="2">C7*30</f>
        <v>0</v>
      </c>
      <c r="D8" s="176">
        <f t="shared" si="2"/>
        <v>0</v>
      </c>
      <c r="E8" s="176">
        <f t="shared" si="2"/>
        <v>0</v>
      </c>
      <c r="F8" s="176">
        <f t="shared" si="2"/>
        <v>0</v>
      </c>
      <c r="G8" s="176">
        <f t="shared" si="2"/>
        <v>0</v>
      </c>
      <c r="H8" s="176">
        <f t="shared" si="2"/>
        <v>0</v>
      </c>
      <c r="I8" s="176">
        <f t="shared" si="2"/>
        <v>0</v>
      </c>
      <c r="J8" s="176">
        <f t="shared" si="2"/>
        <v>0</v>
      </c>
      <c r="K8" s="176">
        <f t="shared" si="2"/>
        <v>0</v>
      </c>
      <c r="L8" s="176">
        <f t="shared" si="2"/>
        <v>0</v>
      </c>
      <c r="M8" s="176">
        <f t="shared" si="2"/>
        <v>0</v>
      </c>
    </row>
    <row r="9" spans="1:13" ht="14.45" customHeight="1" x14ac:dyDescent="0.2">
      <c r="A9" s="175" t="s">
        <v>84</v>
      </c>
      <c r="B9" s="175">
        <v>322817.31</v>
      </c>
      <c r="C9" s="175">
        <v>291349.65999999997</v>
      </c>
      <c r="D9" s="175">
        <v>343893</v>
      </c>
      <c r="E9" s="175">
        <v>330512.33</v>
      </c>
      <c r="F9" s="175">
        <v>356231.33999999997</v>
      </c>
      <c r="G9" s="175">
        <v>377410</v>
      </c>
      <c r="H9" s="175">
        <v>381823.66000000003</v>
      </c>
      <c r="I9" s="175">
        <v>376771.99</v>
      </c>
      <c r="J9" s="175">
        <v>0</v>
      </c>
      <c r="K9" s="175">
        <v>0</v>
      </c>
      <c r="L9" s="175">
        <v>0</v>
      </c>
      <c r="M9" s="175">
        <v>0</v>
      </c>
    </row>
    <row r="10" spans="1:13" ht="14.45" customHeight="1" x14ac:dyDescent="0.2">
      <c r="A10" s="175" t="s">
        <v>60</v>
      </c>
      <c r="B10" s="176">
        <f>B9/1000</f>
        <v>322.81731000000002</v>
      </c>
      <c r="C10" s="176">
        <f t="shared" ref="C10:M10" si="3">C9/1000+B10</f>
        <v>614.16696999999999</v>
      </c>
      <c r="D10" s="176">
        <f t="shared" si="3"/>
        <v>958.05997000000002</v>
      </c>
      <c r="E10" s="176">
        <f t="shared" si="3"/>
        <v>1288.5723</v>
      </c>
      <c r="F10" s="176">
        <f t="shared" si="3"/>
        <v>1644.8036400000001</v>
      </c>
      <c r="G10" s="176">
        <f t="shared" si="3"/>
        <v>2022.2136400000002</v>
      </c>
      <c r="H10" s="176">
        <f t="shared" si="3"/>
        <v>2404.0373</v>
      </c>
      <c r="I10" s="176">
        <f t="shared" si="3"/>
        <v>2780.8092900000001</v>
      </c>
      <c r="J10" s="176">
        <f t="shared" si="3"/>
        <v>2780.8092900000001</v>
      </c>
      <c r="K10" s="176">
        <f t="shared" si="3"/>
        <v>2780.8092900000001</v>
      </c>
      <c r="L10" s="176">
        <f t="shared" si="3"/>
        <v>2780.8092900000001</v>
      </c>
      <c r="M10" s="176">
        <f t="shared" si="3"/>
        <v>2780.8092900000001</v>
      </c>
    </row>
    <row r="11" spans="1:13" ht="14.45" customHeight="1" x14ac:dyDescent="0.2">
      <c r="A11" s="171"/>
      <c r="B11" s="171" t="s">
        <v>75</v>
      </c>
      <c r="C11" s="171">
        <f ca="1">IF(MONTH(TODAY())=1,12,MONTH(TODAY())-1)</f>
        <v>8</v>
      </c>
      <c r="D11" s="171"/>
      <c r="E11" s="171"/>
      <c r="F11" s="171"/>
      <c r="G11" s="171"/>
      <c r="H11" s="171"/>
      <c r="I11" s="171"/>
      <c r="J11" s="171"/>
      <c r="K11" s="171"/>
      <c r="L11" s="171"/>
      <c r="M11" s="171"/>
    </row>
    <row r="12" spans="1:13" ht="14.45" customHeight="1" x14ac:dyDescent="0.2">
      <c r="A12" s="171">
        <v>0</v>
      </c>
      <c r="B12" s="174">
        <f>IF(ISERROR(HI!F15),#REF!,HI!F15)</f>
        <v>1.5244920457890185</v>
      </c>
      <c r="C12" s="171"/>
      <c r="D12" s="171"/>
      <c r="E12" s="171"/>
      <c r="F12" s="171"/>
      <c r="G12" s="171"/>
      <c r="H12" s="171"/>
      <c r="I12" s="171"/>
      <c r="J12" s="171"/>
      <c r="K12" s="171"/>
      <c r="L12" s="171"/>
      <c r="M12" s="171"/>
    </row>
    <row r="13" spans="1:13" ht="14.45" customHeight="1" x14ac:dyDescent="0.2">
      <c r="A13" s="171">
        <v>1</v>
      </c>
      <c r="B13" s="174">
        <f>IF(ISERROR(HI!F15),#REF!,HI!F15)</f>
        <v>1.5244920457890185</v>
      </c>
      <c r="C13" s="171"/>
      <c r="D13" s="171"/>
      <c r="E13" s="171"/>
      <c r="F13" s="171"/>
      <c r="G13" s="171"/>
      <c r="H13" s="171"/>
      <c r="I13" s="171"/>
      <c r="J13" s="171"/>
      <c r="K13" s="171"/>
      <c r="L13" s="171"/>
      <c r="M13" s="171"/>
    </row>
  </sheetData>
  <mergeCells count="1">
    <mergeCell ref="A1:M1"/>
  </mergeCells>
  <hyperlinks>
    <hyperlink ref="A2" location="Obsah!A1" display="Zpět na Obsah  KL 01  1.-4.měsíc" xr:uid="{969F12F3-4433-44B3-8E42-3D6A8512DDDF}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104" bestFit="1" customWidth="1"/>
    <col min="2" max="2" width="12.7109375" style="104" bestFit="1" customWidth="1"/>
    <col min="3" max="3" width="13.7109375" style="104" bestFit="1" customWidth="1"/>
    <col min="4" max="15" width="7.7109375" style="104" bestFit="1" customWidth="1"/>
    <col min="16" max="16" width="8.85546875" style="104" customWidth="1"/>
    <col min="17" max="17" width="6.7109375" style="104" bestFit="1" customWidth="1"/>
    <col min="18" max="16384" width="8.85546875" style="104"/>
  </cols>
  <sheetData>
    <row r="1" spans="1:17" s="177" customFormat="1" ht="18.600000000000001" customHeight="1" thickBot="1" x14ac:dyDescent="0.35">
      <c r="A1" s="284" t="s">
        <v>204</v>
      </c>
      <c r="B1" s="284"/>
      <c r="C1" s="284"/>
      <c r="D1" s="284"/>
      <c r="E1" s="284"/>
      <c r="F1" s="284"/>
      <c r="G1" s="284"/>
      <c r="H1" s="272"/>
      <c r="I1" s="272"/>
      <c r="J1" s="272"/>
      <c r="K1" s="272"/>
      <c r="L1" s="272"/>
      <c r="M1" s="272"/>
      <c r="N1" s="272"/>
      <c r="O1" s="272"/>
      <c r="P1" s="272"/>
      <c r="Q1" s="272"/>
    </row>
    <row r="2" spans="1:17" s="177" customFormat="1" ht="14.45" customHeight="1" thickBot="1" x14ac:dyDescent="0.25">
      <c r="A2" s="199" t="s">
        <v>202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</row>
    <row r="3" spans="1:17" ht="14.45" customHeight="1" x14ac:dyDescent="0.2">
      <c r="A3" s="60"/>
      <c r="B3" s="285" t="s">
        <v>11</v>
      </c>
      <c r="C3" s="286"/>
      <c r="D3" s="286"/>
      <c r="E3" s="286"/>
      <c r="F3" s="286"/>
      <c r="G3" s="286"/>
      <c r="H3" s="286"/>
      <c r="I3" s="286"/>
      <c r="J3" s="286"/>
      <c r="K3" s="286"/>
      <c r="L3" s="286"/>
      <c r="M3" s="286"/>
      <c r="N3" s="286"/>
      <c r="O3" s="286"/>
      <c r="P3" s="112"/>
      <c r="Q3" s="114"/>
    </row>
    <row r="4" spans="1:17" ht="14.45" customHeight="1" x14ac:dyDescent="0.2">
      <c r="A4" s="61"/>
      <c r="B4" s="20">
        <v>2019</v>
      </c>
      <c r="C4" s="113" t="s">
        <v>12</v>
      </c>
      <c r="D4" s="218" t="s">
        <v>182</v>
      </c>
      <c r="E4" s="218" t="s">
        <v>183</v>
      </c>
      <c r="F4" s="218" t="s">
        <v>184</v>
      </c>
      <c r="G4" s="218" t="s">
        <v>185</v>
      </c>
      <c r="H4" s="218" t="s">
        <v>186</v>
      </c>
      <c r="I4" s="218" t="s">
        <v>187</v>
      </c>
      <c r="J4" s="218" t="s">
        <v>188</v>
      </c>
      <c r="K4" s="218" t="s">
        <v>189</v>
      </c>
      <c r="L4" s="218" t="s">
        <v>190</v>
      </c>
      <c r="M4" s="218" t="s">
        <v>191</v>
      </c>
      <c r="N4" s="218" t="s">
        <v>192</v>
      </c>
      <c r="O4" s="218" t="s">
        <v>193</v>
      </c>
      <c r="P4" s="287" t="s">
        <v>3</v>
      </c>
      <c r="Q4" s="288"/>
    </row>
    <row r="5" spans="1:17" ht="14.45" customHeight="1" thickBot="1" x14ac:dyDescent="0.25">
      <c r="A5" s="62"/>
      <c r="B5" s="21" t="s">
        <v>13</v>
      </c>
      <c r="C5" s="22" t="s">
        <v>13</v>
      </c>
      <c r="D5" s="22" t="s">
        <v>14</v>
      </c>
      <c r="E5" s="22" t="s">
        <v>14</v>
      </c>
      <c r="F5" s="22" t="s">
        <v>14</v>
      </c>
      <c r="G5" s="22" t="s">
        <v>14</v>
      </c>
      <c r="H5" s="22" t="s">
        <v>14</v>
      </c>
      <c r="I5" s="22" t="s">
        <v>14</v>
      </c>
      <c r="J5" s="22" t="s">
        <v>14</v>
      </c>
      <c r="K5" s="22" t="s">
        <v>14</v>
      </c>
      <c r="L5" s="22" t="s">
        <v>14</v>
      </c>
      <c r="M5" s="22" t="s">
        <v>14</v>
      </c>
      <c r="N5" s="22" t="s">
        <v>14</v>
      </c>
      <c r="O5" s="22" t="s">
        <v>14</v>
      </c>
      <c r="P5" s="22" t="s">
        <v>14</v>
      </c>
      <c r="Q5" s="23" t="s">
        <v>15</v>
      </c>
    </row>
    <row r="6" spans="1:17" ht="14.45" customHeight="1" x14ac:dyDescent="0.2">
      <c r="A6" s="14" t="s">
        <v>16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70" t="s">
        <v>203</v>
      </c>
    </row>
    <row r="7" spans="1:17" ht="14.45" customHeight="1" x14ac:dyDescent="0.2">
      <c r="A7" s="15" t="s">
        <v>17</v>
      </c>
      <c r="B7" s="46">
        <v>0</v>
      </c>
      <c r="C7" s="47">
        <v>0</v>
      </c>
      <c r="D7" s="47">
        <v>0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8">
        <v>0</v>
      </c>
      <c r="Q7" s="71" t="s">
        <v>203</v>
      </c>
    </row>
    <row r="8" spans="1:17" ht="14.45" customHeight="1" x14ac:dyDescent="0.2">
      <c r="A8" s="15" t="s">
        <v>18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71" t="s">
        <v>203</v>
      </c>
    </row>
    <row r="9" spans="1:17" ht="14.45" customHeight="1" x14ac:dyDescent="0.2">
      <c r="A9" s="15" t="s">
        <v>19</v>
      </c>
      <c r="B9" s="46">
        <v>1496.5678446146301</v>
      </c>
      <c r="C9" s="47">
        <v>124.71398705121899</v>
      </c>
      <c r="D9" s="47">
        <v>152.79295999999999</v>
      </c>
      <c r="E9" s="47">
        <v>142.94559000000001</v>
      </c>
      <c r="F9" s="47">
        <v>74.926339999999001</v>
      </c>
      <c r="G9" s="47">
        <v>60.986199999999002</v>
      </c>
      <c r="H9" s="47">
        <v>126.97408</v>
      </c>
      <c r="I9" s="47">
        <v>140.73472999999899</v>
      </c>
      <c r="J9" s="47">
        <v>93.983649999999997</v>
      </c>
      <c r="K9" s="47">
        <v>113.79855999999999</v>
      </c>
      <c r="L9" s="47">
        <v>0</v>
      </c>
      <c r="M9" s="47">
        <v>0</v>
      </c>
      <c r="N9" s="47">
        <v>0</v>
      </c>
      <c r="O9" s="47">
        <v>0</v>
      </c>
      <c r="P9" s="48">
        <v>907.14211</v>
      </c>
      <c r="Q9" s="71">
        <v>0.90922250527799997</v>
      </c>
    </row>
    <row r="10" spans="1:17" ht="14.45" customHeight="1" x14ac:dyDescent="0.2">
      <c r="A10" s="15" t="s">
        <v>20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71" t="s">
        <v>203</v>
      </c>
    </row>
    <row r="11" spans="1:17" ht="14.45" customHeight="1" x14ac:dyDescent="0.2">
      <c r="A11" s="15" t="s">
        <v>21</v>
      </c>
      <c r="B11" s="46">
        <v>0</v>
      </c>
      <c r="C11" s="47">
        <v>0</v>
      </c>
      <c r="D11" s="47">
        <v>0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v>0</v>
      </c>
      <c r="P11" s="48">
        <v>0</v>
      </c>
      <c r="Q11" s="71" t="s">
        <v>203</v>
      </c>
    </row>
    <row r="12" spans="1:17" ht="14.45" customHeight="1" x14ac:dyDescent="0.2">
      <c r="A12" s="15" t="s">
        <v>22</v>
      </c>
      <c r="B12" s="46">
        <v>0</v>
      </c>
      <c r="C12" s="47">
        <v>0</v>
      </c>
      <c r="D12" s="47">
        <v>0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8">
        <v>0</v>
      </c>
      <c r="Q12" s="71" t="s">
        <v>203</v>
      </c>
    </row>
    <row r="13" spans="1:17" ht="14.45" customHeight="1" x14ac:dyDescent="0.2">
      <c r="A13" s="15" t="s">
        <v>23</v>
      </c>
      <c r="B13" s="46">
        <v>20.286977570303002</v>
      </c>
      <c r="C13" s="47">
        <v>1.690581464191</v>
      </c>
      <c r="D13" s="47">
        <v>1.39768</v>
      </c>
      <c r="E13" s="47">
        <v>1.5484500000000001</v>
      </c>
      <c r="F13" s="47">
        <v>1.54416</v>
      </c>
      <c r="G13" s="47">
        <v>1.11524</v>
      </c>
      <c r="H13" s="47">
        <v>1.3726</v>
      </c>
      <c r="I13" s="47">
        <v>2.1269699999989999</v>
      </c>
      <c r="J13" s="47">
        <v>1.25654</v>
      </c>
      <c r="K13" s="47">
        <v>2.2873000000000001</v>
      </c>
      <c r="L13" s="47">
        <v>0</v>
      </c>
      <c r="M13" s="47">
        <v>0</v>
      </c>
      <c r="N13" s="47">
        <v>0</v>
      </c>
      <c r="O13" s="47">
        <v>0</v>
      </c>
      <c r="P13" s="48">
        <v>12.64894</v>
      </c>
      <c r="Q13" s="71">
        <v>0.93525070130499999</v>
      </c>
    </row>
    <row r="14" spans="1:17" ht="14.45" customHeight="1" x14ac:dyDescent="0.2">
      <c r="A14" s="15" t="s">
        <v>24</v>
      </c>
      <c r="B14" s="46">
        <v>33.104974979166997</v>
      </c>
      <c r="C14" s="47">
        <v>2.7587479149299998</v>
      </c>
      <c r="D14" s="47">
        <v>4.1109999999999998</v>
      </c>
      <c r="E14" s="47">
        <v>3.3660000000000001</v>
      </c>
      <c r="F14" s="47">
        <v>3.1569999999989999</v>
      </c>
      <c r="G14" s="47">
        <v>2.5449999999989998</v>
      </c>
      <c r="H14" s="47">
        <v>2.452</v>
      </c>
      <c r="I14" s="47">
        <v>2.107999999999</v>
      </c>
      <c r="J14" s="47">
        <v>1.99</v>
      </c>
      <c r="K14" s="47">
        <v>2.0409999999999999</v>
      </c>
      <c r="L14" s="47">
        <v>0</v>
      </c>
      <c r="M14" s="47">
        <v>0</v>
      </c>
      <c r="N14" s="47">
        <v>0</v>
      </c>
      <c r="O14" s="47">
        <v>0</v>
      </c>
      <c r="P14" s="48">
        <v>21.77</v>
      </c>
      <c r="Q14" s="71">
        <v>0.98640763270599996</v>
      </c>
    </row>
    <row r="15" spans="1:17" ht="14.45" customHeight="1" x14ac:dyDescent="0.2">
      <c r="A15" s="15" t="s">
        <v>25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71" t="s">
        <v>203</v>
      </c>
    </row>
    <row r="16" spans="1:17" ht="14.45" customHeight="1" x14ac:dyDescent="0.2">
      <c r="A16" s="15" t="s">
        <v>26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71" t="s">
        <v>203</v>
      </c>
    </row>
    <row r="17" spans="1:17" ht="14.45" customHeight="1" x14ac:dyDescent="0.2">
      <c r="A17" s="15" t="s">
        <v>27</v>
      </c>
      <c r="B17" s="46">
        <v>26.318243354387</v>
      </c>
      <c r="C17" s="47">
        <v>2.1931869461979998</v>
      </c>
      <c r="D17" s="47">
        <v>0</v>
      </c>
      <c r="E17" s="47">
        <v>0</v>
      </c>
      <c r="F17" s="47">
        <v>0</v>
      </c>
      <c r="G17" s="47">
        <v>0</v>
      </c>
      <c r="H17" s="47">
        <v>0</v>
      </c>
      <c r="I17" s="47">
        <v>10.856120000000001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8">
        <v>10.856120000000001</v>
      </c>
      <c r="Q17" s="71">
        <v>0.61874114395500002</v>
      </c>
    </row>
    <row r="18" spans="1:17" ht="14.45" customHeight="1" x14ac:dyDescent="0.2">
      <c r="A18" s="15" t="s">
        <v>28</v>
      </c>
      <c r="B18" s="46">
        <v>0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8">
        <v>0</v>
      </c>
      <c r="Q18" s="71" t="s">
        <v>203</v>
      </c>
    </row>
    <row r="19" spans="1:17" ht="14.45" customHeight="1" x14ac:dyDescent="0.2">
      <c r="A19" s="15" t="s">
        <v>29</v>
      </c>
      <c r="B19" s="46">
        <v>8.1137781164489997</v>
      </c>
      <c r="C19" s="47">
        <v>0.67614817637000002</v>
      </c>
      <c r="D19" s="47">
        <v>0</v>
      </c>
      <c r="E19" s="47">
        <v>0</v>
      </c>
      <c r="F19" s="47">
        <v>0</v>
      </c>
      <c r="G19" s="47">
        <v>0</v>
      </c>
      <c r="H19" s="47">
        <v>10.756169999999999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v>0</v>
      </c>
      <c r="P19" s="48">
        <v>10.756169999999999</v>
      </c>
      <c r="Q19" s="71">
        <v>1.988500889282</v>
      </c>
    </row>
    <row r="20" spans="1:17" ht="14.45" customHeight="1" x14ac:dyDescent="0.2">
      <c r="A20" s="15" t="s">
        <v>30</v>
      </c>
      <c r="B20" s="46">
        <v>0</v>
      </c>
      <c r="C20" s="47">
        <v>0</v>
      </c>
      <c r="D20" s="47">
        <v>0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v>0</v>
      </c>
      <c r="P20" s="48">
        <v>0</v>
      </c>
      <c r="Q20" s="71" t="s">
        <v>203</v>
      </c>
    </row>
    <row r="21" spans="1:17" ht="14.45" customHeight="1" x14ac:dyDescent="0.2">
      <c r="A21" s="16" t="s">
        <v>31</v>
      </c>
      <c r="B21" s="46">
        <v>29.999999999999002</v>
      </c>
      <c r="C21" s="47">
        <v>2.4999999999989999</v>
      </c>
      <c r="D21" s="47">
        <v>2.5329999999999999</v>
      </c>
      <c r="E21" s="47">
        <v>2.5329999999999999</v>
      </c>
      <c r="F21" s="47">
        <v>2.5329999999989998</v>
      </c>
      <c r="G21" s="47">
        <v>2.5329999999989998</v>
      </c>
      <c r="H21" s="47">
        <v>2.5329999999999999</v>
      </c>
      <c r="I21" s="47">
        <v>2.5329999999989998</v>
      </c>
      <c r="J21" s="47">
        <v>2.5329999999999999</v>
      </c>
      <c r="K21" s="47">
        <v>2.5329999999999999</v>
      </c>
      <c r="L21" s="47">
        <v>0</v>
      </c>
      <c r="M21" s="47">
        <v>0</v>
      </c>
      <c r="N21" s="47">
        <v>0</v>
      </c>
      <c r="O21" s="47">
        <v>0</v>
      </c>
      <c r="P21" s="48">
        <v>20.263999999999999</v>
      </c>
      <c r="Q21" s="71">
        <v>1.0132000000000001</v>
      </c>
    </row>
    <row r="22" spans="1:17" ht="14.45" customHeight="1" x14ac:dyDescent="0.2">
      <c r="A22" s="15" t="s">
        <v>32</v>
      </c>
      <c r="B22" s="46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0</v>
      </c>
      <c r="Q22" s="71" t="s">
        <v>203</v>
      </c>
    </row>
    <row r="23" spans="1:17" ht="14.45" customHeight="1" x14ac:dyDescent="0.2">
      <c r="A23" s="16" t="s">
        <v>33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71" t="s">
        <v>203</v>
      </c>
    </row>
    <row r="24" spans="1:17" ht="14.45" customHeight="1" x14ac:dyDescent="0.2">
      <c r="A24" s="16" t="s">
        <v>34</v>
      </c>
      <c r="B24" s="46">
        <v>0</v>
      </c>
      <c r="C24" s="47">
        <v>-2.8421709430404001E-14</v>
      </c>
      <c r="D24" s="47">
        <v>0</v>
      </c>
      <c r="E24" s="47">
        <v>-2.4999999900000001E-4</v>
      </c>
      <c r="F24" s="47">
        <v>0</v>
      </c>
      <c r="G24" s="47">
        <v>2.9999999899999998E-4</v>
      </c>
      <c r="H24" s="47">
        <v>0</v>
      </c>
      <c r="I24" s="47">
        <v>5.0000000000000001E-4</v>
      </c>
      <c r="J24" s="47">
        <v>1.4210854715202001E-14</v>
      </c>
      <c r="K24" s="47">
        <v>1.4210854715202001E-14</v>
      </c>
      <c r="L24" s="47">
        <v>0</v>
      </c>
      <c r="M24" s="47">
        <v>0</v>
      </c>
      <c r="N24" s="47">
        <v>0</v>
      </c>
      <c r="O24" s="47">
        <v>0</v>
      </c>
      <c r="P24" s="48">
        <v>5.5000000000000003E-4</v>
      </c>
      <c r="Q24" s="71"/>
    </row>
    <row r="25" spans="1:17" ht="14.45" customHeight="1" x14ac:dyDescent="0.2">
      <c r="A25" s="17" t="s">
        <v>35</v>
      </c>
      <c r="B25" s="49">
        <v>1614.3918186349399</v>
      </c>
      <c r="C25" s="50">
        <v>134.532651552912</v>
      </c>
      <c r="D25" s="50">
        <v>160.83464000000001</v>
      </c>
      <c r="E25" s="50">
        <v>150.39278999999999</v>
      </c>
      <c r="F25" s="50">
        <v>82.160499999999004</v>
      </c>
      <c r="G25" s="50">
        <v>67.179739999999001</v>
      </c>
      <c r="H25" s="50">
        <v>144.08785</v>
      </c>
      <c r="I25" s="50">
        <v>158.359319999999</v>
      </c>
      <c r="J25" s="50">
        <v>99.763189999999994</v>
      </c>
      <c r="K25" s="50">
        <v>120.65985999999999</v>
      </c>
      <c r="L25" s="50">
        <v>0</v>
      </c>
      <c r="M25" s="50">
        <v>0</v>
      </c>
      <c r="N25" s="50">
        <v>0</v>
      </c>
      <c r="O25" s="50">
        <v>0</v>
      </c>
      <c r="P25" s="51">
        <v>983.43789000000004</v>
      </c>
      <c r="Q25" s="72">
        <v>0.91375390903999998</v>
      </c>
    </row>
    <row r="26" spans="1:17" ht="14.45" customHeight="1" x14ac:dyDescent="0.2">
      <c r="A26" s="15" t="s">
        <v>36</v>
      </c>
      <c r="B26" s="46">
        <v>0</v>
      </c>
      <c r="C26" s="47">
        <v>0</v>
      </c>
      <c r="D26" s="47">
        <v>0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v>0</v>
      </c>
      <c r="P26" s="48">
        <v>0</v>
      </c>
      <c r="Q26" s="71" t="s">
        <v>203</v>
      </c>
    </row>
    <row r="27" spans="1:17" ht="14.45" customHeight="1" x14ac:dyDescent="0.2">
      <c r="A27" s="18" t="s">
        <v>37</v>
      </c>
      <c r="B27" s="49">
        <v>1614.3918186349399</v>
      </c>
      <c r="C27" s="50">
        <v>134.532651552912</v>
      </c>
      <c r="D27" s="50">
        <v>160.83464000000001</v>
      </c>
      <c r="E27" s="50">
        <v>150.39278999999999</v>
      </c>
      <c r="F27" s="50">
        <v>82.160499999999004</v>
      </c>
      <c r="G27" s="50">
        <v>67.179739999999001</v>
      </c>
      <c r="H27" s="50">
        <v>144.08785</v>
      </c>
      <c r="I27" s="50">
        <v>158.359319999999</v>
      </c>
      <c r="J27" s="50">
        <v>99.763189999999994</v>
      </c>
      <c r="K27" s="50">
        <v>120.65985999999999</v>
      </c>
      <c r="L27" s="50">
        <v>0</v>
      </c>
      <c r="M27" s="50">
        <v>0</v>
      </c>
      <c r="N27" s="50">
        <v>0</v>
      </c>
      <c r="O27" s="50">
        <v>0</v>
      </c>
      <c r="P27" s="51">
        <v>983.43789000000004</v>
      </c>
      <c r="Q27" s="72">
        <v>0.91375390903999998</v>
      </c>
    </row>
    <row r="28" spans="1:17" ht="14.45" customHeight="1" x14ac:dyDescent="0.2">
      <c r="A28" s="16" t="s">
        <v>38</v>
      </c>
      <c r="B28" s="46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0</v>
      </c>
      <c r="Q28" s="71">
        <v>0</v>
      </c>
    </row>
    <row r="29" spans="1:17" ht="14.45" customHeight="1" x14ac:dyDescent="0.2">
      <c r="A29" s="16" t="s">
        <v>39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71" t="s">
        <v>203</v>
      </c>
    </row>
    <row r="30" spans="1:17" ht="14.45" customHeight="1" x14ac:dyDescent="0.2">
      <c r="A30" s="16" t="s">
        <v>40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71">
        <v>0</v>
      </c>
    </row>
    <row r="31" spans="1:17" ht="14.45" customHeight="1" thickBot="1" x14ac:dyDescent="0.25">
      <c r="A31" s="19" t="s">
        <v>41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73" t="s">
        <v>203</v>
      </c>
    </row>
    <row r="32" spans="1:17" ht="14.45" customHeight="1" x14ac:dyDescent="0.2">
      <c r="B32" s="105"/>
      <c r="C32" s="105"/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105"/>
      <c r="P32" s="105"/>
      <c r="Q32" s="105"/>
    </row>
    <row r="33" spans="1:17" ht="14.45" customHeight="1" x14ac:dyDescent="0.2">
      <c r="A33" s="88" t="s">
        <v>120</v>
      </c>
      <c r="B33" s="106"/>
      <c r="C33" s="106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6"/>
      <c r="Q33" s="106"/>
    </row>
    <row r="34" spans="1:17" ht="14.45" customHeight="1" x14ac:dyDescent="0.2">
      <c r="A34" s="110" t="s">
        <v>180</v>
      </c>
      <c r="B34" s="106"/>
      <c r="C34" s="106"/>
      <c r="D34" s="106"/>
      <c r="E34" s="106"/>
      <c r="F34" s="106"/>
      <c r="G34" s="106"/>
      <c r="H34" s="106"/>
      <c r="I34" s="106"/>
      <c r="J34" s="106"/>
      <c r="K34" s="106"/>
      <c r="L34" s="106"/>
      <c r="M34" s="106"/>
      <c r="N34" s="106"/>
      <c r="O34" s="106"/>
      <c r="P34" s="106"/>
      <c r="Q34" s="106"/>
    </row>
    <row r="35" spans="1:17" ht="14.45" customHeight="1" x14ac:dyDescent="0.2">
      <c r="A35" s="111" t="s">
        <v>42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</row>
  </sheetData>
  <autoFilter ref="A5:A31" xr:uid="{00000000-0009-0000-0000-000005000000}"/>
  <mergeCells count="3">
    <mergeCell ref="A1:Q1"/>
    <mergeCell ref="B3:O3"/>
    <mergeCell ref="P4:Q4"/>
  </mergeCells>
  <hyperlinks>
    <hyperlink ref="A2" location="Obsah!A1" display="Zpět na Obsah  KL 01  1.-4.měsíc" xr:uid="{37DCDC12-FFDA-44B4-BD8A-E8350676F9B1}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K62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104" customWidth="1"/>
    <col min="2" max="11" width="10" style="104" customWidth="1"/>
    <col min="12" max="16384" width="8.85546875" style="104"/>
  </cols>
  <sheetData>
    <row r="1" spans="1:11" s="55" customFormat="1" ht="18.600000000000001" customHeight="1" thickBot="1" x14ac:dyDescent="0.35">
      <c r="A1" s="284" t="s">
        <v>43</v>
      </c>
      <c r="B1" s="284"/>
      <c r="C1" s="284"/>
      <c r="D1" s="284"/>
      <c r="E1" s="284"/>
      <c r="F1" s="284"/>
      <c r="G1" s="284"/>
      <c r="H1" s="289"/>
      <c r="I1" s="289"/>
      <c r="J1" s="289"/>
      <c r="K1" s="289"/>
    </row>
    <row r="2" spans="1:11" s="55" customFormat="1" ht="14.45" customHeight="1" thickBot="1" x14ac:dyDescent="0.25">
      <c r="A2" s="199" t="s">
        <v>202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5" customHeight="1" x14ac:dyDescent="0.2">
      <c r="A3" s="60"/>
      <c r="B3" s="285" t="s">
        <v>44</v>
      </c>
      <c r="C3" s="286"/>
      <c r="D3" s="286"/>
      <c r="E3" s="286"/>
      <c r="F3" s="292" t="s">
        <v>45</v>
      </c>
      <c r="G3" s="286"/>
      <c r="H3" s="286"/>
      <c r="I3" s="286"/>
      <c r="J3" s="286"/>
      <c r="K3" s="293"/>
    </row>
    <row r="4" spans="1:11" ht="14.45" customHeight="1" x14ac:dyDescent="0.2">
      <c r="A4" s="61"/>
      <c r="B4" s="290"/>
      <c r="C4" s="291"/>
      <c r="D4" s="291"/>
      <c r="E4" s="291"/>
      <c r="F4" s="294" t="s">
        <v>198</v>
      </c>
      <c r="G4" s="296" t="s">
        <v>46</v>
      </c>
      <c r="H4" s="115" t="s">
        <v>110</v>
      </c>
      <c r="I4" s="294" t="s">
        <v>47</v>
      </c>
      <c r="J4" s="296" t="s">
        <v>200</v>
      </c>
      <c r="K4" s="297" t="s">
        <v>201</v>
      </c>
    </row>
    <row r="5" spans="1:11" ht="39" thickBot="1" x14ac:dyDescent="0.25">
      <c r="A5" s="62"/>
      <c r="B5" s="24" t="s">
        <v>194</v>
      </c>
      <c r="C5" s="25" t="s">
        <v>195</v>
      </c>
      <c r="D5" s="26" t="s">
        <v>196</v>
      </c>
      <c r="E5" s="26" t="s">
        <v>197</v>
      </c>
      <c r="F5" s="295"/>
      <c r="G5" s="295"/>
      <c r="H5" s="25" t="s">
        <v>199</v>
      </c>
      <c r="I5" s="295"/>
      <c r="J5" s="295"/>
      <c r="K5" s="298"/>
    </row>
    <row r="6" spans="1:11" ht="14.45" customHeight="1" thickBot="1" x14ac:dyDescent="0.25">
      <c r="A6" s="386" t="s">
        <v>205</v>
      </c>
      <c r="B6" s="368">
        <v>1228.7020465456401</v>
      </c>
      <c r="C6" s="368">
        <v>1305.92004</v>
      </c>
      <c r="D6" s="369">
        <v>77.217993454362002</v>
      </c>
      <c r="E6" s="370">
        <v>1.0628451736290001</v>
      </c>
      <c r="F6" s="368">
        <v>1614.3918186349399</v>
      </c>
      <c r="G6" s="369">
        <v>1076.2612124232901</v>
      </c>
      <c r="H6" s="371">
        <v>120.65985999999999</v>
      </c>
      <c r="I6" s="368">
        <v>983.43789000000004</v>
      </c>
      <c r="J6" s="369">
        <v>-92.823322423294002</v>
      </c>
      <c r="K6" s="372">
        <v>0.60916927269300003</v>
      </c>
    </row>
    <row r="7" spans="1:11" ht="14.45" customHeight="1" thickBot="1" x14ac:dyDescent="0.25">
      <c r="A7" s="387" t="s">
        <v>206</v>
      </c>
      <c r="B7" s="368">
        <v>1219.6855515377799</v>
      </c>
      <c r="C7" s="368">
        <v>1264.01567</v>
      </c>
      <c r="D7" s="369">
        <v>44.330118462224</v>
      </c>
      <c r="E7" s="370">
        <v>1.0363455305389999</v>
      </c>
      <c r="F7" s="368">
        <v>1549.9597971641001</v>
      </c>
      <c r="G7" s="369">
        <v>1033.3065314427399</v>
      </c>
      <c r="H7" s="371">
        <v>118.12685999999999</v>
      </c>
      <c r="I7" s="368">
        <v>941.5616</v>
      </c>
      <c r="J7" s="369">
        <v>-91.744931442736004</v>
      </c>
      <c r="K7" s="372">
        <v>0.60747485303899995</v>
      </c>
    </row>
    <row r="8" spans="1:11" ht="14.45" customHeight="1" thickBot="1" x14ac:dyDescent="0.25">
      <c r="A8" s="388" t="s">
        <v>207</v>
      </c>
      <c r="B8" s="368">
        <v>1191</v>
      </c>
      <c r="C8" s="368">
        <v>1235.9416699999999</v>
      </c>
      <c r="D8" s="369">
        <v>44.941670000000997</v>
      </c>
      <c r="E8" s="370">
        <v>1.0377343996640001</v>
      </c>
      <c r="F8" s="368">
        <v>1516.8548221849401</v>
      </c>
      <c r="G8" s="369">
        <v>1011.23654812329</v>
      </c>
      <c r="H8" s="371">
        <v>116.08586</v>
      </c>
      <c r="I8" s="368">
        <v>919.79160000000002</v>
      </c>
      <c r="J8" s="369">
        <v>-91.444948123290999</v>
      </c>
      <c r="K8" s="372">
        <v>0.60638077325999995</v>
      </c>
    </row>
    <row r="9" spans="1:11" ht="14.45" customHeight="1" thickBot="1" x14ac:dyDescent="0.25">
      <c r="A9" s="389" t="s">
        <v>208</v>
      </c>
      <c r="B9" s="373">
        <v>0</v>
      </c>
      <c r="C9" s="373">
        <v>1.9E-3</v>
      </c>
      <c r="D9" s="374">
        <v>1.9E-3</v>
      </c>
      <c r="E9" s="375" t="s">
        <v>203</v>
      </c>
      <c r="F9" s="373">
        <v>0</v>
      </c>
      <c r="G9" s="374">
        <v>0</v>
      </c>
      <c r="H9" s="376">
        <v>0</v>
      </c>
      <c r="I9" s="373">
        <v>5.4999999900000004E-4</v>
      </c>
      <c r="J9" s="374">
        <v>5.4999999900000004E-4</v>
      </c>
      <c r="K9" s="377" t="s">
        <v>203</v>
      </c>
    </row>
    <row r="10" spans="1:11" ht="14.45" customHeight="1" thickBot="1" x14ac:dyDescent="0.25">
      <c r="A10" s="390" t="s">
        <v>209</v>
      </c>
      <c r="B10" s="368">
        <v>0</v>
      </c>
      <c r="C10" s="368">
        <v>1.9E-3</v>
      </c>
      <c r="D10" s="369">
        <v>1.9E-3</v>
      </c>
      <c r="E10" s="378" t="s">
        <v>203</v>
      </c>
      <c r="F10" s="368">
        <v>0</v>
      </c>
      <c r="G10" s="369">
        <v>0</v>
      </c>
      <c r="H10" s="371">
        <v>0</v>
      </c>
      <c r="I10" s="368">
        <v>5.4999999900000004E-4</v>
      </c>
      <c r="J10" s="369">
        <v>5.4999999900000004E-4</v>
      </c>
      <c r="K10" s="379" t="s">
        <v>203</v>
      </c>
    </row>
    <row r="11" spans="1:11" ht="14.45" customHeight="1" thickBot="1" x14ac:dyDescent="0.25">
      <c r="A11" s="389" t="s">
        <v>210</v>
      </c>
      <c r="B11" s="373">
        <v>1186</v>
      </c>
      <c r="C11" s="373">
        <v>1223.1061199999999</v>
      </c>
      <c r="D11" s="374">
        <v>37.106120000000999</v>
      </c>
      <c r="E11" s="380">
        <v>1.0312867790889999</v>
      </c>
      <c r="F11" s="373">
        <v>1496.5678446146301</v>
      </c>
      <c r="G11" s="374">
        <v>997.71189640975501</v>
      </c>
      <c r="H11" s="376">
        <v>113.79855999999999</v>
      </c>
      <c r="I11" s="373">
        <v>907.14211</v>
      </c>
      <c r="J11" s="374">
        <v>-90.569786409754997</v>
      </c>
      <c r="K11" s="381">
        <v>0.60614833685199998</v>
      </c>
    </row>
    <row r="12" spans="1:11" ht="14.45" customHeight="1" thickBot="1" x14ac:dyDescent="0.25">
      <c r="A12" s="390" t="s">
        <v>211</v>
      </c>
      <c r="B12" s="368">
        <v>130</v>
      </c>
      <c r="C12" s="368">
        <v>176.01545999999999</v>
      </c>
      <c r="D12" s="369">
        <v>46.015459999999997</v>
      </c>
      <c r="E12" s="370">
        <v>1.3539650769230001</v>
      </c>
      <c r="F12" s="368">
        <v>190.17106274489799</v>
      </c>
      <c r="G12" s="369">
        <v>126.780708496599</v>
      </c>
      <c r="H12" s="371">
        <v>31.601870000000002</v>
      </c>
      <c r="I12" s="368">
        <v>120.45108999999999</v>
      </c>
      <c r="J12" s="369">
        <v>-6.329618496598</v>
      </c>
      <c r="K12" s="372">
        <v>0.63338285152999996</v>
      </c>
    </row>
    <row r="13" spans="1:11" ht="14.45" customHeight="1" thickBot="1" x14ac:dyDescent="0.25">
      <c r="A13" s="390" t="s">
        <v>212</v>
      </c>
      <c r="B13" s="368">
        <v>530</v>
      </c>
      <c r="C13" s="368">
        <v>478.63194000000101</v>
      </c>
      <c r="D13" s="369">
        <v>-51.368059999998998</v>
      </c>
      <c r="E13" s="370">
        <v>0.90307913207500001</v>
      </c>
      <c r="F13" s="368">
        <v>606.31943006524602</v>
      </c>
      <c r="G13" s="369">
        <v>404.21295337683</v>
      </c>
      <c r="H13" s="371">
        <v>37.830309999999997</v>
      </c>
      <c r="I13" s="368">
        <v>415.29320999999999</v>
      </c>
      <c r="J13" s="369">
        <v>11.080256623168999</v>
      </c>
      <c r="K13" s="372">
        <v>0.68494128574299995</v>
      </c>
    </row>
    <row r="14" spans="1:11" ht="14.45" customHeight="1" thickBot="1" x14ac:dyDescent="0.25">
      <c r="A14" s="390" t="s">
        <v>213</v>
      </c>
      <c r="B14" s="368">
        <v>280</v>
      </c>
      <c r="C14" s="368">
        <v>372.36425000000003</v>
      </c>
      <c r="D14" s="369">
        <v>92.364249999999998</v>
      </c>
      <c r="E14" s="370">
        <v>1.3298723214279999</v>
      </c>
      <c r="F14" s="368">
        <v>540.07479847201898</v>
      </c>
      <c r="G14" s="369">
        <v>360.04986564801197</v>
      </c>
      <c r="H14" s="371">
        <v>33.643740000000001</v>
      </c>
      <c r="I14" s="368">
        <v>306.80547999999999</v>
      </c>
      <c r="J14" s="369">
        <v>-53.244385648011999</v>
      </c>
      <c r="K14" s="372">
        <v>0.568079608357</v>
      </c>
    </row>
    <row r="15" spans="1:11" ht="14.45" customHeight="1" thickBot="1" x14ac:dyDescent="0.25">
      <c r="A15" s="390" t="s">
        <v>214</v>
      </c>
      <c r="B15" s="368">
        <v>25</v>
      </c>
      <c r="C15" s="368">
        <v>23.436820000000001</v>
      </c>
      <c r="D15" s="369">
        <v>-1.5631799999989999</v>
      </c>
      <c r="E15" s="370">
        <v>0.9374728</v>
      </c>
      <c r="F15" s="368">
        <v>39.949074200997003</v>
      </c>
      <c r="G15" s="369">
        <v>26.632716133997999</v>
      </c>
      <c r="H15" s="371">
        <v>4.0474399999999999</v>
      </c>
      <c r="I15" s="368">
        <v>21.003329999999998</v>
      </c>
      <c r="J15" s="369">
        <v>-5.6293861339979996</v>
      </c>
      <c r="K15" s="372">
        <v>0.52575260929199996</v>
      </c>
    </row>
    <row r="16" spans="1:11" ht="14.45" customHeight="1" thickBot="1" x14ac:dyDescent="0.25">
      <c r="A16" s="390" t="s">
        <v>215</v>
      </c>
      <c r="B16" s="368">
        <v>40</v>
      </c>
      <c r="C16" s="368">
        <v>55.316499999999998</v>
      </c>
      <c r="D16" s="369">
        <v>15.3165</v>
      </c>
      <c r="E16" s="370">
        <v>1.3829125</v>
      </c>
      <c r="F16" s="368">
        <v>90.053479131472997</v>
      </c>
      <c r="G16" s="369">
        <v>60.035652754315002</v>
      </c>
      <c r="H16" s="371">
        <v>6.6752000000000002</v>
      </c>
      <c r="I16" s="368">
        <v>43.588999999999999</v>
      </c>
      <c r="J16" s="369">
        <v>-16.446652754315</v>
      </c>
      <c r="K16" s="372">
        <v>0.48403460277600002</v>
      </c>
    </row>
    <row r="17" spans="1:11" ht="14.45" customHeight="1" thickBot="1" x14ac:dyDescent="0.25">
      <c r="A17" s="390" t="s">
        <v>216</v>
      </c>
      <c r="B17" s="368">
        <v>67</v>
      </c>
      <c r="C17" s="368">
        <v>16.63777</v>
      </c>
      <c r="D17" s="369">
        <v>-50.362229999999997</v>
      </c>
      <c r="E17" s="370">
        <v>0.24832492537299999</v>
      </c>
      <c r="F17" s="368">
        <v>30</v>
      </c>
      <c r="G17" s="369">
        <v>20</v>
      </c>
      <c r="H17" s="371">
        <v>0</v>
      </c>
      <c r="I17" s="368">
        <v>0</v>
      </c>
      <c r="J17" s="369">
        <v>-20</v>
      </c>
      <c r="K17" s="372">
        <v>0</v>
      </c>
    </row>
    <row r="18" spans="1:11" ht="14.45" customHeight="1" thickBot="1" x14ac:dyDescent="0.25">
      <c r="A18" s="390" t="s">
        <v>217</v>
      </c>
      <c r="B18" s="368">
        <v>114</v>
      </c>
      <c r="C18" s="368">
        <v>100.70338</v>
      </c>
      <c r="D18" s="369">
        <v>-13.296619999999001</v>
      </c>
      <c r="E18" s="370">
        <v>0.88336298245599998</v>
      </c>
      <c r="F18" s="368">
        <v>0</v>
      </c>
      <c r="G18" s="369">
        <v>0</v>
      </c>
      <c r="H18" s="371">
        <v>0</v>
      </c>
      <c r="I18" s="368">
        <v>-6.8212102632969797E-16</v>
      </c>
      <c r="J18" s="369">
        <v>-6.8212102632969797E-16</v>
      </c>
      <c r="K18" s="379" t="s">
        <v>203</v>
      </c>
    </row>
    <row r="19" spans="1:11" ht="14.45" customHeight="1" thickBot="1" x14ac:dyDescent="0.25">
      <c r="A19" s="389" t="s">
        <v>218</v>
      </c>
      <c r="B19" s="373">
        <v>5</v>
      </c>
      <c r="C19" s="373">
        <v>12.83365</v>
      </c>
      <c r="D19" s="374">
        <v>7.8336499999999996</v>
      </c>
      <c r="E19" s="380">
        <v>2.5667300000000002</v>
      </c>
      <c r="F19" s="373">
        <v>20.286977570303002</v>
      </c>
      <c r="G19" s="374">
        <v>13.524651713535</v>
      </c>
      <c r="H19" s="376">
        <v>2.2873000000000001</v>
      </c>
      <c r="I19" s="373">
        <v>12.64894</v>
      </c>
      <c r="J19" s="374">
        <v>-0.87571171353499999</v>
      </c>
      <c r="K19" s="381">
        <v>0.62350046753699995</v>
      </c>
    </row>
    <row r="20" spans="1:11" ht="14.45" customHeight="1" thickBot="1" x14ac:dyDescent="0.25">
      <c r="A20" s="390" t="s">
        <v>219</v>
      </c>
      <c r="B20" s="368">
        <v>0</v>
      </c>
      <c r="C20" s="368">
        <v>1.66316</v>
      </c>
      <c r="D20" s="369">
        <v>1.66316</v>
      </c>
      <c r="E20" s="378" t="s">
        <v>203</v>
      </c>
      <c r="F20" s="368">
        <v>2</v>
      </c>
      <c r="G20" s="369">
        <v>1.333333333333</v>
      </c>
      <c r="H20" s="371">
        <v>5.5440000000000003E-2</v>
      </c>
      <c r="I20" s="368">
        <v>0.33263999999999999</v>
      </c>
      <c r="J20" s="369">
        <v>-1.0006933333329999</v>
      </c>
      <c r="K20" s="372">
        <v>0.16632</v>
      </c>
    </row>
    <row r="21" spans="1:11" ht="14.45" customHeight="1" thickBot="1" x14ac:dyDescent="0.25">
      <c r="A21" s="390" t="s">
        <v>220</v>
      </c>
      <c r="B21" s="368">
        <v>5</v>
      </c>
      <c r="C21" s="368">
        <v>11.170489999999999</v>
      </c>
      <c r="D21" s="369">
        <v>6.17049</v>
      </c>
      <c r="E21" s="370">
        <v>2.2340979999999999</v>
      </c>
      <c r="F21" s="368">
        <v>18.286977570303002</v>
      </c>
      <c r="G21" s="369">
        <v>12.191318380202</v>
      </c>
      <c r="H21" s="371">
        <v>2.2318600000000002</v>
      </c>
      <c r="I21" s="368">
        <v>12.3163</v>
      </c>
      <c r="J21" s="369">
        <v>0.124981619797</v>
      </c>
      <c r="K21" s="372">
        <v>0.67350112683399999</v>
      </c>
    </row>
    <row r="22" spans="1:11" ht="14.45" customHeight="1" thickBot="1" x14ac:dyDescent="0.25">
      <c r="A22" s="388" t="s">
        <v>24</v>
      </c>
      <c r="B22" s="368">
        <v>28.685551537776998</v>
      </c>
      <c r="C22" s="368">
        <v>28.074000000000002</v>
      </c>
      <c r="D22" s="369">
        <v>-0.611551537777</v>
      </c>
      <c r="E22" s="370">
        <v>0.97868085133399996</v>
      </c>
      <c r="F22" s="368">
        <v>33.104974979166997</v>
      </c>
      <c r="G22" s="369">
        <v>22.069983319443999</v>
      </c>
      <c r="H22" s="371">
        <v>2.0409999999999999</v>
      </c>
      <c r="I22" s="368">
        <v>21.77</v>
      </c>
      <c r="J22" s="369">
        <v>-0.29998331944399997</v>
      </c>
      <c r="K22" s="372">
        <v>0.65760508846999999</v>
      </c>
    </row>
    <row r="23" spans="1:11" ht="14.45" customHeight="1" thickBot="1" x14ac:dyDescent="0.25">
      <c r="A23" s="389" t="s">
        <v>221</v>
      </c>
      <c r="B23" s="373">
        <v>28.685551537776998</v>
      </c>
      <c r="C23" s="373">
        <v>28.074000000000002</v>
      </c>
      <c r="D23" s="374">
        <v>-0.611551537777</v>
      </c>
      <c r="E23" s="380">
        <v>0.97868085133399996</v>
      </c>
      <c r="F23" s="373">
        <v>33.104974979166997</v>
      </c>
      <c r="G23" s="374">
        <v>22.069983319443999</v>
      </c>
      <c r="H23" s="376">
        <v>2.0409999999999999</v>
      </c>
      <c r="I23" s="373">
        <v>21.77</v>
      </c>
      <c r="J23" s="374">
        <v>-0.29998331944399997</v>
      </c>
      <c r="K23" s="381">
        <v>0.65760508846999999</v>
      </c>
    </row>
    <row r="24" spans="1:11" ht="14.45" customHeight="1" thickBot="1" x14ac:dyDescent="0.25">
      <c r="A24" s="390" t="s">
        <v>222</v>
      </c>
      <c r="B24" s="368">
        <v>10.553278101941</v>
      </c>
      <c r="C24" s="368">
        <v>10.997999999999999</v>
      </c>
      <c r="D24" s="369">
        <v>0.444721898058</v>
      </c>
      <c r="E24" s="370">
        <v>1.0421406404489999</v>
      </c>
      <c r="F24" s="368">
        <v>14.39904891236</v>
      </c>
      <c r="G24" s="369">
        <v>9.5993659415729997</v>
      </c>
      <c r="H24" s="371">
        <v>1.379</v>
      </c>
      <c r="I24" s="368">
        <v>10.271000000000001</v>
      </c>
      <c r="J24" s="369">
        <v>0.67163405842599999</v>
      </c>
      <c r="K24" s="372">
        <v>0.713311001477</v>
      </c>
    </row>
    <row r="25" spans="1:11" ht="14.45" customHeight="1" thickBot="1" x14ac:dyDescent="0.25">
      <c r="A25" s="390" t="s">
        <v>223</v>
      </c>
      <c r="B25" s="368">
        <v>18.132273435836002</v>
      </c>
      <c r="C25" s="368">
        <v>17.076000000000001</v>
      </c>
      <c r="D25" s="369">
        <v>-1.056273435836</v>
      </c>
      <c r="E25" s="370">
        <v>0.94174622175300005</v>
      </c>
      <c r="F25" s="368">
        <v>18.705926066806001</v>
      </c>
      <c r="G25" s="369">
        <v>12.470617377870999</v>
      </c>
      <c r="H25" s="371">
        <v>0.66200000000000003</v>
      </c>
      <c r="I25" s="368">
        <v>11.499000000000001</v>
      </c>
      <c r="J25" s="369">
        <v>-0.971617377871</v>
      </c>
      <c r="K25" s="372">
        <v>0.61472497853999997</v>
      </c>
    </row>
    <row r="26" spans="1:11" ht="14.45" customHeight="1" thickBot="1" x14ac:dyDescent="0.25">
      <c r="A26" s="391" t="s">
        <v>224</v>
      </c>
      <c r="B26" s="373">
        <v>9.0164950078609998</v>
      </c>
      <c r="C26" s="373">
        <v>29.900369999999999</v>
      </c>
      <c r="D26" s="374">
        <v>20.883874992138001</v>
      </c>
      <c r="E26" s="380">
        <v>3.316185499346</v>
      </c>
      <c r="F26" s="373">
        <v>34.432021470837</v>
      </c>
      <c r="G26" s="374">
        <v>22.954680980557999</v>
      </c>
      <c r="H26" s="376">
        <v>0</v>
      </c>
      <c r="I26" s="373">
        <v>21.612290000000002</v>
      </c>
      <c r="J26" s="374">
        <v>-1.3423909805580001</v>
      </c>
      <c r="K26" s="381">
        <v>0.62767996407899995</v>
      </c>
    </row>
    <row r="27" spans="1:11" ht="14.45" customHeight="1" thickBot="1" x14ac:dyDescent="0.25">
      <c r="A27" s="388" t="s">
        <v>27</v>
      </c>
      <c r="B27" s="368">
        <v>2.1743096319649999</v>
      </c>
      <c r="C27" s="368">
        <v>21.746939999999999</v>
      </c>
      <c r="D27" s="369">
        <v>19.572630368034002</v>
      </c>
      <c r="E27" s="370">
        <v>10.001767770463999</v>
      </c>
      <c r="F27" s="368">
        <v>26.318243354387</v>
      </c>
      <c r="G27" s="369">
        <v>17.545495569591001</v>
      </c>
      <c r="H27" s="371">
        <v>0</v>
      </c>
      <c r="I27" s="368">
        <v>10.856120000000001</v>
      </c>
      <c r="J27" s="369">
        <v>-6.6893755695910002</v>
      </c>
      <c r="K27" s="372">
        <v>0.41249409596999997</v>
      </c>
    </row>
    <row r="28" spans="1:11" ht="14.45" customHeight="1" thickBot="1" x14ac:dyDescent="0.25">
      <c r="A28" s="392" t="s">
        <v>225</v>
      </c>
      <c r="B28" s="368">
        <v>2.1743096319649999</v>
      </c>
      <c r="C28" s="368">
        <v>21.746939999999999</v>
      </c>
      <c r="D28" s="369">
        <v>19.572630368034002</v>
      </c>
      <c r="E28" s="370">
        <v>10.001767770463999</v>
      </c>
      <c r="F28" s="368">
        <v>26.318243354387</v>
      </c>
      <c r="G28" s="369">
        <v>17.545495569591001</v>
      </c>
      <c r="H28" s="371">
        <v>0</v>
      </c>
      <c r="I28" s="368">
        <v>10.856120000000001</v>
      </c>
      <c r="J28" s="369">
        <v>-6.6893755695910002</v>
      </c>
      <c r="K28" s="372">
        <v>0.41249409596999997</v>
      </c>
    </row>
    <row r="29" spans="1:11" ht="14.45" customHeight="1" thickBot="1" x14ac:dyDescent="0.25">
      <c r="A29" s="390" t="s">
        <v>226</v>
      </c>
      <c r="B29" s="368">
        <v>2.1743096319649999</v>
      </c>
      <c r="C29" s="368">
        <v>21.589939999999999</v>
      </c>
      <c r="D29" s="369">
        <v>19.415630368034002</v>
      </c>
      <c r="E29" s="370">
        <v>9.9295609432060008</v>
      </c>
      <c r="F29" s="368">
        <v>25.881809556375998</v>
      </c>
      <c r="G29" s="369">
        <v>17.25453970425</v>
      </c>
      <c r="H29" s="371">
        <v>0</v>
      </c>
      <c r="I29" s="368">
        <v>10.856120000000001</v>
      </c>
      <c r="J29" s="369">
        <v>-6.3984197042500002</v>
      </c>
      <c r="K29" s="372">
        <v>0.419449806102</v>
      </c>
    </row>
    <row r="30" spans="1:11" ht="14.45" customHeight="1" thickBot="1" x14ac:dyDescent="0.25">
      <c r="A30" s="390" t="s">
        <v>227</v>
      </c>
      <c r="B30" s="368">
        <v>0</v>
      </c>
      <c r="C30" s="368">
        <v>0.157</v>
      </c>
      <c r="D30" s="369">
        <v>0.157</v>
      </c>
      <c r="E30" s="378" t="s">
        <v>228</v>
      </c>
      <c r="F30" s="368">
        <v>8.0302356969999995E-3</v>
      </c>
      <c r="G30" s="369">
        <v>5.3534904650000001E-3</v>
      </c>
      <c r="H30" s="371">
        <v>0</v>
      </c>
      <c r="I30" s="368">
        <v>0</v>
      </c>
      <c r="J30" s="369">
        <v>-5.3534904650000001E-3</v>
      </c>
      <c r="K30" s="372">
        <v>0</v>
      </c>
    </row>
    <row r="31" spans="1:11" ht="14.45" customHeight="1" thickBot="1" x14ac:dyDescent="0.25">
      <c r="A31" s="390" t="s">
        <v>229</v>
      </c>
      <c r="B31" s="368">
        <v>0</v>
      </c>
      <c r="C31" s="368">
        <v>0</v>
      </c>
      <c r="D31" s="369">
        <v>0</v>
      </c>
      <c r="E31" s="370">
        <v>1</v>
      </c>
      <c r="F31" s="368">
        <v>0.27028123294900003</v>
      </c>
      <c r="G31" s="369">
        <v>0.18018748863199999</v>
      </c>
      <c r="H31" s="371">
        <v>0</v>
      </c>
      <c r="I31" s="368">
        <v>0</v>
      </c>
      <c r="J31" s="369">
        <v>-0.18018748863199999</v>
      </c>
      <c r="K31" s="372">
        <v>0</v>
      </c>
    </row>
    <row r="32" spans="1:11" ht="14.45" customHeight="1" thickBot="1" x14ac:dyDescent="0.25">
      <c r="A32" s="390" t="s">
        <v>230</v>
      </c>
      <c r="B32" s="368">
        <v>0</v>
      </c>
      <c r="C32" s="368">
        <v>0</v>
      </c>
      <c r="D32" s="369">
        <v>0</v>
      </c>
      <c r="E32" s="370">
        <v>1</v>
      </c>
      <c r="F32" s="368">
        <v>0.11939849360099999</v>
      </c>
      <c r="G32" s="369">
        <v>7.9598995734000005E-2</v>
      </c>
      <c r="H32" s="371">
        <v>0</v>
      </c>
      <c r="I32" s="368">
        <v>0</v>
      </c>
      <c r="J32" s="369">
        <v>-7.9598995734000005E-2</v>
      </c>
      <c r="K32" s="372">
        <v>0</v>
      </c>
    </row>
    <row r="33" spans="1:11" ht="14.45" customHeight="1" thickBot="1" x14ac:dyDescent="0.25">
      <c r="A33" s="390" t="s">
        <v>231</v>
      </c>
      <c r="B33" s="368">
        <v>0</v>
      </c>
      <c r="C33" s="368">
        <v>0</v>
      </c>
      <c r="D33" s="369">
        <v>0</v>
      </c>
      <c r="E33" s="370">
        <v>1</v>
      </c>
      <c r="F33" s="368">
        <v>3.8723835762000003E-2</v>
      </c>
      <c r="G33" s="369">
        <v>2.5815890508000001E-2</v>
      </c>
      <c r="H33" s="371">
        <v>0</v>
      </c>
      <c r="I33" s="368">
        <v>0</v>
      </c>
      <c r="J33" s="369">
        <v>-2.5815890508000001E-2</v>
      </c>
      <c r="K33" s="372">
        <v>0</v>
      </c>
    </row>
    <row r="34" spans="1:11" ht="14.45" customHeight="1" thickBot="1" x14ac:dyDescent="0.25">
      <c r="A34" s="388" t="s">
        <v>29</v>
      </c>
      <c r="B34" s="368">
        <v>6.8421853758960003</v>
      </c>
      <c r="C34" s="368">
        <v>8.1534300000000002</v>
      </c>
      <c r="D34" s="369">
        <v>1.311244624103</v>
      </c>
      <c r="E34" s="370">
        <v>1.1916412011749999</v>
      </c>
      <c r="F34" s="368">
        <v>8.1137781164489997</v>
      </c>
      <c r="G34" s="369">
        <v>5.4091854109659998</v>
      </c>
      <c r="H34" s="371">
        <v>0</v>
      </c>
      <c r="I34" s="368">
        <v>10.756169999999999</v>
      </c>
      <c r="J34" s="369">
        <v>5.3469845890330001</v>
      </c>
      <c r="K34" s="372">
        <v>1.325667259521</v>
      </c>
    </row>
    <row r="35" spans="1:11" ht="14.45" customHeight="1" thickBot="1" x14ac:dyDescent="0.25">
      <c r="A35" s="389" t="s">
        <v>232</v>
      </c>
      <c r="B35" s="373">
        <v>6.8421853758960003</v>
      </c>
      <c r="C35" s="373">
        <v>8.1534300000000002</v>
      </c>
      <c r="D35" s="374">
        <v>1.311244624103</v>
      </c>
      <c r="E35" s="380">
        <v>1.1916412011749999</v>
      </c>
      <c r="F35" s="373">
        <v>8.1137781164489997</v>
      </c>
      <c r="G35" s="374">
        <v>5.4091854109659998</v>
      </c>
      <c r="H35" s="376">
        <v>0</v>
      </c>
      <c r="I35" s="373">
        <v>10.756169999999999</v>
      </c>
      <c r="J35" s="374">
        <v>5.3469845890330001</v>
      </c>
      <c r="K35" s="381">
        <v>1.325667259521</v>
      </c>
    </row>
    <row r="36" spans="1:11" ht="14.45" customHeight="1" thickBot="1" x14ac:dyDescent="0.25">
      <c r="A36" s="390" t="s">
        <v>233</v>
      </c>
      <c r="B36" s="368">
        <v>6.8421853758960003</v>
      </c>
      <c r="C36" s="368">
        <v>8.1534300000000002</v>
      </c>
      <c r="D36" s="369">
        <v>1.311244624103</v>
      </c>
      <c r="E36" s="370">
        <v>1.1916412011749999</v>
      </c>
      <c r="F36" s="368">
        <v>8.1137781164489997</v>
      </c>
      <c r="G36" s="369">
        <v>5.4091854109659998</v>
      </c>
      <c r="H36" s="371">
        <v>0</v>
      </c>
      <c r="I36" s="368">
        <v>10.756169999999999</v>
      </c>
      <c r="J36" s="369">
        <v>5.3469845890330001</v>
      </c>
      <c r="K36" s="372">
        <v>1.325667259521</v>
      </c>
    </row>
    <row r="37" spans="1:11" ht="14.45" customHeight="1" thickBot="1" x14ac:dyDescent="0.25">
      <c r="A37" s="387" t="s">
        <v>234</v>
      </c>
      <c r="B37" s="368">
        <v>0</v>
      </c>
      <c r="C37" s="368">
        <v>12.004</v>
      </c>
      <c r="D37" s="369">
        <v>12.004</v>
      </c>
      <c r="E37" s="378" t="s">
        <v>228</v>
      </c>
      <c r="F37" s="368">
        <v>29.999999999999002</v>
      </c>
      <c r="G37" s="369">
        <v>19.999999999999002</v>
      </c>
      <c r="H37" s="371">
        <v>2.5329999999999999</v>
      </c>
      <c r="I37" s="368">
        <v>20.263999999999999</v>
      </c>
      <c r="J37" s="369">
        <v>0.26400000000000001</v>
      </c>
      <c r="K37" s="372">
        <v>0.67546666666599997</v>
      </c>
    </row>
    <row r="38" spans="1:11" ht="14.45" customHeight="1" thickBot="1" x14ac:dyDescent="0.25">
      <c r="A38" s="388" t="s">
        <v>235</v>
      </c>
      <c r="B38" s="368">
        <v>0</v>
      </c>
      <c r="C38" s="368">
        <v>12.004</v>
      </c>
      <c r="D38" s="369">
        <v>12.004</v>
      </c>
      <c r="E38" s="378" t="s">
        <v>228</v>
      </c>
      <c r="F38" s="368">
        <v>29.999999999999002</v>
      </c>
      <c r="G38" s="369">
        <v>19.999999999999002</v>
      </c>
      <c r="H38" s="371">
        <v>2.5329999999999999</v>
      </c>
      <c r="I38" s="368">
        <v>20.263999999999999</v>
      </c>
      <c r="J38" s="369">
        <v>0.26400000000000001</v>
      </c>
      <c r="K38" s="372">
        <v>0.67546666666599997</v>
      </c>
    </row>
    <row r="39" spans="1:11" ht="14.45" customHeight="1" thickBot="1" x14ac:dyDescent="0.25">
      <c r="A39" s="389" t="s">
        <v>236</v>
      </c>
      <c r="B39" s="373">
        <v>0</v>
      </c>
      <c r="C39" s="373">
        <v>12.004</v>
      </c>
      <c r="D39" s="374">
        <v>12.004</v>
      </c>
      <c r="E39" s="375" t="s">
        <v>228</v>
      </c>
      <c r="F39" s="373">
        <v>29.999999999999002</v>
      </c>
      <c r="G39" s="374">
        <v>19.999999999999002</v>
      </c>
      <c r="H39" s="376">
        <v>2.5329999999999999</v>
      </c>
      <c r="I39" s="373">
        <v>20.263999999999999</v>
      </c>
      <c r="J39" s="374">
        <v>0.26400000000000001</v>
      </c>
      <c r="K39" s="381">
        <v>0.67546666666599997</v>
      </c>
    </row>
    <row r="40" spans="1:11" ht="14.45" customHeight="1" thickBot="1" x14ac:dyDescent="0.25">
      <c r="A40" s="390" t="s">
        <v>237</v>
      </c>
      <c r="B40" s="368">
        <v>0</v>
      </c>
      <c r="C40" s="368">
        <v>12.004</v>
      </c>
      <c r="D40" s="369">
        <v>12.004</v>
      </c>
      <c r="E40" s="378" t="s">
        <v>228</v>
      </c>
      <c r="F40" s="368">
        <v>29.999999999999002</v>
      </c>
      <c r="G40" s="369">
        <v>19.999999999999002</v>
      </c>
      <c r="H40" s="371">
        <v>2.5329999999999999</v>
      </c>
      <c r="I40" s="368">
        <v>20.263999999999999</v>
      </c>
      <c r="J40" s="369">
        <v>0.26400000000000001</v>
      </c>
      <c r="K40" s="372">
        <v>0.67546666666599997</v>
      </c>
    </row>
    <row r="41" spans="1:11" ht="14.45" customHeight="1" thickBot="1" x14ac:dyDescent="0.25">
      <c r="A41" s="386" t="s">
        <v>238</v>
      </c>
      <c r="B41" s="368">
        <v>3545.7018054293799</v>
      </c>
      <c r="C41" s="368">
        <v>3071.5300099999999</v>
      </c>
      <c r="D41" s="369">
        <v>-474.17179542937799</v>
      </c>
      <c r="E41" s="370">
        <v>0.86626856361600002</v>
      </c>
      <c r="F41" s="368">
        <v>1549.3443155759901</v>
      </c>
      <c r="G41" s="369">
        <v>1032.8962103839899</v>
      </c>
      <c r="H41" s="371">
        <v>463.15814</v>
      </c>
      <c r="I41" s="368">
        <v>3289.1906300000001</v>
      </c>
      <c r="J41" s="369">
        <v>2256.2944196160101</v>
      </c>
      <c r="K41" s="372">
        <v>2.1229565287279999</v>
      </c>
    </row>
    <row r="42" spans="1:11" ht="14.45" customHeight="1" thickBot="1" x14ac:dyDescent="0.25">
      <c r="A42" s="387" t="s">
        <v>239</v>
      </c>
      <c r="B42" s="368">
        <v>3545.7018054293799</v>
      </c>
      <c r="C42" s="368">
        <v>3071.5300099999999</v>
      </c>
      <c r="D42" s="369">
        <v>-474.17179542937799</v>
      </c>
      <c r="E42" s="370">
        <v>0.86626856361600002</v>
      </c>
      <c r="F42" s="368">
        <v>1549.3443155759901</v>
      </c>
      <c r="G42" s="369">
        <v>1032.8962103839899</v>
      </c>
      <c r="H42" s="371">
        <v>463.15814</v>
      </c>
      <c r="I42" s="368">
        <v>3289.1906300000001</v>
      </c>
      <c r="J42" s="369">
        <v>2256.2944196160101</v>
      </c>
      <c r="K42" s="372">
        <v>2.1229565287279999</v>
      </c>
    </row>
    <row r="43" spans="1:11" ht="14.45" customHeight="1" thickBot="1" x14ac:dyDescent="0.25">
      <c r="A43" s="388" t="s">
        <v>240</v>
      </c>
      <c r="B43" s="368">
        <v>3545.7018054293799</v>
      </c>
      <c r="C43" s="368">
        <v>3071.5300099999999</v>
      </c>
      <c r="D43" s="369">
        <v>-474.17179542937799</v>
      </c>
      <c r="E43" s="370">
        <v>0.86626856361600002</v>
      </c>
      <c r="F43" s="368">
        <v>1549.3443155759901</v>
      </c>
      <c r="G43" s="369">
        <v>1032.8962103839899</v>
      </c>
      <c r="H43" s="371">
        <v>463.15814</v>
      </c>
      <c r="I43" s="368">
        <v>3289.1906300000001</v>
      </c>
      <c r="J43" s="369">
        <v>2256.2944196160101</v>
      </c>
      <c r="K43" s="372">
        <v>2.1229565287279999</v>
      </c>
    </row>
    <row r="44" spans="1:11" ht="14.45" customHeight="1" thickBot="1" x14ac:dyDescent="0.25">
      <c r="A44" s="389" t="s">
        <v>241</v>
      </c>
      <c r="B44" s="373">
        <v>353.55330439387399</v>
      </c>
      <c r="C44" s="373">
        <v>69.242289999999997</v>
      </c>
      <c r="D44" s="374">
        <v>-284.31101439387402</v>
      </c>
      <c r="E44" s="380">
        <v>0.195846818964</v>
      </c>
      <c r="F44" s="373">
        <v>0</v>
      </c>
      <c r="G44" s="374">
        <v>0</v>
      </c>
      <c r="H44" s="376">
        <v>0</v>
      </c>
      <c r="I44" s="373">
        <v>0</v>
      </c>
      <c r="J44" s="374">
        <v>0</v>
      </c>
      <c r="K44" s="377" t="s">
        <v>203</v>
      </c>
    </row>
    <row r="45" spans="1:11" ht="14.45" customHeight="1" thickBot="1" x14ac:dyDescent="0.25">
      <c r="A45" s="390" t="s">
        <v>242</v>
      </c>
      <c r="B45" s="368">
        <v>353.55330439387399</v>
      </c>
      <c r="C45" s="368">
        <v>69.241439999999997</v>
      </c>
      <c r="D45" s="369">
        <v>-284.31186439387398</v>
      </c>
      <c r="E45" s="370">
        <v>0.19584441480100001</v>
      </c>
      <c r="F45" s="368">
        <v>0</v>
      </c>
      <c r="G45" s="369">
        <v>0</v>
      </c>
      <c r="H45" s="371">
        <v>0</v>
      </c>
      <c r="I45" s="368">
        <v>0</v>
      </c>
      <c r="J45" s="369">
        <v>0</v>
      </c>
      <c r="K45" s="379" t="s">
        <v>203</v>
      </c>
    </row>
    <row r="46" spans="1:11" ht="14.45" customHeight="1" thickBot="1" x14ac:dyDescent="0.25">
      <c r="A46" s="390" t="s">
        <v>243</v>
      </c>
      <c r="B46" s="368">
        <v>0</v>
      </c>
      <c r="C46" s="368">
        <v>8.4999999899999996E-4</v>
      </c>
      <c r="D46" s="369">
        <v>8.4999999899999996E-4</v>
      </c>
      <c r="E46" s="378" t="s">
        <v>228</v>
      </c>
      <c r="F46" s="368">
        <v>0</v>
      </c>
      <c r="G46" s="369">
        <v>0</v>
      </c>
      <c r="H46" s="371">
        <v>0</v>
      </c>
      <c r="I46" s="368">
        <v>0</v>
      </c>
      <c r="J46" s="369">
        <v>0</v>
      </c>
      <c r="K46" s="379" t="s">
        <v>203</v>
      </c>
    </row>
    <row r="47" spans="1:11" ht="14.45" customHeight="1" thickBot="1" x14ac:dyDescent="0.25">
      <c r="A47" s="392" t="s">
        <v>244</v>
      </c>
      <c r="B47" s="368">
        <v>7.9451440637999998E-2</v>
      </c>
      <c r="C47" s="368">
        <v>24.467300000000002</v>
      </c>
      <c r="D47" s="369">
        <v>24.387848559361</v>
      </c>
      <c r="E47" s="370">
        <v>307.95288044231302</v>
      </c>
      <c r="F47" s="368">
        <v>49.871840534789001</v>
      </c>
      <c r="G47" s="369">
        <v>33.247893689858998</v>
      </c>
      <c r="H47" s="371">
        <v>0</v>
      </c>
      <c r="I47" s="368">
        <v>15.2095</v>
      </c>
      <c r="J47" s="369">
        <v>-18.038393689858999</v>
      </c>
      <c r="K47" s="372">
        <v>0.30497170019999997</v>
      </c>
    </row>
    <row r="48" spans="1:11" ht="14.45" customHeight="1" thickBot="1" x14ac:dyDescent="0.25">
      <c r="A48" s="390" t="s">
        <v>245</v>
      </c>
      <c r="B48" s="368">
        <v>0</v>
      </c>
      <c r="C48" s="368">
        <v>0</v>
      </c>
      <c r="D48" s="369">
        <v>0</v>
      </c>
      <c r="E48" s="370">
        <v>1</v>
      </c>
      <c r="F48" s="368">
        <v>49.871840534789001</v>
      </c>
      <c r="G48" s="369">
        <v>33.247893689858998</v>
      </c>
      <c r="H48" s="371">
        <v>0</v>
      </c>
      <c r="I48" s="368">
        <v>15.2095</v>
      </c>
      <c r="J48" s="369">
        <v>-18.038393689858999</v>
      </c>
      <c r="K48" s="372">
        <v>0.30497170019999997</v>
      </c>
    </row>
    <row r="49" spans="1:11" ht="14.45" customHeight="1" thickBot="1" x14ac:dyDescent="0.25">
      <c r="A49" s="390" t="s">
        <v>246</v>
      </c>
      <c r="B49" s="368">
        <v>7.9451440637999998E-2</v>
      </c>
      <c r="C49" s="368">
        <v>24.467300000000002</v>
      </c>
      <c r="D49" s="369">
        <v>24.387848559361</v>
      </c>
      <c r="E49" s="370">
        <v>307.95288044231302</v>
      </c>
      <c r="F49" s="368">
        <v>0</v>
      </c>
      <c r="G49" s="369">
        <v>0</v>
      </c>
      <c r="H49" s="371">
        <v>0</v>
      </c>
      <c r="I49" s="368">
        <v>0</v>
      </c>
      <c r="J49" s="369">
        <v>0</v>
      </c>
      <c r="K49" s="379" t="s">
        <v>203</v>
      </c>
    </row>
    <row r="50" spans="1:11" ht="14.45" customHeight="1" thickBot="1" x14ac:dyDescent="0.25">
      <c r="A50" s="389" t="s">
        <v>247</v>
      </c>
      <c r="B50" s="373">
        <v>3192.0690495948602</v>
      </c>
      <c r="C50" s="373">
        <v>2863.4964399999999</v>
      </c>
      <c r="D50" s="374">
        <v>-328.57260959486399</v>
      </c>
      <c r="E50" s="380">
        <v>0.89706594547600005</v>
      </c>
      <c r="F50" s="373">
        <v>1499.4724750411999</v>
      </c>
      <c r="G50" s="374">
        <v>999.64831669413195</v>
      </c>
      <c r="H50" s="376">
        <v>463.06002999999998</v>
      </c>
      <c r="I50" s="373">
        <v>3247.5614300000002</v>
      </c>
      <c r="J50" s="374">
        <v>2247.91311330587</v>
      </c>
      <c r="K50" s="381">
        <v>2.1658026299620001</v>
      </c>
    </row>
    <row r="51" spans="1:11" ht="14.45" customHeight="1" thickBot="1" x14ac:dyDescent="0.25">
      <c r="A51" s="390" t="s">
        <v>248</v>
      </c>
      <c r="B51" s="368">
        <v>1876.53588074668</v>
      </c>
      <c r="C51" s="368">
        <v>1814.6880000000001</v>
      </c>
      <c r="D51" s="369">
        <v>-61.847880746681</v>
      </c>
      <c r="E51" s="370">
        <v>0.96704146114</v>
      </c>
      <c r="F51" s="368">
        <v>0</v>
      </c>
      <c r="G51" s="369">
        <v>0</v>
      </c>
      <c r="H51" s="371">
        <v>0</v>
      </c>
      <c r="I51" s="368">
        <v>0</v>
      </c>
      <c r="J51" s="369">
        <v>0</v>
      </c>
      <c r="K51" s="379" t="s">
        <v>203</v>
      </c>
    </row>
    <row r="52" spans="1:11" ht="14.45" customHeight="1" thickBot="1" x14ac:dyDescent="0.25">
      <c r="A52" s="390" t="s">
        <v>249</v>
      </c>
      <c r="B52" s="368">
        <v>1315.5331688481799</v>
      </c>
      <c r="C52" s="368">
        <v>1048.80844</v>
      </c>
      <c r="D52" s="369">
        <v>-266.72472884818302</v>
      </c>
      <c r="E52" s="370">
        <v>0.79724971200700001</v>
      </c>
      <c r="F52" s="368">
        <v>1499.4724750411999</v>
      </c>
      <c r="G52" s="369">
        <v>999.64831669413195</v>
      </c>
      <c r="H52" s="371">
        <v>463.06002999999998</v>
      </c>
      <c r="I52" s="368">
        <v>3247.5614300000002</v>
      </c>
      <c r="J52" s="369">
        <v>2247.91311330587</v>
      </c>
      <c r="K52" s="372">
        <v>2.1658026299620001</v>
      </c>
    </row>
    <row r="53" spans="1:11" ht="14.45" customHeight="1" thickBot="1" x14ac:dyDescent="0.25">
      <c r="A53" s="389" t="s">
        <v>250</v>
      </c>
      <c r="B53" s="373">
        <v>0</v>
      </c>
      <c r="C53" s="373">
        <v>114.32398000000001</v>
      </c>
      <c r="D53" s="374">
        <v>114.32398000000001</v>
      </c>
      <c r="E53" s="375" t="s">
        <v>203</v>
      </c>
      <c r="F53" s="373">
        <v>0</v>
      </c>
      <c r="G53" s="374">
        <v>0</v>
      </c>
      <c r="H53" s="376">
        <v>9.8109999998999997E-2</v>
      </c>
      <c r="I53" s="373">
        <v>26.419699999999001</v>
      </c>
      <c r="J53" s="374">
        <v>26.419699999999001</v>
      </c>
      <c r="K53" s="377" t="s">
        <v>203</v>
      </c>
    </row>
    <row r="54" spans="1:11" ht="14.45" customHeight="1" thickBot="1" x14ac:dyDescent="0.25">
      <c r="A54" s="390" t="s">
        <v>251</v>
      </c>
      <c r="B54" s="368">
        <v>0</v>
      </c>
      <c r="C54" s="368">
        <v>47.887050000000002</v>
      </c>
      <c r="D54" s="369">
        <v>47.887050000000002</v>
      </c>
      <c r="E54" s="378" t="s">
        <v>203</v>
      </c>
      <c r="F54" s="368">
        <v>0</v>
      </c>
      <c r="G54" s="369">
        <v>0</v>
      </c>
      <c r="H54" s="371">
        <v>0</v>
      </c>
      <c r="I54" s="368">
        <v>0</v>
      </c>
      <c r="J54" s="369">
        <v>0</v>
      </c>
      <c r="K54" s="379" t="s">
        <v>203</v>
      </c>
    </row>
    <row r="55" spans="1:11" ht="14.45" customHeight="1" thickBot="1" x14ac:dyDescent="0.25">
      <c r="A55" s="390" t="s">
        <v>252</v>
      </c>
      <c r="B55" s="368">
        <v>0</v>
      </c>
      <c r="C55" s="368">
        <v>66.436930000000004</v>
      </c>
      <c r="D55" s="369">
        <v>66.436930000000004</v>
      </c>
      <c r="E55" s="378" t="s">
        <v>203</v>
      </c>
      <c r="F55" s="368">
        <v>0</v>
      </c>
      <c r="G55" s="369">
        <v>0</v>
      </c>
      <c r="H55" s="371">
        <v>9.8109999998999997E-2</v>
      </c>
      <c r="I55" s="368">
        <v>26.419699999999001</v>
      </c>
      <c r="J55" s="369">
        <v>26.419699999999001</v>
      </c>
      <c r="K55" s="379" t="s">
        <v>203</v>
      </c>
    </row>
    <row r="56" spans="1:11" ht="14.45" customHeight="1" thickBot="1" x14ac:dyDescent="0.25">
      <c r="A56" s="386" t="s">
        <v>253</v>
      </c>
      <c r="B56" s="368">
        <v>0</v>
      </c>
      <c r="C56" s="368">
        <v>0.11092</v>
      </c>
      <c r="D56" s="369">
        <v>0.11092</v>
      </c>
      <c r="E56" s="378" t="s">
        <v>203</v>
      </c>
      <c r="F56" s="368">
        <v>0</v>
      </c>
      <c r="G56" s="369">
        <v>0</v>
      </c>
      <c r="H56" s="371">
        <v>0</v>
      </c>
      <c r="I56" s="368">
        <v>0</v>
      </c>
      <c r="J56" s="369">
        <v>0</v>
      </c>
      <c r="K56" s="372">
        <v>0</v>
      </c>
    </row>
    <row r="57" spans="1:11" ht="14.45" customHeight="1" thickBot="1" x14ac:dyDescent="0.25">
      <c r="A57" s="391" t="s">
        <v>254</v>
      </c>
      <c r="B57" s="373">
        <v>0</v>
      </c>
      <c r="C57" s="373">
        <v>0.11092</v>
      </c>
      <c r="D57" s="374">
        <v>0.11092</v>
      </c>
      <c r="E57" s="375" t="s">
        <v>203</v>
      </c>
      <c r="F57" s="373">
        <v>0</v>
      </c>
      <c r="G57" s="374">
        <v>0</v>
      </c>
      <c r="H57" s="376">
        <v>0</v>
      </c>
      <c r="I57" s="373">
        <v>0</v>
      </c>
      <c r="J57" s="374">
        <v>0</v>
      </c>
      <c r="K57" s="381">
        <v>0</v>
      </c>
    </row>
    <row r="58" spans="1:11" ht="14.45" customHeight="1" thickBot="1" x14ac:dyDescent="0.25">
      <c r="A58" s="393" t="s">
        <v>255</v>
      </c>
      <c r="B58" s="373">
        <v>0</v>
      </c>
      <c r="C58" s="373">
        <v>0.11092</v>
      </c>
      <c r="D58" s="374">
        <v>0.11092</v>
      </c>
      <c r="E58" s="375" t="s">
        <v>203</v>
      </c>
      <c r="F58" s="373">
        <v>0</v>
      </c>
      <c r="G58" s="374">
        <v>0</v>
      </c>
      <c r="H58" s="376">
        <v>0</v>
      </c>
      <c r="I58" s="373">
        <v>0</v>
      </c>
      <c r="J58" s="374">
        <v>0</v>
      </c>
      <c r="K58" s="381">
        <v>0</v>
      </c>
    </row>
    <row r="59" spans="1:11" ht="14.45" customHeight="1" thickBot="1" x14ac:dyDescent="0.25">
      <c r="A59" s="389" t="s">
        <v>256</v>
      </c>
      <c r="B59" s="373">
        <v>0</v>
      </c>
      <c r="C59" s="373">
        <v>0.11092</v>
      </c>
      <c r="D59" s="374">
        <v>0.11092</v>
      </c>
      <c r="E59" s="375" t="s">
        <v>228</v>
      </c>
      <c r="F59" s="373">
        <v>0</v>
      </c>
      <c r="G59" s="374">
        <v>0</v>
      </c>
      <c r="H59" s="376">
        <v>0</v>
      </c>
      <c r="I59" s="373">
        <v>0</v>
      </c>
      <c r="J59" s="374">
        <v>0</v>
      </c>
      <c r="K59" s="381">
        <v>0</v>
      </c>
    </row>
    <row r="60" spans="1:11" ht="14.45" customHeight="1" thickBot="1" x14ac:dyDescent="0.25">
      <c r="A60" s="390" t="s">
        <v>257</v>
      </c>
      <c r="B60" s="368">
        <v>0</v>
      </c>
      <c r="C60" s="368">
        <v>0.11092</v>
      </c>
      <c r="D60" s="369">
        <v>0.11092</v>
      </c>
      <c r="E60" s="378" t="s">
        <v>228</v>
      </c>
      <c r="F60" s="368">
        <v>0</v>
      </c>
      <c r="G60" s="369">
        <v>0</v>
      </c>
      <c r="H60" s="371">
        <v>0</v>
      </c>
      <c r="I60" s="368">
        <v>0</v>
      </c>
      <c r="J60" s="369">
        <v>0</v>
      </c>
      <c r="K60" s="372">
        <v>0</v>
      </c>
    </row>
    <row r="61" spans="1:11" ht="14.45" customHeight="1" thickBot="1" x14ac:dyDescent="0.25">
      <c r="A61" s="394"/>
      <c r="B61" s="368">
        <v>2316.99975888374</v>
      </c>
      <c r="C61" s="368">
        <v>1765.7208900000001</v>
      </c>
      <c r="D61" s="369">
        <v>-551.27886888373996</v>
      </c>
      <c r="E61" s="370">
        <v>0.76207210778900003</v>
      </c>
      <c r="F61" s="368">
        <v>-65.047503058952003</v>
      </c>
      <c r="G61" s="369">
        <v>-43.365002039300997</v>
      </c>
      <c r="H61" s="371">
        <v>342.49828000000002</v>
      </c>
      <c r="I61" s="368">
        <v>2305.7527399999999</v>
      </c>
      <c r="J61" s="369">
        <v>2349.1177420393001</v>
      </c>
      <c r="K61" s="372">
        <v>-35.447213675676998</v>
      </c>
    </row>
    <row r="62" spans="1:11" ht="14.45" customHeight="1" thickBot="1" x14ac:dyDescent="0.25">
      <c r="A62" s="395" t="s">
        <v>48</v>
      </c>
      <c r="B62" s="382">
        <v>2316.99975888374</v>
      </c>
      <c r="C62" s="382">
        <v>1765.7208900000001</v>
      </c>
      <c r="D62" s="383">
        <v>-551.27886888373996</v>
      </c>
      <c r="E62" s="384" t="s">
        <v>203</v>
      </c>
      <c r="F62" s="382">
        <v>-65.047503058952003</v>
      </c>
      <c r="G62" s="383">
        <v>-43.365002039300997</v>
      </c>
      <c r="H62" s="382">
        <v>342.49828000000002</v>
      </c>
      <c r="I62" s="382">
        <v>2305.7527399999999</v>
      </c>
      <c r="J62" s="383">
        <v>2349.1177420393001</v>
      </c>
      <c r="K62" s="385">
        <v>-35.447213675676998</v>
      </c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 xr:uid="{81DF1827-415B-4691-ADDD-1AEC75CDA323}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51">
    <tabColor theme="3" tint="0.39997558519241921"/>
    <pageSetUpPr fitToPage="1"/>
  </sheetPr>
  <dimension ref="A1:J26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181" customWidth="1"/>
    <col min="2" max="2" width="61.140625" style="181" customWidth="1"/>
    <col min="3" max="3" width="9.5703125" style="104" hidden="1" customWidth="1" outlineLevel="1"/>
    <col min="4" max="4" width="9.5703125" style="182" customWidth="1" collapsed="1"/>
    <col min="5" max="5" width="2.28515625" style="182" customWidth="1"/>
    <col min="6" max="6" width="9.5703125" style="183" customWidth="1"/>
    <col min="7" max="7" width="9.5703125" style="180" customWidth="1"/>
    <col min="8" max="9" width="9.5703125" style="104" customWidth="1"/>
    <col min="10" max="10" width="0" style="104" hidden="1" customWidth="1"/>
    <col min="11" max="16384" width="8.85546875" style="104"/>
  </cols>
  <sheetData>
    <row r="1" spans="1:10" ht="18.600000000000001" customHeight="1" thickBot="1" x14ac:dyDescent="0.35">
      <c r="A1" s="302" t="s">
        <v>108</v>
      </c>
      <c r="B1" s="303"/>
      <c r="C1" s="303"/>
      <c r="D1" s="303"/>
      <c r="E1" s="303"/>
      <c r="F1" s="303"/>
      <c r="G1" s="273"/>
      <c r="H1" s="304"/>
      <c r="I1" s="304"/>
    </row>
    <row r="2" spans="1:10" ht="14.45" customHeight="1" thickBot="1" x14ac:dyDescent="0.25">
      <c r="A2" s="199" t="s">
        <v>202</v>
      </c>
      <c r="B2" s="179"/>
      <c r="C2" s="179"/>
      <c r="D2" s="179"/>
      <c r="E2" s="179"/>
      <c r="F2" s="179"/>
    </row>
    <row r="3" spans="1:10" ht="14.45" customHeight="1" thickBot="1" x14ac:dyDescent="0.25">
      <c r="A3" s="199"/>
      <c r="B3" s="226"/>
      <c r="C3" s="205">
        <v>2015</v>
      </c>
      <c r="D3" s="206">
        <v>2018</v>
      </c>
      <c r="E3" s="7"/>
      <c r="F3" s="281">
        <v>2019</v>
      </c>
      <c r="G3" s="299"/>
      <c r="H3" s="299"/>
      <c r="I3" s="282"/>
    </row>
    <row r="4" spans="1:10" ht="14.45" customHeight="1" thickBot="1" x14ac:dyDescent="0.25">
      <c r="A4" s="210" t="s">
        <v>0</v>
      </c>
      <c r="B4" s="211" t="s">
        <v>139</v>
      </c>
      <c r="C4" s="300" t="s">
        <v>54</v>
      </c>
      <c r="D4" s="301"/>
      <c r="E4" s="212"/>
      <c r="F4" s="207" t="s">
        <v>54</v>
      </c>
      <c r="G4" s="208" t="s">
        <v>55</v>
      </c>
      <c r="H4" s="208" t="s">
        <v>49</v>
      </c>
      <c r="I4" s="209" t="s">
        <v>56</v>
      </c>
    </row>
    <row r="5" spans="1:10" ht="14.45" customHeight="1" x14ac:dyDescent="0.2">
      <c r="A5" s="396" t="s">
        <v>258</v>
      </c>
      <c r="B5" s="397" t="s">
        <v>259</v>
      </c>
      <c r="C5" s="398" t="s">
        <v>260</v>
      </c>
      <c r="D5" s="398" t="s">
        <v>260</v>
      </c>
      <c r="E5" s="398"/>
      <c r="F5" s="398" t="s">
        <v>260</v>
      </c>
      <c r="G5" s="398" t="s">
        <v>260</v>
      </c>
      <c r="H5" s="398" t="s">
        <v>260</v>
      </c>
      <c r="I5" s="399" t="s">
        <v>260</v>
      </c>
      <c r="J5" s="400" t="s">
        <v>50</v>
      </c>
    </row>
    <row r="6" spans="1:10" ht="14.45" customHeight="1" x14ac:dyDescent="0.2">
      <c r="A6" s="396" t="s">
        <v>258</v>
      </c>
      <c r="B6" s="397" t="s">
        <v>261</v>
      </c>
      <c r="C6" s="398">
        <v>63.01932</v>
      </c>
      <c r="D6" s="398">
        <v>98.341130000000007</v>
      </c>
      <c r="E6" s="398"/>
      <c r="F6" s="398">
        <v>120.45109000000005</v>
      </c>
      <c r="G6" s="398">
        <v>126.7807109375</v>
      </c>
      <c r="H6" s="398">
        <v>-6.3296209374999535</v>
      </c>
      <c r="I6" s="399">
        <v>0.95007425900442921</v>
      </c>
      <c r="J6" s="400" t="s">
        <v>1</v>
      </c>
    </row>
    <row r="7" spans="1:10" ht="14.45" customHeight="1" x14ac:dyDescent="0.2">
      <c r="A7" s="396" t="s">
        <v>258</v>
      </c>
      <c r="B7" s="397" t="s">
        <v>262</v>
      </c>
      <c r="C7" s="398">
        <v>342.85834000000017</v>
      </c>
      <c r="D7" s="398">
        <v>296.74465999999995</v>
      </c>
      <c r="E7" s="398"/>
      <c r="F7" s="398">
        <v>415.29321000000033</v>
      </c>
      <c r="G7" s="398">
        <v>404.21296875000002</v>
      </c>
      <c r="H7" s="398">
        <v>11.080241250000313</v>
      </c>
      <c r="I7" s="399">
        <v>1.0274118895399749</v>
      </c>
      <c r="J7" s="400" t="s">
        <v>1</v>
      </c>
    </row>
    <row r="8" spans="1:10" ht="14.45" customHeight="1" x14ac:dyDescent="0.2">
      <c r="A8" s="396" t="s">
        <v>258</v>
      </c>
      <c r="B8" s="397" t="s">
        <v>263</v>
      </c>
      <c r="C8" s="398">
        <v>143.46583999999996</v>
      </c>
      <c r="D8" s="398">
        <v>217.10135</v>
      </c>
      <c r="E8" s="398"/>
      <c r="F8" s="398">
        <v>306.80547999999959</v>
      </c>
      <c r="G8" s="398">
        <v>360.04984374999998</v>
      </c>
      <c r="H8" s="398">
        <v>-53.244363750000389</v>
      </c>
      <c r="I8" s="399">
        <v>0.85211946436235497</v>
      </c>
      <c r="J8" s="400" t="s">
        <v>1</v>
      </c>
    </row>
    <row r="9" spans="1:10" ht="14.45" customHeight="1" x14ac:dyDescent="0.2">
      <c r="A9" s="396" t="s">
        <v>258</v>
      </c>
      <c r="B9" s="397" t="s">
        <v>264</v>
      </c>
      <c r="C9" s="398">
        <v>13.939170000000001</v>
      </c>
      <c r="D9" s="398">
        <v>19.484100000000002</v>
      </c>
      <c r="E9" s="398"/>
      <c r="F9" s="398">
        <v>21.003330000000002</v>
      </c>
      <c r="G9" s="398">
        <v>26.632716796874998</v>
      </c>
      <c r="H9" s="398">
        <v>-5.6293867968749964</v>
      </c>
      <c r="I9" s="399">
        <v>0.788628894310342</v>
      </c>
      <c r="J9" s="400" t="s">
        <v>1</v>
      </c>
    </row>
    <row r="10" spans="1:10" ht="14.45" customHeight="1" x14ac:dyDescent="0.2">
      <c r="A10" s="396" t="s">
        <v>258</v>
      </c>
      <c r="B10" s="397" t="s">
        <v>265</v>
      </c>
      <c r="C10" s="398">
        <v>21.365500000000004</v>
      </c>
      <c r="D10" s="398">
        <v>34.652589999999996</v>
      </c>
      <c r="E10" s="398"/>
      <c r="F10" s="398">
        <v>43.588999999999977</v>
      </c>
      <c r="G10" s="398">
        <v>60.035656250000002</v>
      </c>
      <c r="H10" s="398">
        <v>-16.446656250000025</v>
      </c>
      <c r="I10" s="399">
        <v>0.72605186188832538</v>
      </c>
      <c r="J10" s="400" t="s">
        <v>1</v>
      </c>
    </row>
    <row r="11" spans="1:10" ht="14.45" customHeight="1" x14ac:dyDescent="0.2">
      <c r="A11" s="396" t="s">
        <v>258</v>
      </c>
      <c r="B11" s="397" t="s">
        <v>266</v>
      </c>
      <c r="C11" s="398">
        <v>48.057279999999999</v>
      </c>
      <c r="D11" s="398">
        <v>13.88777</v>
      </c>
      <c r="E11" s="398"/>
      <c r="F11" s="398">
        <v>0</v>
      </c>
      <c r="G11" s="398">
        <v>20</v>
      </c>
      <c r="H11" s="398">
        <v>-20</v>
      </c>
      <c r="I11" s="399">
        <v>0</v>
      </c>
      <c r="J11" s="400" t="s">
        <v>1</v>
      </c>
    </row>
    <row r="12" spans="1:10" ht="14.45" customHeight="1" x14ac:dyDescent="0.2">
      <c r="A12" s="396" t="s">
        <v>258</v>
      </c>
      <c r="B12" s="397" t="s">
        <v>267</v>
      </c>
      <c r="C12" s="398">
        <v>0</v>
      </c>
      <c r="D12" s="398">
        <v>91.388379999999998</v>
      </c>
      <c r="E12" s="398"/>
      <c r="F12" s="398">
        <v>0</v>
      </c>
      <c r="G12" s="398">
        <v>0</v>
      </c>
      <c r="H12" s="398">
        <v>0</v>
      </c>
      <c r="I12" s="399" t="s">
        <v>260</v>
      </c>
      <c r="J12" s="400" t="s">
        <v>1</v>
      </c>
    </row>
    <row r="13" spans="1:10" ht="14.45" customHeight="1" x14ac:dyDescent="0.2">
      <c r="A13" s="396" t="s">
        <v>258</v>
      </c>
      <c r="B13" s="397" t="s">
        <v>268</v>
      </c>
      <c r="C13" s="398">
        <v>632.70545000000016</v>
      </c>
      <c r="D13" s="398">
        <v>771.59998000000007</v>
      </c>
      <c r="E13" s="398"/>
      <c r="F13" s="398">
        <v>907.14211</v>
      </c>
      <c r="G13" s="398">
        <v>997.71189648437496</v>
      </c>
      <c r="H13" s="398">
        <v>-90.569786484374958</v>
      </c>
      <c r="I13" s="399">
        <v>0.90922250521065795</v>
      </c>
      <c r="J13" s="400" t="s">
        <v>269</v>
      </c>
    </row>
    <row r="15" spans="1:10" ht="14.45" customHeight="1" x14ac:dyDescent="0.2">
      <c r="A15" s="396" t="s">
        <v>258</v>
      </c>
      <c r="B15" s="397" t="s">
        <v>259</v>
      </c>
      <c r="C15" s="398" t="s">
        <v>260</v>
      </c>
      <c r="D15" s="398" t="s">
        <v>260</v>
      </c>
      <c r="E15" s="398"/>
      <c r="F15" s="398" t="s">
        <v>260</v>
      </c>
      <c r="G15" s="398" t="s">
        <v>260</v>
      </c>
      <c r="H15" s="398" t="s">
        <v>260</v>
      </c>
      <c r="I15" s="399" t="s">
        <v>260</v>
      </c>
      <c r="J15" s="400" t="s">
        <v>50</v>
      </c>
    </row>
    <row r="16" spans="1:10" ht="14.45" customHeight="1" x14ac:dyDescent="0.2">
      <c r="A16" s="396" t="s">
        <v>270</v>
      </c>
      <c r="B16" s="397" t="s">
        <v>271</v>
      </c>
      <c r="C16" s="398" t="s">
        <v>260</v>
      </c>
      <c r="D16" s="398" t="s">
        <v>260</v>
      </c>
      <c r="E16" s="398"/>
      <c r="F16" s="398" t="s">
        <v>260</v>
      </c>
      <c r="G16" s="398" t="s">
        <v>260</v>
      </c>
      <c r="H16" s="398" t="s">
        <v>260</v>
      </c>
      <c r="I16" s="399" t="s">
        <v>260</v>
      </c>
      <c r="J16" s="400" t="s">
        <v>0</v>
      </c>
    </row>
    <row r="17" spans="1:10" ht="14.45" customHeight="1" x14ac:dyDescent="0.2">
      <c r="A17" s="396" t="s">
        <v>270</v>
      </c>
      <c r="B17" s="397" t="s">
        <v>261</v>
      </c>
      <c r="C17" s="398">
        <v>63.01932</v>
      </c>
      <c r="D17" s="398">
        <v>98.341130000000007</v>
      </c>
      <c r="E17" s="398"/>
      <c r="F17" s="398">
        <v>120.45109000000005</v>
      </c>
      <c r="G17" s="398">
        <v>127</v>
      </c>
      <c r="H17" s="398">
        <v>-6.5489099999999496</v>
      </c>
      <c r="I17" s="399">
        <v>0.94843377952755947</v>
      </c>
      <c r="J17" s="400" t="s">
        <v>1</v>
      </c>
    </row>
    <row r="18" spans="1:10" ht="14.45" customHeight="1" x14ac:dyDescent="0.2">
      <c r="A18" s="396" t="s">
        <v>270</v>
      </c>
      <c r="B18" s="397" t="s">
        <v>262</v>
      </c>
      <c r="C18" s="398">
        <v>342.85834000000017</v>
      </c>
      <c r="D18" s="398">
        <v>296.74465999999995</v>
      </c>
      <c r="E18" s="398"/>
      <c r="F18" s="398">
        <v>415.29321000000033</v>
      </c>
      <c r="G18" s="398">
        <v>404</v>
      </c>
      <c r="H18" s="398">
        <v>11.293210000000329</v>
      </c>
      <c r="I18" s="399">
        <v>1.0279534900990108</v>
      </c>
      <c r="J18" s="400" t="s">
        <v>1</v>
      </c>
    </row>
    <row r="19" spans="1:10" ht="14.45" customHeight="1" x14ac:dyDescent="0.2">
      <c r="A19" s="396" t="s">
        <v>270</v>
      </c>
      <c r="B19" s="397" t="s">
        <v>263</v>
      </c>
      <c r="C19" s="398">
        <v>143.46583999999996</v>
      </c>
      <c r="D19" s="398">
        <v>217.10135</v>
      </c>
      <c r="E19" s="398"/>
      <c r="F19" s="398">
        <v>306.80547999999959</v>
      </c>
      <c r="G19" s="398">
        <v>360</v>
      </c>
      <c r="H19" s="398">
        <v>-53.194520000000409</v>
      </c>
      <c r="I19" s="399">
        <v>0.85223744444444327</v>
      </c>
      <c r="J19" s="400" t="s">
        <v>1</v>
      </c>
    </row>
    <row r="20" spans="1:10" ht="14.45" customHeight="1" x14ac:dyDescent="0.2">
      <c r="A20" s="396" t="s">
        <v>270</v>
      </c>
      <c r="B20" s="397" t="s">
        <v>264</v>
      </c>
      <c r="C20" s="398">
        <v>13.939170000000001</v>
      </c>
      <c r="D20" s="398">
        <v>19.484100000000002</v>
      </c>
      <c r="E20" s="398"/>
      <c r="F20" s="398">
        <v>21.003330000000002</v>
      </c>
      <c r="G20" s="398">
        <v>27</v>
      </c>
      <c r="H20" s="398">
        <v>-5.9966699999999982</v>
      </c>
      <c r="I20" s="399">
        <v>0.77790111111111115</v>
      </c>
      <c r="J20" s="400" t="s">
        <v>1</v>
      </c>
    </row>
    <row r="21" spans="1:10" ht="14.45" customHeight="1" x14ac:dyDescent="0.2">
      <c r="A21" s="396" t="s">
        <v>270</v>
      </c>
      <c r="B21" s="397" t="s">
        <v>265</v>
      </c>
      <c r="C21" s="398">
        <v>21.365500000000004</v>
      </c>
      <c r="D21" s="398">
        <v>34.652589999999996</v>
      </c>
      <c r="E21" s="398"/>
      <c r="F21" s="398">
        <v>43.588999999999977</v>
      </c>
      <c r="G21" s="398">
        <v>60</v>
      </c>
      <c r="H21" s="398">
        <v>-16.411000000000023</v>
      </c>
      <c r="I21" s="399">
        <v>0.72648333333333293</v>
      </c>
      <c r="J21" s="400" t="s">
        <v>1</v>
      </c>
    </row>
    <row r="22" spans="1:10" ht="14.45" customHeight="1" x14ac:dyDescent="0.2">
      <c r="A22" s="396" t="s">
        <v>270</v>
      </c>
      <c r="B22" s="397" t="s">
        <v>266</v>
      </c>
      <c r="C22" s="398">
        <v>48.057279999999999</v>
      </c>
      <c r="D22" s="398">
        <v>13.88777</v>
      </c>
      <c r="E22" s="398"/>
      <c r="F22" s="398">
        <v>0</v>
      </c>
      <c r="G22" s="398">
        <v>20</v>
      </c>
      <c r="H22" s="398">
        <v>-20</v>
      </c>
      <c r="I22" s="399">
        <v>0</v>
      </c>
      <c r="J22" s="400" t="s">
        <v>1</v>
      </c>
    </row>
    <row r="23" spans="1:10" ht="14.45" customHeight="1" x14ac:dyDescent="0.2">
      <c r="A23" s="396" t="s">
        <v>270</v>
      </c>
      <c r="B23" s="397" t="s">
        <v>267</v>
      </c>
      <c r="C23" s="398">
        <v>0</v>
      </c>
      <c r="D23" s="398">
        <v>91.388379999999998</v>
      </c>
      <c r="E23" s="398"/>
      <c r="F23" s="398">
        <v>0</v>
      </c>
      <c r="G23" s="398">
        <v>0</v>
      </c>
      <c r="H23" s="398">
        <v>0</v>
      </c>
      <c r="I23" s="399" t="s">
        <v>260</v>
      </c>
      <c r="J23" s="400" t="s">
        <v>1</v>
      </c>
    </row>
    <row r="24" spans="1:10" ht="14.45" customHeight="1" x14ac:dyDescent="0.2">
      <c r="A24" s="396" t="s">
        <v>270</v>
      </c>
      <c r="B24" s="397" t="s">
        <v>272</v>
      </c>
      <c r="C24" s="398">
        <v>632.70545000000016</v>
      </c>
      <c r="D24" s="398">
        <v>771.59998000000007</v>
      </c>
      <c r="E24" s="398"/>
      <c r="F24" s="398">
        <v>907.14211</v>
      </c>
      <c r="G24" s="398">
        <v>998</v>
      </c>
      <c r="H24" s="398">
        <v>-90.857889999999998</v>
      </c>
      <c r="I24" s="399">
        <v>0.90896003006012027</v>
      </c>
      <c r="J24" s="400" t="s">
        <v>273</v>
      </c>
    </row>
    <row r="25" spans="1:10" ht="14.45" customHeight="1" x14ac:dyDescent="0.2">
      <c r="A25" s="396" t="s">
        <v>260</v>
      </c>
      <c r="B25" s="397" t="s">
        <v>260</v>
      </c>
      <c r="C25" s="398" t="s">
        <v>260</v>
      </c>
      <c r="D25" s="398" t="s">
        <v>260</v>
      </c>
      <c r="E25" s="398"/>
      <c r="F25" s="398" t="s">
        <v>260</v>
      </c>
      <c r="G25" s="398" t="s">
        <v>260</v>
      </c>
      <c r="H25" s="398" t="s">
        <v>260</v>
      </c>
      <c r="I25" s="399" t="s">
        <v>260</v>
      </c>
      <c r="J25" s="400" t="s">
        <v>274</v>
      </c>
    </row>
    <row r="26" spans="1:10" ht="14.45" customHeight="1" x14ac:dyDescent="0.2">
      <c r="A26" s="396" t="s">
        <v>258</v>
      </c>
      <c r="B26" s="397" t="s">
        <v>268</v>
      </c>
      <c r="C26" s="398">
        <v>632.70545000000016</v>
      </c>
      <c r="D26" s="398">
        <v>771.59998000000007</v>
      </c>
      <c r="E26" s="398"/>
      <c r="F26" s="398">
        <v>907.14211</v>
      </c>
      <c r="G26" s="398">
        <v>998</v>
      </c>
      <c r="H26" s="398">
        <v>-90.857889999999998</v>
      </c>
      <c r="I26" s="399">
        <v>0.90896003006012027</v>
      </c>
      <c r="J26" s="400" t="s">
        <v>269</v>
      </c>
    </row>
  </sheetData>
  <mergeCells count="3">
    <mergeCell ref="A1:I1"/>
    <mergeCell ref="F3:I3"/>
    <mergeCell ref="C4:D4"/>
  </mergeCells>
  <conditionalFormatting sqref="F14 F27:F65537">
    <cfRule type="cellIs" dxfId="20" priority="18" stopIfTrue="1" operator="greaterThan">
      <formula>1</formula>
    </cfRule>
  </conditionalFormatting>
  <conditionalFormatting sqref="H5:H13">
    <cfRule type="expression" dxfId="19" priority="14">
      <formula>$H5&gt;0</formula>
    </cfRule>
  </conditionalFormatting>
  <conditionalFormatting sqref="I5:I13">
    <cfRule type="expression" dxfId="18" priority="15">
      <formula>$I5&gt;1</formula>
    </cfRule>
  </conditionalFormatting>
  <conditionalFormatting sqref="B5:B13">
    <cfRule type="expression" dxfId="17" priority="11">
      <formula>OR($J5="NS",$J5="SumaNS",$J5="Účet")</formula>
    </cfRule>
  </conditionalFormatting>
  <conditionalFormatting sqref="F5:I13 B5:D13">
    <cfRule type="expression" dxfId="16" priority="17">
      <formula>AND($J5&lt;&gt;"",$J5&lt;&gt;"mezeraKL")</formula>
    </cfRule>
  </conditionalFormatting>
  <conditionalFormatting sqref="B5:D13 F5:I13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3 F5:I13">
    <cfRule type="expression" dxfId="14" priority="13">
      <formula>OR($J5="SumaNS",$J5="NS")</formula>
    </cfRule>
  </conditionalFormatting>
  <conditionalFormatting sqref="A5:A13">
    <cfRule type="expression" dxfId="13" priority="9">
      <formula>AND($J5&lt;&gt;"mezeraKL",$J5&lt;&gt;"")</formula>
    </cfRule>
  </conditionalFormatting>
  <conditionalFormatting sqref="A5:A13">
    <cfRule type="expression" dxfId="12" priority="10">
      <formula>AND($J5&lt;&gt;"",$J5&lt;&gt;"mezeraKL")</formula>
    </cfRule>
  </conditionalFormatting>
  <conditionalFormatting sqref="H15:H26">
    <cfRule type="expression" dxfId="11" priority="6">
      <formula>$H15&gt;0</formula>
    </cfRule>
  </conditionalFormatting>
  <conditionalFormatting sqref="A15:A26">
    <cfRule type="expression" dxfId="10" priority="5">
      <formula>AND($J15&lt;&gt;"mezeraKL",$J15&lt;&gt;"")</formula>
    </cfRule>
  </conditionalFormatting>
  <conditionalFormatting sqref="I15:I26">
    <cfRule type="expression" dxfId="9" priority="7">
      <formula>$I15&gt;1</formula>
    </cfRule>
  </conditionalFormatting>
  <conditionalFormatting sqref="B15:B26">
    <cfRule type="expression" dxfId="8" priority="4">
      <formula>OR($J15="NS",$J15="SumaNS",$J15="Účet")</formula>
    </cfRule>
  </conditionalFormatting>
  <conditionalFormatting sqref="A15:D26 F15:I26">
    <cfRule type="expression" dxfId="7" priority="8">
      <formula>AND($J15&lt;&gt;"",$J15&lt;&gt;"mezeraKL")</formula>
    </cfRule>
  </conditionalFormatting>
  <conditionalFormatting sqref="B15:D26 F15:I26">
    <cfRule type="expression" dxfId="6" priority="1">
      <formula>OR($J15="KL",$J15="SumaKL")</formula>
    </cfRule>
    <cfRule type="expression" priority="3" stopIfTrue="1">
      <formula>OR($J15="mezeraNS",$J15="mezeraKL")</formula>
    </cfRule>
  </conditionalFormatting>
  <conditionalFormatting sqref="B15:D26 F15:I26">
    <cfRule type="expression" dxfId="5" priority="2">
      <formula>OR($J15="SumaNS",$J15="NS")</formula>
    </cfRule>
  </conditionalFormatting>
  <hyperlinks>
    <hyperlink ref="A2" location="Obsah!A1" display="Zpět na Obsah  KL 01  1.-4.měsíc" xr:uid="{AF71B210-9368-4E78-80BA-9B2956AF5E91}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141">
    <tabColor theme="0" tint="-0.249977111117893"/>
    <pageSetUpPr fitToPage="1"/>
  </sheetPr>
  <dimension ref="A1:K117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ColWidth="8.85546875" defaultRowHeight="14.45" customHeight="1" outlineLevelCol="1" x14ac:dyDescent="0.2"/>
  <cols>
    <col min="1" max="1" width="6.7109375" style="104" hidden="1" customWidth="1" outlineLevel="1"/>
    <col min="2" max="2" width="28.28515625" style="104" hidden="1" customWidth="1" outlineLevel="1"/>
    <col min="3" max="3" width="5.28515625" style="182" bestFit="1" customWidth="1" collapsed="1"/>
    <col min="4" max="4" width="18.7109375" style="186" customWidth="1"/>
    <col min="5" max="5" width="9" style="182" bestFit="1" customWidth="1"/>
    <col min="6" max="6" width="18.7109375" style="186" customWidth="1"/>
    <col min="7" max="7" width="12.42578125" style="182" hidden="1" customWidth="1" outlineLevel="1"/>
    <col min="8" max="8" width="25.7109375" style="182" customWidth="1" collapsed="1"/>
    <col min="9" max="9" width="7.7109375" style="180" customWidth="1"/>
    <col min="10" max="10" width="10" style="180" customWidth="1"/>
    <col min="11" max="11" width="11.140625" style="180" customWidth="1"/>
    <col min="12" max="16384" width="8.85546875" style="104"/>
  </cols>
  <sheetData>
    <row r="1" spans="1:11" ht="18.600000000000001" customHeight="1" thickBot="1" x14ac:dyDescent="0.35">
      <c r="A1" s="307" t="s">
        <v>467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</row>
    <row r="2" spans="1:11" ht="14.45" customHeight="1" thickBot="1" x14ac:dyDescent="0.25">
      <c r="A2" s="199" t="s">
        <v>202</v>
      </c>
      <c r="B2" s="57"/>
      <c r="C2" s="184"/>
      <c r="D2" s="184"/>
      <c r="E2" s="184"/>
      <c r="F2" s="184"/>
      <c r="G2" s="184"/>
      <c r="H2" s="184"/>
      <c r="I2" s="185"/>
      <c r="J2" s="185"/>
      <c r="K2" s="185"/>
    </row>
    <row r="3" spans="1:11" ht="14.45" customHeight="1" thickBot="1" x14ac:dyDescent="0.25">
      <c r="A3" s="57"/>
      <c r="B3" s="57"/>
      <c r="C3" s="305"/>
      <c r="D3" s="306"/>
      <c r="E3" s="306"/>
      <c r="F3" s="306"/>
      <c r="G3" s="306"/>
      <c r="H3" s="116" t="s">
        <v>105</v>
      </c>
      <c r="I3" s="74">
        <f>IF(J3&lt;&gt;0,K3/J3,0)</f>
        <v>12.122706315085066</v>
      </c>
      <c r="J3" s="74">
        <f>SUBTOTAL(9,J5:J1048576)</f>
        <v>74830</v>
      </c>
      <c r="K3" s="75">
        <f>SUBTOTAL(9,K5:K1048576)</f>
        <v>907142.11355781555</v>
      </c>
    </row>
    <row r="4" spans="1:11" s="181" customFormat="1" ht="14.45" customHeight="1" thickBot="1" x14ac:dyDescent="0.25">
      <c r="A4" s="401" t="s">
        <v>4</v>
      </c>
      <c r="B4" s="402" t="s">
        <v>5</v>
      </c>
      <c r="C4" s="402" t="s">
        <v>0</v>
      </c>
      <c r="D4" s="402" t="s">
        <v>6</v>
      </c>
      <c r="E4" s="402" t="s">
        <v>7</v>
      </c>
      <c r="F4" s="402" t="s">
        <v>1</v>
      </c>
      <c r="G4" s="402" t="s">
        <v>52</v>
      </c>
      <c r="H4" s="403" t="s">
        <v>8</v>
      </c>
      <c r="I4" s="404" t="s">
        <v>111</v>
      </c>
      <c r="J4" s="404" t="s">
        <v>9</v>
      </c>
      <c r="K4" s="405" t="s">
        <v>119</v>
      </c>
    </row>
    <row r="5" spans="1:11" ht="14.45" customHeight="1" x14ac:dyDescent="0.2">
      <c r="A5" s="406" t="s">
        <v>258</v>
      </c>
      <c r="B5" s="407" t="s">
        <v>259</v>
      </c>
      <c r="C5" s="408" t="s">
        <v>270</v>
      </c>
      <c r="D5" s="409" t="s">
        <v>271</v>
      </c>
      <c r="E5" s="408" t="s">
        <v>275</v>
      </c>
      <c r="F5" s="409" t="s">
        <v>276</v>
      </c>
      <c r="G5" s="408" t="s">
        <v>277</v>
      </c>
      <c r="H5" s="408" t="s">
        <v>278</v>
      </c>
      <c r="I5" s="410">
        <v>70.180000305175781</v>
      </c>
      <c r="J5" s="410">
        <v>197</v>
      </c>
      <c r="K5" s="411">
        <v>13825.459869384766</v>
      </c>
    </row>
    <row r="6" spans="1:11" ht="14.45" customHeight="1" x14ac:dyDescent="0.2">
      <c r="A6" s="412" t="s">
        <v>258</v>
      </c>
      <c r="B6" s="413" t="s">
        <v>259</v>
      </c>
      <c r="C6" s="414" t="s">
        <v>270</v>
      </c>
      <c r="D6" s="415" t="s">
        <v>271</v>
      </c>
      <c r="E6" s="414" t="s">
        <v>275</v>
      </c>
      <c r="F6" s="415" t="s">
        <v>276</v>
      </c>
      <c r="G6" s="414" t="s">
        <v>279</v>
      </c>
      <c r="H6" s="414" t="s">
        <v>280</v>
      </c>
      <c r="I6" s="416">
        <v>0.5899999737739563</v>
      </c>
      <c r="J6" s="416">
        <v>1000</v>
      </c>
      <c r="K6" s="417">
        <v>590</v>
      </c>
    </row>
    <row r="7" spans="1:11" ht="14.45" customHeight="1" x14ac:dyDescent="0.2">
      <c r="A7" s="412" t="s">
        <v>258</v>
      </c>
      <c r="B7" s="413" t="s">
        <v>259</v>
      </c>
      <c r="C7" s="414" t="s">
        <v>270</v>
      </c>
      <c r="D7" s="415" t="s">
        <v>271</v>
      </c>
      <c r="E7" s="414" t="s">
        <v>275</v>
      </c>
      <c r="F7" s="415" t="s">
        <v>276</v>
      </c>
      <c r="G7" s="414" t="s">
        <v>281</v>
      </c>
      <c r="H7" s="414" t="s">
        <v>282</v>
      </c>
      <c r="I7" s="416">
        <v>0.41999998688697815</v>
      </c>
      <c r="J7" s="416">
        <v>1000</v>
      </c>
      <c r="K7" s="417">
        <v>419.75</v>
      </c>
    </row>
    <row r="8" spans="1:11" ht="14.45" customHeight="1" x14ac:dyDescent="0.2">
      <c r="A8" s="412" t="s">
        <v>258</v>
      </c>
      <c r="B8" s="413" t="s">
        <v>259</v>
      </c>
      <c r="C8" s="414" t="s">
        <v>270</v>
      </c>
      <c r="D8" s="415" t="s">
        <v>271</v>
      </c>
      <c r="E8" s="414" t="s">
        <v>275</v>
      </c>
      <c r="F8" s="415" t="s">
        <v>276</v>
      </c>
      <c r="G8" s="414" t="s">
        <v>279</v>
      </c>
      <c r="H8" s="414" t="s">
        <v>283</v>
      </c>
      <c r="I8" s="416">
        <v>0.58499997854232788</v>
      </c>
      <c r="J8" s="416">
        <v>1800</v>
      </c>
      <c r="K8" s="417">
        <v>1054</v>
      </c>
    </row>
    <row r="9" spans="1:11" ht="14.45" customHeight="1" x14ac:dyDescent="0.2">
      <c r="A9" s="412" t="s">
        <v>258</v>
      </c>
      <c r="B9" s="413" t="s">
        <v>259</v>
      </c>
      <c r="C9" s="414" t="s">
        <v>270</v>
      </c>
      <c r="D9" s="415" t="s">
        <v>271</v>
      </c>
      <c r="E9" s="414" t="s">
        <v>275</v>
      </c>
      <c r="F9" s="415" t="s">
        <v>276</v>
      </c>
      <c r="G9" s="414" t="s">
        <v>284</v>
      </c>
      <c r="H9" s="414" t="s">
        <v>285</v>
      </c>
      <c r="I9" s="416">
        <v>0.87999999523162842</v>
      </c>
      <c r="J9" s="416">
        <v>600</v>
      </c>
      <c r="K9" s="417">
        <v>528</v>
      </c>
    </row>
    <row r="10" spans="1:11" ht="14.45" customHeight="1" x14ac:dyDescent="0.2">
      <c r="A10" s="412" t="s">
        <v>258</v>
      </c>
      <c r="B10" s="413" t="s">
        <v>259</v>
      </c>
      <c r="C10" s="414" t="s">
        <v>270</v>
      </c>
      <c r="D10" s="415" t="s">
        <v>271</v>
      </c>
      <c r="E10" s="414" t="s">
        <v>275</v>
      </c>
      <c r="F10" s="415" t="s">
        <v>276</v>
      </c>
      <c r="G10" s="414" t="s">
        <v>286</v>
      </c>
      <c r="H10" s="414" t="s">
        <v>287</v>
      </c>
      <c r="I10" s="416">
        <v>0.15000000596046448</v>
      </c>
      <c r="J10" s="416">
        <v>100</v>
      </c>
      <c r="K10" s="417">
        <v>15</v>
      </c>
    </row>
    <row r="11" spans="1:11" ht="14.45" customHeight="1" x14ac:dyDescent="0.2">
      <c r="A11" s="412" t="s">
        <v>258</v>
      </c>
      <c r="B11" s="413" t="s">
        <v>259</v>
      </c>
      <c r="C11" s="414" t="s">
        <v>270</v>
      </c>
      <c r="D11" s="415" t="s">
        <v>271</v>
      </c>
      <c r="E11" s="414" t="s">
        <v>275</v>
      </c>
      <c r="F11" s="415" t="s">
        <v>276</v>
      </c>
      <c r="G11" s="414" t="s">
        <v>288</v>
      </c>
      <c r="H11" s="414" t="s">
        <v>289</v>
      </c>
      <c r="I11" s="416">
        <v>1.1749999523162842</v>
      </c>
      <c r="J11" s="416">
        <v>600</v>
      </c>
      <c r="K11" s="417">
        <v>705</v>
      </c>
    </row>
    <row r="12" spans="1:11" ht="14.45" customHeight="1" x14ac:dyDescent="0.2">
      <c r="A12" s="412" t="s">
        <v>258</v>
      </c>
      <c r="B12" s="413" t="s">
        <v>259</v>
      </c>
      <c r="C12" s="414" t="s">
        <v>270</v>
      </c>
      <c r="D12" s="415" t="s">
        <v>271</v>
      </c>
      <c r="E12" s="414" t="s">
        <v>275</v>
      </c>
      <c r="F12" s="415" t="s">
        <v>276</v>
      </c>
      <c r="G12" s="414" t="s">
        <v>288</v>
      </c>
      <c r="H12" s="414" t="s">
        <v>290</v>
      </c>
      <c r="I12" s="416">
        <v>1.1699999570846558</v>
      </c>
      <c r="J12" s="416">
        <v>160</v>
      </c>
      <c r="K12" s="417">
        <v>187.19999694824219</v>
      </c>
    </row>
    <row r="13" spans="1:11" ht="14.45" customHeight="1" x14ac:dyDescent="0.2">
      <c r="A13" s="412" t="s">
        <v>258</v>
      </c>
      <c r="B13" s="413" t="s">
        <v>259</v>
      </c>
      <c r="C13" s="414" t="s">
        <v>270</v>
      </c>
      <c r="D13" s="415" t="s">
        <v>271</v>
      </c>
      <c r="E13" s="414" t="s">
        <v>275</v>
      </c>
      <c r="F13" s="415" t="s">
        <v>276</v>
      </c>
      <c r="G13" s="414" t="s">
        <v>291</v>
      </c>
      <c r="H13" s="414" t="s">
        <v>292</v>
      </c>
      <c r="I13" s="416">
        <v>2.5399999618530273</v>
      </c>
      <c r="J13" s="416">
        <v>140</v>
      </c>
      <c r="K13" s="417">
        <v>355.60000610351563</v>
      </c>
    </row>
    <row r="14" spans="1:11" ht="14.45" customHeight="1" x14ac:dyDescent="0.2">
      <c r="A14" s="412" t="s">
        <v>258</v>
      </c>
      <c r="B14" s="413" t="s">
        <v>259</v>
      </c>
      <c r="C14" s="414" t="s">
        <v>270</v>
      </c>
      <c r="D14" s="415" t="s">
        <v>271</v>
      </c>
      <c r="E14" s="414" t="s">
        <v>275</v>
      </c>
      <c r="F14" s="415" t="s">
        <v>276</v>
      </c>
      <c r="G14" s="414" t="s">
        <v>293</v>
      </c>
      <c r="H14" s="414" t="s">
        <v>294</v>
      </c>
      <c r="I14" s="416">
        <v>21.200000762939453</v>
      </c>
      <c r="J14" s="416">
        <v>10</v>
      </c>
      <c r="K14" s="417">
        <v>212.03999328613281</v>
      </c>
    </row>
    <row r="15" spans="1:11" ht="14.45" customHeight="1" x14ac:dyDescent="0.2">
      <c r="A15" s="412" t="s">
        <v>258</v>
      </c>
      <c r="B15" s="413" t="s">
        <v>259</v>
      </c>
      <c r="C15" s="414" t="s">
        <v>270</v>
      </c>
      <c r="D15" s="415" t="s">
        <v>271</v>
      </c>
      <c r="E15" s="414" t="s">
        <v>275</v>
      </c>
      <c r="F15" s="415" t="s">
        <v>276</v>
      </c>
      <c r="G15" s="414" t="s">
        <v>295</v>
      </c>
      <c r="H15" s="414" t="s">
        <v>296</v>
      </c>
      <c r="I15" s="416">
        <v>36.270000457763672</v>
      </c>
      <c r="J15" s="416">
        <v>25</v>
      </c>
      <c r="K15" s="417">
        <v>906.65997314453125</v>
      </c>
    </row>
    <row r="16" spans="1:11" ht="14.45" customHeight="1" x14ac:dyDescent="0.2">
      <c r="A16" s="412" t="s">
        <v>258</v>
      </c>
      <c r="B16" s="413" t="s">
        <v>259</v>
      </c>
      <c r="C16" s="414" t="s">
        <v>270</v>
      </c>
      <c r="D16" s="415" t="s">
        <v>271</v>
      </c>
      <c r="E16" s="414" t="s">
        <v>275</v>
      </c>
      <c r="F16" s="415" t="s">
        <v>276</v>
      </c>
      <c r="G16" s="414" t="s">
        <v>297</v>
      </c>
      <c r="H16" s="414" t="s">
        <v>298</v>
      </c>
      <c r="I16" s="416">
        <v>13.743333180745443</v>
      </c>
      <c r="J16" s="416">
        <v>150</v>
      </c>
      <c r="K16" s="417">
        <v>2061.93994140625</v>
      </c>
    </row>
    <row r="17" spans="1:11" ht="14.45" customHeight="1" x14ac:dyDescent="0.2">
      <c r="A17" s="412" t="s">
        <v>258</v>
      </c>
      <c r="B17" s="413" t="s">
        <v>259</v>
      </c>
      <c r="C17" s="414" t="s">
        <v>270</v>
      </c>
      <c r="D17" s="415" t="s">
        <v>271</v>
      </c>
      <c r="E17" s="414" t="s">
        <v>275</v>
      </c>
      <c r="F17" s="415" t="s">
        <v>276</v>
      </c>
      <c r="G17" s="414" t="s">
        <v>299</v>
      </c>
      <c r="H17" s="414" t="s">
        <v>300</v>
      </c>
      <c r="I17" s="416">
        <v>215.27999877929688</v>
      </c>
      <c r="J17" s="416">
        <v>50</v>
      </c>
      <c r="K17" s="417">
        <v>10764</v>
      </c>
    </row>
    <row r="18" spans="1:11" ht="14.45" customHeight="1" x14ac:dyDescent="0.2">
      <c r="A18" s="412" t="s">
        <v>258</v>
      </c>
      <c r="B18" s="413" t="s">
        <v>259</v>
      </c>
      <c r="C18" s="414" t="s">
        <v>270</v>
      </c>
      <c r="D18" s="415" t="s">
        <v>271</v>
      </c>
      <c r="E18" s="414" t="s">
        <v>275</v>
      </c>
      <c r="F18" s="415" t="s">
        <v>276</v>
      </c>
      <c r="G18" s="414" t="s">
        <v>301</v>
      </c>
      <c r="H18" s="414" t="s">
        <v>302</v>
      </c>
      <c r="I18" s="416">
        <v>227.5525016784668</v>
      </c>
      <c r="J18" s="416">
        <v>100</v>
      </c>
      <c r="K18" s="417">
        <v>22755.27978515625</v>
      </c>
    </row>
    <row r="19" spans="1:11" ht="14.45" customHeight="1" x14ac:dyDescent="0.2">
      <c r="A19" s="412" t="s">
        <v>258</v>
      </c>
      <c r="B19" s="413" t="s">
        <v>259</v>
      </c>
      <c r="C19" s="414" t="s">
        <v>270</v>
      </c>
      <c r="D19" s="415" t="s">
        <v>271</v>
      </c>
      <c r="E19" s="414" t="s">
        <v>275</v>
      </c>
      <c r="F19" s="415" t="s">
        <v>276</v>
      </c>
      <c r="G19" s="414" t="s">
        <v>303</v>
      </c>
      <c r="H19" s="414" t="s">
        <v>304</v>
      </c>
      <c r="I19" s="416">
        <v>41.240001678466797</v>
      </c>
      <c r="J19" s="416">
        <v>50</v>
      </c>
      <c r="K19" s="417">
        <v>2062.179931640625</v>
      </c>
    </row>
    <row r="20" spans="1:11" ht="14.45" customHeight="1" x14ac:dyDescent="0.2">
      <c r="A20" s="412" t="s">
        <v>258</v>
      </c>
      <c r="B20" s="413" t="s">
        <v>259</v>
      </c>
      <c r="C20" s="414" t="s">
        <v>270</v>
      </c>
      <c r="D20" s="415" t="s">
        <v>271</v>
      </c>
      <c r="E20" s="414" t="s">
        <v>275</v>
      </c>
      <c r="F20" s="415" t="s">
        <v>276</v>
      </c>
      <c r="G20" s="414" t="s">
        <v>291</v>
      </c>
      <c r="H20" s="414" t="s">
        <v>305</v>
      </c>
      <c r="I20" s="416">
        <v>2.6380000591278074</v>
      </c>
      <c r="J20" s="416">
        <v>350</v>
      </c>
      <c r="K20" s="417">
        <v>923.29998779296875</v>
      </c>
    </row>
    <row r="21" spans="1:11" ht="14.45" customHeight="1" x14ac:dyDescent="0.2">
      <c r="A21" s="412" t="s">
        <v>258</v>
      </c>
      <c r="B21" s="413" t="s">
        <v>259</v>
      </c>
      <c r="C21" s="414" t="s">
        <v>270</v>
      </c>
      <c r="D21" s="415" t="s">
        <v>271</v>
      </c>
      <c r="E21" s="414" t="s">
        <v>275</v>
      </c>
      <c r="F21" s="415" t="s">
        <v>276</v>
      </c>
      <c r="G21" s="414" t="s">
        <v>306</v>
      </c>
      <c r="H21" s="414" t="s">
        <v>307</v>
      </c>
      <c r="I21" s="416">
        <v>129.25999450683594</v>
      </c>
      <c r="J21" s="416">
        <v>10</v>
      </c>
      <c r="K21" s="417">
        <v>1292.5999755859375</v>
      </c>
    </row>
    <row r="22" spans="1:11" ht="14.45" customHeight="1" x14ac:dyDescent="0.2">
      <c r="A22" s="412" t="s">
        <v>258</v>
      </c>
      <c r="B22" s="413" t="s">
        <v>259</v>
      </c>
      <c r="C22" s="414" t="s">
        <v>270</v>
      </c>
      <c r="D22" s="415" t="s">
        <v>271</v>
      </c>
      <c r="E22" s="414" t="s">
        <v>275</v>
      </c>
      <c r="F22" s="415" t="s">
        <v>276</v>
      </c>
      <c r="G22" s="414" t="s">
        <v>293</v>
      </c>
      <c r="H22" s="414" t="s">
        <v>308</v>
      </c>
      <c r="I22" s="416">
        <v>21.200000762939453</v>
      </c>
      <c r="J22" s="416">
        <v>40</v>
      </c>
      <c r="K22" s="417">
        <v>848.15997314453125</v>
      </c>
    </row>
    <row r="23" spans="1:11" ht="14.45" customHeight="1" x14ac:dyDescent="0.2">
      <c r="A23" s="412" t="s">
        <v>258</v>
      </c>
      <c r="B23" s="413" t="s">
        <v>259</v>
      </c>
      <c r="C23" s="414" t="s">
        <v>270</v>
      </c>
      <c r="D23" s="415" t="s">
        <v>271</v>
      </c>
      <c r="E23" s="414" t="s">
        <v>275</v>
      </c>
      <c r="F23" s="415" t="s">
        <v>276</v>
      </c>
      <c r="G23" s="414" t="s">
        <v>295</v>
      </c>
      <c r="H23" s="414" t="s">
        <v>309</v>
      </c>
      <c r="I23" s="416">
        <v>36.270000457763672</v>
      </c>
      <c r="J23" s="416">
        <v>50</v>
      </c>
      <c r="K23" s="417">
        <v>1813.4099731445313</v>
      </c>
    </row>
    <row r="24" spans="1:11" ht="14.45" customHeight="1" x14ac:dyDescent="0.2">
      <c r="A24" s="412" t="s">
        <v>258</v>
      </c>
      <c r="B24" s="413" t="s">
        <v>259</v>
      </c>
      <c r="C24" s="414" t="s">
        <v>270</v>
      </c>
      <c r="D24" s="415" t="s">
        <v>271</v>
      </c>
      <c r="E24" s="414" t="s">
        <v>275</v>
      </c>
      <c r="F24" s="415" t="s">
        <v>276</v>
      </c>
      <c r="G24" s="414" t="s">
        <v>297</v>
      </c>
      <c r="H24" s="414" t="s">
        <v>310</v>
      </c>
      <c r="I24" s="416">
        <v>13.743333180745443</v>
      </c>
      <c r="J24" s="416">
        <v>150</v>
      </c>
      <c r="K24" s="417">
        <v>2061.719970703125</v>
      </c>
    </row>
    <row r="25" spans="1:11" ht="14.45" customHeight="1" x14ac:dyDescent="0.2">
      <c r="A25" s="412" t="s">
        <v>258</v>
      </c>
      <c r="B25" s="413" t="s">
        <v>259</v>
      </c>
      <c r="C25" s="414" t="s">
        <v>270</v>
      </c>
      <c r="D25" s="415" t="s">
        <v>271</v>
      </c>
      <c r="E25" s="414" t="s">
        <v>275</v>
      </c>
      <c r="F25" s="415" t="s">
        <v>276</v>
      </c>
      <c r="G25" s="414" t="s">
        <v>299</v>
      </c>
      <c r="H25" s="414" t="s">
        <v>311</v>
      </c>
      <c r="I25" s="416">
        <v>215.27999877929688</v>
      </c>
      <c r="J25" s="416">
        <v>25</v>
      </c>
      <c r="K25" s="417">
        <v>5382</v>
      </c>
    </row>
    <row r="26" spans="1:11" ht="14.45" customHeight="1" x14ac:dyDescent="0.2">
      <c r="A26" s="412" t="s">
        <v>258</v>
      </c>
      <c r="B26" s="413" t="s">
        <v>259</v>
      </c>
      <c r="C26" s="414" t="s">
        <v>270</v>
      </c>
      <c r="D26" s="415" t="s">
        <v>271</v>
      </c>
      <c r="E26" s="414" t="s">
        <v>275</v>
      </c>
      <c r="F26" s="415" t="s">
        <v>276</v>
      </c>
      <c r="G26" s="414" t="s">
        <v>301</v>
      </c>
      <c r="H26" s="414" t="s">
        <v>312</v>
      </c>
      <c r="I26" s="416">
        <v>227.29167175292969</v>
      </c>
      <c r="J26" s="416">
        <v>175</v>
      </c>
      <c r="K26" s="417">
        <v>39782.6396484375</v>
      </c>
    </row>
    <row r="27" spans="1:11" ht="14.45" customHeight="1" x14ac:dyDescent="0.2">
      <c r="A27" s="412" t="s">
        <v>258</v>
      </c>
      <c r="B27" s="413" t="s">
        <v>259</v>
      </c>
      <c r="C27" s="414" t="s">
        <v>270</v>
      </c>
      <c r="D27" s="415" t="s">
        <v>271</v>
      </c>
      <c r="E27" s="414" t="s">
        <v>275</v>
      </c>
      <c r="F27" s="415" t="s">
        <v>276</v>
      </c>
      <c r="G27" s="414" t="s">
        <v>303</v>
      </c>
      <c r="H27" s="414" t="s">
        <v>313</v>
      </c>
      <c r="I27" s="416">
        <v>41.240001678466797</v>
      </c>
      <c r="J27" s="416">
        <v>100</v>
      </c>
      <c r="K27" s="417">
        <v>4124.35986328125</v>
      </c>
    </row>
    <row r="28" spans="1:11" ht="14.45" customHeight="1" x14ac:dyDescent="0.2">
      <c r="A28" s="412" t="s">
        <v>258</v>
      </c>
      <c r="B28" s="413" t="s">
        <v>259</v>
      </c>
      <c r="C28" s="414" t="s">
        <v>270</v>
      </c>
      <c r="D28" s="415" t="s">
        <v>271</v>
      </c>
      <c r="E28" s="414" t="s">
        <v>275</v>
      </c>
      <c r="F28" s="415" t="s">
        <v>276</v>
      </c>
      <c r="G28" s="414" t="s">
        <v>314</v>
      </c>
      <c r="H28" s="414" t="s">
        <v>315</v>
      </c>
      <c r="I28" s="416">
        <v>1.5199999809265137</v>
      </c>
      <c r="J28" s="416">
        <v>100</v>
      </c>
      <c r="K28" s="417">
        <v>152</v>
      </c>
    </row>
    <row r="29" spans="1:11" ht="14.45" customHeight="1" x14ac:dyDescent="0.2">
      <c r="A29" s="412" t="s">
        <v>258</v>
      </c>
      <c r="B29" s="413" t="s">
        <v>259</v>
      </c>
      <c r="C29" s="414" t="s">
        <v>270</v>
      </c>
      <c r="D29" s="415" t="s">
        <v>271</v>
      </c>
      <c r="E29" s="414" t="s">
        <v>275</v>
      </c>
      <c r="F29" s="415" t="s">
        <v>276</v>
      </c>
      <c r="G29" s="414" t="s">
        <v>316</v>
      </c>
      <c r="H29" s="414" t="s">
        <v>317</v>
      </c>
      <c r="I29" s="416">
        <v>2.0699999332427979</v>
      </c>
      <c r="J29" s="416">
        <v>30</v>
      </c>
      <c r="K29" s="417">
        <v>62.099998474121094</v>
      </c>
    </row>
    <row r="30" spans="1:11" ht="14.45" customHeight="1" x14ac:dyDescent="0.2">
      <c r="A30" s="412" t="s">
        <v>258</v>
      </c>
      <c r="B30" s="413" t="s">
        <v>259</v>
      </c>
      <c r="C30" s="414" t="s">
        <v>270</v>
      </c>
      <c r="D30" s="415" t="s">
        <v>271</v>
      </c>
      <c r="E30" s="414" t="s">
        <v>275</v>
      </c>
      <c r="F30" s="415" t="s">
        <v>276</v>
      </c>
      <c r="G30" s="414" t="s">
        <v>318</v>
      </c>
      <c r="H30" s="414" t="s">
        <v>319</v>
      </c>
      <c r="I30" s="416">
        <v>7.1100001335144043</v>
      </c>
      <c r="J30" s="416">
        <v>21</v>
      </c>
      <c r="K30" s="417">
        <v>149.31000137329102</v>
      </c>
    </row>
    <row r="31" spans="1:11" ht="14.45" customHeight="1" x14ac:dyDescent="0.2">
      <c r="A31" s="412" t="s">
        <v>258</v>
      </c>
      <c r="B31" s="413" t="s">
        <v>259</v>
      </c>
      <c r="C31" s="414" t="s">
        <v>270</v>
      </c>
      <c r="D31" s="415" t="s">
        <v>271</v>
      </c>
      <c r="E31" s="414" t="s">
        <v>275</v>
      </c>
      <c r="F31" s="415" t="s">
        <v>276</v>
      </c>
      <c r="G31" s="414" t="s">
        <v>314</v>
      </c>
      <c r="H31" s="414" t="s">
        <v>320</v>
      </c>
      <c r="I31" s="416">
        <v>1.5099999904632568</v>
      </c>
      <c r="J31" s="416">
        <v>300</v>
      </c>
      <c r="K31" s="417">
        <v>453</v>
      </c>
    </row>
    <row r="32" spans="1:11" ht="14.45" customHeight="1" x14ac:dyDescent="0.2">
      <c r="A32" s="412" t="s">
        <v>258</v>
      </c>
      <c r="B32" s="413" t="s">
        <v>259</v>
      </c>
      <c r="C32" s="414" t="s">
        <v>270</v>
      </c>
      <c r="D32" s="415" t="s">
        <v>271</v>
      </c>
      <c r="E32" s="414" t="s">
        <v>275</v>
      </c>
      <c r="F32" s="415" t="s">
        <v>276</v>
      </c>
      <c r="G32" s="414" t="s">
        <v>316</v>
      </c>
      <c r="H32" s="414" t="s">
        <v>321</v>
      </c>
      <c r="I32" s="416">
        <v>2.059999942779541</v>
      </c>
      <c r="J32" s="416">
        <v>30</v>
      </c>
      <c r="K32" s="417">
        <v>61.799999237060547</v>
      </c>
    </row>
    <row r="33" spans="1:11" ht="14.45" customHeight="1" x14ac:dyDescent="0.2">
      <c r="A33" s="412" t="s">
        <v>258</v>
      </c>
      <c r="B33" s="413" t="s">
        <v>259</v>
      </c>
      <c r="C33" s="414" t="s">
        <v>270</v>
      </c>
      <c r="D33" s="415" t="s">
        <v>271</v>
      </c>
      <c r="E33" s="414" t="s">
        <v>275</v>
      </c>
      <c r="F33" s="415" t="s">
        <v>276</v>
      </c>
      <c r="G33" s="414" t="s">
        <v>318</v>
      </c>
      <c r="H33" s="414" t="s">
        <v>322</v>
      </c>
      <c r="I33" s="416">
        <v>7.1100001335144043</v>
      </c>
      <c r="J33" s="416">
        <v>14</v>
      </c>
      <c r="K33" s="417">
        <v>99.54000186920166</v>
      </c>
    </row>
    <row r="34" spans="1:11" ht="14.45" customHeight="1" x14ac:dyDescent="0.2">
      <c r="A34" s="412" t="s">
        <v>258</v>
      </c>
      <c r="B34" s="413" t="s">
        <v>259</v>
      </c>
      <c r="C34" s="414" t="s">
        <v>270</v>
      </c>
      <c r="D34" s="415" t="s">
        <v>271</v>
      </c>
      <c r="E34" s="414" t="s">
        <v>275</v>
      </c>
      <c r="F34" s="415" t="s">
        <v>276</v>
      </c>
      <c r="G34" s="414" t="s">
        <v>323</v>
      </c>
      <c r="H34" s="414" t="s">
        <v>324</v>
      </c>
      <c r="I34" s="416">
        <v>111.31999969482422</v>
      </c>
      <c r="J34" s="416">
        <v>24</v>
      </c>
      <c r="K34" s="417">
        <v>2671.679931640625</v>
      </c>
    </row>
    <row r="35" spans="1:11" ht="14.45" customHeight="1" x14ac:dyDescent="0.2">
      <c r="A35" s="412" t="s">
        <v>258</v>
      </c>
      <c r="B35" s="413" t="s">
        <v>259</v>
      </c>
      <c r="C35" s="414" t="s">
        <v>270</v>
      </c>
      <c r="D35" s="415" t="s">
        <v>271</v>
      </c>
      <c r="E35" s="414" t="s">
        <v>275</v>
      </c>
      <c r="F35" s="415" t="s">
        <v>276</v>
      </c>
      <c r="G35" s="414" t="s">
        <v>325</v>
      </c>
      <c r="H35" s="414" t="s">
        <v>326</v>
      </c>
      <c r="I35" s="416">
        <v>42.443181297995828</v>
      </c>
      <c r="J35" s="416">
        <v>41</v>
      </c>
      <c r="K35" s="417">
        <v>1740.1799736022949</v>
      </c>
    </row>
    <row r="36" spans="1:11" ht="14.45" customHeight="1" x14ac:dyDescent="0.2">
      <c r="A36" s="412" t="s">
        <v>258</v>
      </c>
      <c r="B36" s="413" t="s">
        <v>259</v>
      </c>
      <c r="C36" s="414" t="s">
        <v>270</v>
      </c>
      <c r="D36" s="415" t="s">
        <v>271</v>
      </c>
      <c r="E36" s="414" t="s">
        <v>275</v>
      </c>
      <c r="F36" s="415" t="s">
        <v>276</v>
      </c>
      <c r="G36" s="414" t="s">
        <v>327</v>
      </c>
      <c r="H36" s="414" t="s">
        <v>328</v>
      </c>
      <c r="I36" s="416">
        <v>72.220001220703125</v>
      </c>
      <c r="J36" s="416">
        <v>1</v>
      </c>
      <c r="K36" s="417">
        <v>72.220001220703125</v>
      </c>
    </row>
    <row r="37" spans="1:11" ht="14.45" customHeight="1" x14ac:dyDescent="0.2">
      <c r="A37" s="412" t="s">
        <v>258</v>
      </c>
      <c r="B37" s="413" t="s">
        <v>259</v>
      </c>
      <c r="C37" s="414" t="s">
        <v>270</v>
      </c>
      <c r="D37" s="415" t="s">
        <v>271</v>
      </c>
      <c r="E37" s="414" t="s">
        <v>275</v>
      </c>
      <c r="F37" s="415" t="s">
        <v>276</v>
      </c>
      <c r="G37" s="414" t="s">
        <v>327</v>
      </c>
      <c r="H37" s="414" t="s">
        <v>329</v>
      </c>
      <c r="I37" s="416">
        <v>72.220001220703125</v>
      </c>
      <c r="J37" s="416">
        <v>3</v>
      </c>
      <c r="K37" s="417">
        <v>216.66000366210938</v>
      </c>
    </row>
    <row r="38" spans="1:11" ht="14.45" customHeight="1" x14ac:dyDescent="0.2">
      <c r="A38" s="412" t="s">
        <v>258</v>
      </c>
      <c r="B38" s="413" t="s">
        <v>259</v>
      </c>
      <c r="C38" s="414" t="s">
        <v>270</v>
      </c>
      <c r="D38" s="415" t="s">
        <v>271</v>
      </c>
      <c r="E38" s="414" t="s">
        <v>275</v>
      </c>
      <c r="F38" s="415" t="s">
        <v>276</v>
      </c>
      <c r="G38" s="414" t="s">
        <v>330</v>
      </c>
      <c r="H38" s="414" t="s">
        <v>331</v>
      </c>
      <c r="I38" s="416">
        <v>0.66636365652084351</v>
      </c>
      <c r="J38" s="416">
        <v>665</v>
      </c>
      <c r="K38" s="417">
        <v>442.74999713897705</v>
      </c>
    </row>
    <row r="39" spans="1:11" ht="14.45" customHeight="1" x14ac:dyDescent="0.2">
      <c r="A39" s="412" t="s">
        <v>258</v>
      </c>
      <c r="B39" s="413" t="s">
        <v>259</v>
      </c>
      <c r="C39" s="414" t="s">
        <v>270</v>
      </c>
      <c r="D39" s="415" t="s">
        <v>271</v>
      </c>
      <c r="E39" s="414" t="s">
        <v>275</v>
      </c>
      <c r="F39" s="415" t="s">
        <v>276</v>
      </c>
      <c r="G39" s="414" t="s">
        <v>330</v>
      </c>
      <c r="H39" s="414" t="s">
        <v>332</v>
      </c>
      <c r="I39" s="416">
        <v>0.66562502086162567</v>
      </c>
      <c r="J39" s="416">
        <v>2490</v>
      </c>
      <c r="K39" s="417">
        <v>1659.5499897003174</v>
      </c>
    </row>
    <row r="40" spans="1:11" ht="14.45" customHeight="1" x14ac:dyDescent="0.2">
      <c r="A40" s="412" t="s">
        <v>258</v>
      </c>
      <c r="B40" s="413" t="s">
        <v>259</v>
      </c>
      <c r="C40" s="414" t="s">
        <v>270</v>
      </c>
      <c r="D40" s="415" t="s">
        <v>271</v>
      </c>
      <c r="E40" s="414" t="s">
        <v>333</v>
      </c>
      <c r="F40" s="415" t="s">
        <v>334</v>
      </c>
      <c r="G40" s="414" t="s">
        <v>335</v>
      </c>
      <c r="H40" s="414" t="s">
        <v>336</v>
      </c>
      <c r="I40" s="416">
        <v>11.149999618530273</v>
      </c>
      <c r="J40" s="416">
        <v>50</v>
      </c>
      <c r="K40" s="417">
        <v>557.5</v>
      </c>
    </row>
    <row r="41" spans="1:11" ht="14.45" customHeight="1" x14ac:dyDescent="0.2">
      <c r="A41" s="412" t="s">
        <v>258</v>
      </c>
      <c r="B41" s="413" t="s">
        <v>259</v>
      </c>
      <c r="C41" s="414" t="s">
        <v>270</v>
      </c>
      <c r="D41" s="415" t="s">
        <v>271</v>
      </c>
      <c r="E41" s="414" t="s">
        <v>333</v>
      </c>
      <c r="F41" s="415" t="s">
        <v>334</v>
      </c>
      <c r="G41" s="414" t="s">
        <v>335</v>
      </c>
      <c r="H41" s="414" t="s">
        <v>337</v>
      </c>
      <c r="I41" s="416">
        <v>11.140000343322754</v>
      </c>
      <c r="J41" s="416">
        <v>50</v>
      </c>
      <c r="K41" s="417">
        <v>557</v>
      </c>
    </row>
    <row r="42" spans="1:11" ht="14.45" customHeight="1" x14ac:dyDescent="0.2">
      <c r="A42" s="412" t="s">
        <v>258</v>
      </c>
      <c r="B42" s="413" t="s">
        <v>259</v>
      </c>
      <c r="C42" s="414" t="s">
        <v>270</v>
      </c>
      <c r="D42" s="415" t="s">
        <v>271</v>
      </c>
      <c r="E42" s="414" t="s">
        <v>333</v>
      </c>
      <c r="F42" s="415" t="s">
        <v>334</v>
      </c>
      <c r="G42" s="414" t="s">
        <v>338</v>
      </c>
      <c r="H42" s="414" t="s">
        <v>339</v>
      </c>
      <c r="I42" s="416">
        <v>5.2665517905662798</v>
      </c>
      <c r="J42" s="416">
        <v>960</v>
      </c>
      <c r="K42" s="417">
        <v>5056.0001220703125</v>
      </c>
    </row>
    <row r="43" spans="1:11" ht="14.45" customHeight="1" x14ac:dyDescent="0.2">
      <c r="A43" s="412" t="s">
        <v>258</v>
      </c>
      <c r="B43" s="413" t="s">
        <v>259</v>
      </c>
      <c r="C43" s="414" t="s">
        <v>270</v>
      </c>
      <c r="D43" s="415" t="s">
        <v>271</v>
      </c>
      <c r="E43" s="414" t="s">
        <v>333</v>
      </c>
      <c r="F43" s="415" t="s">
        <v>334</v>
      </c>
      <c r="G43" s="414" t="s">
        <v>340</v>
      </c>
      <c r="H43" s="414" t="s">
        <v>341</v>
      </c>
      <c r="I43" s="416">
        <v>3.4800000190734863</v>
      </c>
      <c r="J43" s="416">
        <v>130</v>
      </c>
      <c r="K43" s="417">
        <v>452.40000152587891</v>
      </c>
    </row>
    <row r="44" spans="1:11" ht="14.45" customHeight="1" x14ac:dyDescent="0.2">
      <c r="A44" s="412" t="s">
        <v>258</v>
      </c>
      <c r="B44" s="413" t="s">
        <v>259</v>
      </c>
      <c r="C44" s="414" t="s">
        <v>270</v>
      </c>
      <c r="D44" s="415" t="s">
        <v>271</v>
      </c>
      <c r="E44" s="414" t="s">
        <v>333</v>
      </c>
      <c r="F44" s="415" t="s">
        <v>334</v>
      </c>
      <c r="G44" s="414" t="s">
        <v>342</v>
      </c>
      <c r="H44" s="414" t="s">
        <v>343</v>
      </c>
      <c r="I44" s="416">
        <v>37.75</v>
      </c>
      <c r="J44" s="416">
        <v>40</v>
      </c>
      <c r="K44" s="417">
        <v>1510.0799560546875</v>
      </c>
    </row>
    <row r="45" spans="1:11" ht="14.45" customHeight="1" x14ac:dyDescent="0.2">
      <c r="A45" s="412" t="s">
        <v>258</v>
      </c>
      <c r="B45" s="413" t="s">
        <v>259</v>
      </c>
      <c r="C45" s="414" t="s">
        <v>270</v>
      </c>
      <c r="D45" s="415" t="s">
        <v>271</v>
      </c>
      <c r="E45" s="414" t="s">
        <v>333</v>
      </c>
      <c r="F45" s="415" t="s">
        <v>334</v>
      </c>
      <c r="G45" s="414" t="s">
        <v>338</v>
      </c>
      <c r="H45" s="414" t="s">
        <v>344</v>
      </c>
      <c r="I45" s="416">
        <v>5.4073863517154344</v>
      </c>
      <c r="J45" s="416">
        <v>3580</v>
      </c>
      <c r="K45" s="417">
        <v>19364.400131225586</v>
      </c>
    </row>
    <row r="46" spans="1:11" ht="14.45" customHeight="1" x14ac:dyDescent="0.2">
      <c r="A46" s="412" t="s">
        <v>258</v>
      </c>
      <c r="B46" s="413" t="s">
        <v>259</v>
      </c>
      <c r="C46" s="414" t="s">
        <v>270</v>
      </c>
      <c r="D46" s="415" t="s">
        <v>271</v>
      </c>
      <c r="E46" s="414" t="s">
        <v>333</v>
      </c>
      <c r="F46" s="415" t="s">
        <v>334</v>
      </c>
      <c r="G46" s="414" t="s">
        <v>340</v>
      </c>
      <c r="H46" s="414" t="s">
        <v>345</v>
      </c>
      <c r="I46" s="416">
        <v>3.4300000667572021</v>
      </c>
      <c r="J46" s="416">
        <v>520</v>
      </c>
      <c r="K46" s="417">
        <v>1781.4000244140625</v>
      </c>
    </row>
    <row r="47" spans="1:11" ht="14.45" customHeight="1" x14ac:dyDescent="0.2">
      <c r="A47" s="412" t="s">
        <v>258</v>
      </c>
      <c r="B47" s="413" t="s">
        <v>259</v>
      </c>
      <c r="C47" s="414" t="s">
        <v>270</v>
      </c>
      <c r="D47" s="415" t="s">
        <v>271</v>
      </c>
      <c r="E47" s="414" t="s">
        <v>333</v>
      </c>
      <c r="F47" s="415" t="s">
        <v>334</v>
      </c>
      <c r="G47" s="414" t="s">
        <v>342</v>
      </c>
      <c r="H47" s="414" t="s">
        <v>346</v>
      </c>
      <c r="I47" s="416">
        <v>40.736666361490883</v>
      </c>
      <c r="J47" s="416">
        <v>240</v>
      </c>
      <c r="K47" s="417">
        <v>9776.8199462890625</v>
      </c>
    </row>
    <row r="48" spans="1:11" ht="14.45" customHeight="1" x14ac:dyDescent="0.2">
      <c r="A48" s="412" t="s">
        <v>258</v>
      </c>
      <c r="B48" s="413" t="s">
        <v>259</v>
      </c>
      <c r="C48" s="414" t="s">
        <v>270</v>
      </c>
      <c r="D48" s="415" t="s">
        <v>271</v>
      </c>
      <c r="E48" s="414" t="s">
        <v>333</v>
      </c>
      <c r="F48" s="415" t="s">
        <v>334</v>
      </c>
      <c r="G48" s="414" t="s">
        <v>347</v>
      </c>
      <c r="H48" s="414" t="s">
        <v>348</v>
      </c>
      <c r="I48" s="416">
        <v>4.0300002098083496</v>
      </c>
      <c r="J48" s="416">
        <v>390</v>
      </c>
      <c r="K48" s="417">
        <v>1571.7000045776367</v>
      </c>
    </row>
    <row r="49" spans="1:11" ht="14.45" customHeight="1" x14ac:dyDescent="0.2">
      <c r="A49" s="412" t="s">
        <v>258</v>
      </c>
      <c r="B49" s="413" t="s">
        <v>259</v>
      </c>
      <c r="C49" s="414" t="s">
        <v>270</v>
      </c>
      <c r="D49" s="415" t="s">
        <v>271</v>
      </c>
      <c r="E49" s="414" t="s">
        <v>333</v>
      </c>
      <c r="F49" s="415" t="s">
        <v>334</v>
      </c>
      <c r="G49" s="414" t="s">
        <v>347</v>
      </c>
      <c r="H49" s="414" t="s">
        <v>349</v>
      </c>
      <c r="I49" s="416">
        <v>4.0276001548767093</v>
      </c>
      <c r="J49" s="416">
        <v>780</v>
      </c>
      <c r="K49" s="417">
        <v>3141.4000091552734</v>
      </c>
    </row>
    <row r="50" spans="1:11" ht="14.45" customHeight="1" x14ac:dyDescent="0.2">
      <c r="A50" s="412" t="s">
        <v>258</v>
      </c>
      <c r="B50" s="413" t="s">
        <v>259</v>
      </c>
      <c r="C50" s="414" t="s">
        <v>270</v>
      </c>
      <c r="D50" s="415" t="s">
        <v>271</v>
      </c>
      <c r="E50" s="414" t="s">
        <v>333</v>
      </c>
      <c r="F50" s="415" t="s">
        <v>334</v>
      </c>
      <c r="G50" s="414" t="s">
        <v>350</v>
      </c>
      <c r="H50" s="414" t="s">
        <v>351</v>
      </c>
      <c r="I50" s="416">
        <v>15.729999542236328</v>
      </c>
      <c r="J50" s="416">
        <v>100</v>
      </c>
      <c r="K50" s="417">
        <v>1573</v>
      </c>
    </row>
    <row r="51" spans="1:11" ht="14.45" customHeight="1" x14ac:dyDescent="0.2">
      <c r="A51" s="412" t="s">
        <v>258</v>
      </c>
      <c r="B51" s="413" t="s">
        <v>259</v>
      </c>
      <c r="C51" s="414" t="s">
        <v>270</v>
      </c>
      <c r="D51" s="415" t="s">
        <v>271</v>
      </c>
      <c r="E51" s="414" t="s">
        <v>333</v>
      </c>
      <c r="F51" s="415" t="s">
        <v>334</v>
      </c>
      <c r="G51" s="414" t="s">
        <v>352</v>
      </c>
      <c r="H51" s="414" t="s">
        <v>353</v>
      </c>
      <c r="I51" s="416">
        <v>7.8652380988711403</v>
      </c>
      <c r="J51" s="416">
        <v>759</v>
      </c>
      <c r="K51" s="417">
        <v>5970.1300659179688</v>
      </c>
    </row>
    <row r="52" spans="1:11" ht="14.45" customHeight="1" x14ac:dyDescent="0.2">
      <c r="A52" s="412" t="s">
        <v>258</v>
      </c>
      <c r="B52" s="413" t="s">
        <v>259</v>
      </c>
      <c r="C52" s="414" t="s">
        <v>270</v>
      </c>
      <c r="D52" s="415" t="s">
        <v>271</v>
      </c>
      <c r="E52" s="414" t="s">
        <v>333</v>
      </c>
      <c r="F52" s="415" t="s">
        <v>334</v>
      </c>
      <c r="G52" s="414" t="s">
        <v>350</v>
      </c>
      <c r="H52" s="414" t="s">
        <v>354</v>
      </c>
      <c r="I52" s="416">
        <v>15.729999542236328</v>
      </c>
      <c r="J52" s="416">
        <v>50</v>
      </c>
      <c r="K52" s="417">
        <v>786.5</v>
      </c>
    </row>
    <row r="53" spans="1:11" ht="14.45" customHeight="1" x14ac:dyDescent="0.2">
      <c r="A53" s="412" t="s">
        <v>258</v>
      </c>
      <c r="B53" s="413" t="s">
        <v>259</v>
      </c>
      <c r="C53" s="414" t="s">
        <v>270</v>
      </c>
      <c r="D53" s="415" t="s">
        <v>271</v>
      </c>
      <c r="E53" s="414" t="s">
        <v>333</v>
      </c>
      <c r="F53" s="415" t="s">
        <v>334</v>
      </c>
      <c r="G53" s="414" t="s">
        <v>352</v>
      </c>
      <c r="H53" s="414" t="s">
        <v>355</v>
      </c>
      <c r="I53" s="416">
        <v>8.7482432996904524</v>
      </c>
      <c r="J53" s="416">
        <v>2350</v>
      </c>
      <c r="K53" s="417">
        <v>20627.800254821777</v>
      </c>
    </row>
    <row r="54" spans="1:11" ht="14.45" customHeight="1" x14ac:dyDescent="0.2">
      <c r="A54" s="412" t="s">
        <v>258</v>
      </c>
      <c r="B54" s="413" t="s">
        <v>259</v>
      </c>
      <c r="C54" s="414" t="s">
        <v>270</v>
      </c>
      <c r="D54" s="415" t="s">
        <v>271</v>
      </c>
      <c r="E54" s="414" t="s">
        <v>333</v>
      </c>
      <c r="F54" s="415" t="s">
        <v>334</v>
      </c>
      <c r="G54" s="414" t="s">
        <v>356</v>
      </c>
      <c r="H54" s="414" t="s">
        <v>357</v>
      </c>
      <c r="I54" s="416">
        <v>10.079999923706055</v>
      </c>
      <c r="J54" s="416">
        <v>60</v>
      </c>
      <c r="K54" s="417">
        <v>604.79998779296875</v>
      </c>
    </row>
    <row r="55" spans="1:11" ht="14.45" customHeight="1" x14ac:dyDescent="0.2">
      <c r="A55" s="412" t="s">
        <v>258</v>
      </c>
      <c r="B55" s="413" t="s">
        <v>259</v>
      </c>
      <c r="C55" s="414" t="s">
        <v>270</v>
      </c>
      <c r="D55" s="415" t="s">
        <v>271</v>
      </c>
      <c r="E55" s="414" t="s">
        <v>333</v>
      </c>
      <c r="F55" s="415" t="s">
        <v>334</v>
      </c>
      <c r="G55" s="414" t="s">
        <v>356</v>
      </c>
      <c r="H55" s="414" t="s">
        <v>358</v>
      </c>
      <c r="I55" s="416">
        <v>10.075714111328125</v>
      </c>
      <c r="J55" s="416">
        <v>210</v>
      </c>
      <c r="K55" s="417">
        <v>2115.8500061035156</v>
      </c>
    </row>
    <row r="56" spans="1:11" ht="14.45" customHeight="1" x14ac:dyDescent="0.2">
      <c r="A56" s="412" t="s">
        <v>258</v>
      </c>
      <c r="B56" s="413" t="s">
        <v>259</v>
      </c>
      <c r="C56" s="414" t="s">
        <v>270</v>
      </c>
      <c r="D56" s="415" t="s">
        <v>271</v>
      </c>
      <c r="E56" s="414" t="s">
        <v>333</v>
      </c>
      <c r="F56" s="415" t="s">
        <v>334</v>
      </c>
      <c r="G56" s="414" t="s">
        <v>359</v>
      </c>
      <c r="H56" s="414" t="s">
        <v>360</v>
      </c>
      <c r="I56" s="416">
        <v>10.074999809265137</v>
      </c>
      <c r="J56" s="416">
        <v>60</v>
      </c>
      <c r="K56" s="417">
        <v>604.5</v>
      </c>
    </row>
    <row r="57" spans="1:11" ht="14.45" customHeight="1" x14ac:dyDescent="0.2">
      <c r="A57" s="412" t="s">
        <v>258</v>
      </c>
      <c r="B57" s="413" t="s">
        <v>259</v>
      </c>
      <c r="C57" s="414" t="s">
        <v>270</v>
      </c>
      <c r="D57" s="415" t="s">
        <v>271</v>
      </c>
      <c r="E57" s="414" t="s">
        <v>333</v>
      </c>
      <c r="F57" s="415" t="s">
        <v>334</v>
      </c>
      <c r="G57" s="414" t="s">
        <v>359</v>
      </c>
      <c r="H57" s="414" t="s">
        <v>361</v>
      </c>
      <c r="I57" s="416">
        <v>10.076470431159525</v>
      </c>
      <c r="J57" s="416">
        <v>540</v>
      </c>
      <c r="K57" s="417">
        <v>5440.9199829101563</v>
      </c>
    </row>
    <row r="58" spans="1:11" ht="14.45" customHeight="1" x14ac:dyDescent="0.2">
      <c r="A58" s="412" t="s">
        <v>258</v>
      </c>
      <c r="B58" s="413" t="s">
        <v>259</v>
      </c>
      <c r="C58" s="414" t="s">
        <v>270</v>
      </c>
      <c r="D58" s="415" t="s">
        <v>271</v>
      </c>
      <c r="E58" s="414" t="s">
        <v>333</v>
      </c>
      <c r="F58" s="415" t="s">
        <v>334</v>
      </c>
      <c r="G58" s="414" t="s">
        <v>362</v>
      </c>
      <c r="H58" s="414" t="s">
        <v>363</v>
      </c>
      <c r="I58" s="416">
        <v>10.079999923706055</v>
      </c>
      <c r="J58" s="416">
        <v>90</v>
      </c>
      <c r="K58" s="417">
        <v>906.77001953125</v>
      </c>
    </row>
    <row r="59" spans="1:11" ht="14.45" customHeight="1" x14ac:dyDescent="0.2">
      <c r="A59" s="412" t="s">
        <v>258</v>
      </c>
      <c r="B59" s="413" t="s">
        <v>259</v>
      </c>
      <c r="C59" s="414" t="s">
        <v>270</v>
      </c>
      <c r="D59" s="415" t="s">
        <v>271</v>
      </c>
      <c r="E59" s="414" t="s">
        <v>333</v>
      </c>
      <c r="F59" s="415" t="s">
        <v>334</v>
      </c>
      <c r="G59" s="414" t="s">
        <v>362</v>
      </c>
      <c r="H59" s="414" t="s">
        <v>364</v>
      </c>
      <c r="I59" s="416">
        <v>10.07588218240177</v>
      </c>
      <c r="J59" s="416">
        <v>540</v>
      </c>
      <c r="K59" s="417">
        <v>5440.7699890136719</v>
      </c>
    </row>
    <row r="60" spans="1:11" ht="14.45" customHeight="1" x14ac:dyDescent="0.2">
      <c r="A60" s="412" t="s">
        <v>258</v>
      </c>
      <c r="B60" s="413" t="s">
        <v>259</v>
      </c>
      <c r="C60" s="414" t="s">
        <v>270</v>
      </c>
      <c r="D60" s="415" t="s">
        <v>271</v>
      </c>
      <c r="E60" s="414" t="s">
        <v>333</v>
      </c>
      <c r="F60" s="415" t="s">
        <v>334</v>
      </c>
      <c r="G60" s="414" t="s">
        <v>365</v>
      </c>
      <c r="H60" s="414" t="s">
        <v>366</v>
      </c>
      <c r="I60" s="416">
        <v>3.1500000953674316</v>
      </c>
      <c r="J60" s="416">
        <v>15</v>
      </c>
      <c r="K60" s="417">
        <v>47.25</v>
      </c>
    </row>
    <row r="61" spans="1:11" ht="14.45" customHeight="1" x14ac:dyDescent="0.2">
      <c r="A61" s="412" t="s">
        <v>258</v>
      </c>
      <c r="B61" s="413" t="s">
        <v>259</v>
      </c>
      <c r="C61" s="414" t="s">
        <v>270</v>
      </c>
      <c r="D61" s="415" t="s">
        <v>271</v>
      </c>
      <c r="E61" s="414" t="s">
        <v>333</v>
      </c>
      <c r="F61" s="415" t="s">
        <v>334</v>
      </c>
      <c r="G61" s="414" t="s">
        <v>365</v>
      </c>
      <c r="H61" s="414" t="s">
        <v>367</v>
      </c>
      <c r="I61" s="416">
        <v>3.1500000953674316</v>
      </c>
      <c r="J61" s="416">
        <v>15</v>
      </c>
      <c r="K61" s="417">
        <v>47.25</v>
      </c>
    </row>
    <row r="62" spans="1:11" ht="14.45" customHeight="1" x14ac:dyDescent="0.2">
      <c r="A62" s="412" t="s">
        <v>258</v>
      </c>
      <c r="B62" s="413" t="s">
        <v>259</v>
      </c>
      <c r="C62" s="414" t="s">
        <v>270</v>
      </c>
      <c r="D62" s="415" t="s">
        <v>271</v>
      </c>
      <c r="E62" s="414" t="s">
        <v>333</v>
      </c>
      <c r="F62" s="415" t="s">
        <v>334</v>
      </c>
      <c r="G62" s="414" t="s">
        <v>368</v>
      </c>
      <c r="H62" s="414" t="s">
        <v>369</v>
      </c>
      <c r="I62" s="416">
        <v>1210</v>
      </c>
      <c r="J62" s="416">
        <v>1</v>
      </c>
      <c r="K62" s="417">
        <v>1210</v>
      </c>
    </row>
    <row r="63" spans="1:11" ht="14.45" customHeight="1" x14ac:dyDescent="0.2">
      <c r="A63" s="412" t="s">
        <v>258</v>
      </c>
      <c r="B63" s="413" t="s">
        <v>259</v>
      </c>
      <c r="C63" s="414" t="s">
        <v>270</v>
      </c>
      <c r="D63" s="415" t="s">
        <v>271</v>
      </c>
      <c r="E63" s="414" t="s">
        <v>333</v>
      </c>
      <c r="F63" s="415" t="s">
        <v>334</v>
      </c>
      <c r="G63" s="414" t="s">
        <v>370</v>
      </c>
      <c r="H63" s="414" t="s">
        <v>371</v>
      </c>
      <c r="I63" s="416">
        <v>11.736363324252041</v>
      </c>
      <c r="J63" s="416">
        <v>22</v>
      </c>
      <c r="K63" s="417">
        <v>258.19999313354492</v>
      </c>
    </row>
    <row r="64" spans="1:11" ht="14.45" customHeight="1" x14ac:dyDescent="0.2">
      <c r="A64" s="412" t="s">
        <v>258</v>
      </c>
      <c r="B64" s="413" t="s">
        <v>259</v>
      </c>
      <c r="C64" s="414" t="s">
        <v>270</v>
      </c>
      <c r="D64" s="415" t="s">
        <v>271</v>
      </c>
      <c r="E64" s="414" t="s">
        <v>333</v>
      </c>
      <c r="F64" s="415" t="s">
        <v>334</v>
      </c>
      <c r="G64" s="414" t="s">
        <v>370</v>
      </c>
      <c r="H64" s="414" t="s">
        <v>372</v>
      </c>
      <c r="I64" s="416">
        <v>11.737182805235957</v>
      </c>
      <c r="J64" s="416">
        <v>71</v>
      </c>
      <c r="K64" s="417">
        <v>833.33997917175293</v>
      </c>
    </row>
    <row r="65" spans="1:11" ht="14.45" customHeight="1" x14ac:dyDescent="0.2">
      <c r="A65" s="412" t="s">
        <v>258</v>
      </c>
      <c r="B65" s="413" t="s">
        <v>259</v>
      </c>
      <c r="C65" s="414" t="s">
        <v>270</v>
      </c>
      <c r="D65" s="415" t="s">
        <v>271</v>
      </c>
      <c r="E65" s="414" t="s">
        <v>333</v>
      </c>
      <c r="F65" s="415" t="s">
        <v>334</v>
      </c>
      <c r="G65" s="414" t="s">
        <v>373</v>
      </c>
      <c r="H65" s="414" t="s">
        <v>374</v>
      </c>
      <c r="I65" s="416">
        <v>4.8000001907348633</v>
      </c>
      <c r="J65" s="416">
        <v>100</v>
      </c>
      <c r="K65" s="417">
        <v>480</v>
      </c>
    </row>
    <row r="66" spans="1:11" ht="14.45" customHeight="1" x14ac:dyDescent="0.2">
      <c r="A66" s="412" t="s">
        <v>258</v>
      </c>
      <c r="B66" s="413" t="s">
        <v>259</v>
      </c>
      <c r="C66" s="414" t="s">
        <v>270</v>
      </c>
      <c r="D66" s="415" t="s">
        <v>271</v>
      </c>
      <c r="E66" s="414" t="s">
        <v>333</v>
      </c>
      <c r="F66" s="415" t="s">
        <v>334</v>
      </c>
      <c r="G66" s="414" t="s">
        <v>375</v>
      </c>
      <c r="H66" s="414" t="s">
        <v>376</v>
      </c>
      <c r="I66" s="416">
        <v>58.080001831054688</v>
      </c>
      <c r="J66" s="416">
        <v>30</v>
      </c>
      <c r="K66" s="417">
        <v>1742.4000244140625</v>
      </c>
    </row>
    <row r="67" spans="1:11" ht="14.45" customHeight="1" x14ac:dyDescent="0.2">
      <c r="A67" s="412" t="s">
        <v>258</v>
      </c>
      <c r="B67" s="413" t="s">
        <v>259</v>
      </c>
      <c r="C67" s="414" t="s">
        <v>270</v>
      </c>
      <c r="D67" s="415" t="s">
        <v>271</v>
      </c>
      <c r="E67" s="414" t="s">
        <v>333</v>
      </c>
      <c r="F67" s="415" t="s">
        <v>334</v>
      </c>
      <c r="G67" s="414" t="s">
        <v>375</v>
      </c>
      <c r="H67" s="414" t="s">
        <v>377</v>
      </c>
      <c r="I67" s="416">
        <v>58.080001831054688</v>
      </c>
      <c r="J67" s="416">
        <v>30</v>
      </c>
      <c r="K67" s="417">
        <v>1742.4000244140625</v>
      </c>
    </row>
    <row r="68" spans="1:11" ht="14.45" customHeight="1" x14ac:dyDescent="0.2">
      <c r="A68" s="412" t="s">
        <v>258</v>
      </c>
      <c r="B68" s="413" t="s">
        <v>259</v>
      </c>
      <c r="C68" s="414" t="s">
        <v>270</v>
      </c>
      <c r="D68" s="415" t="s">
        <v>271</v>
      </c>
      <c r="E68" s="414" t="s">
        <v>333</v>
      </c>
      <c r="F68" s="415" t="s">
        <v>334</v>
      </c>
      <c r="G68" s="414" t="s">
        <v>378</v>
      </c>
      <c r="H68" s="414" t="s">
        <v>379</v>
      </c>
      <c r="I68" s="416">
        <v>258.8900146484375</v>
      </c>
      <c r="J68" s="416">
        <v>60</v>
      </c>
      <c r="K68" s="417">
        <v>15533.5</v>
      </c>
    </row>
    <row r="69" spans="1:11" ht="14.45" customHeight="1" x14ac:dyDescent="0.2">
      <c r="A69" s="412" t="s">
        <v>258</v>
      </c>
      <c r="B69" s="413" t="s">
        <v>259</v>
      </c>
      <c r="C69" s="414" t="s">
        <v>270</v>
      </c>
      <c r="D69" s="415" t="s">
        <v>271</v>
      </c>
      <c r="E69" s="414" t="s">
        <v>333</v>
      </c>
      <c r="F69" s="415" t="s">
        <v>334</v>
      </c>
      <c r="G69" s="414" t="s">
        <v>380</v>
      </c>
      <c r="H69" s="414" t="s">
        <v>381</v>
      </c>
      <c r="I69" s="416">
        <v>217.44000244140625</v>
      </c>
      <c r="J69" s="416">
        <v>150</v>
      </c>
      <c r="K69" s="417">
        <v>32616.0009765625</v>
      </c>
    </row>
    <row r="70" spans="1:11" ht="14.45" customHeight="1" x14ac:dyDescent="0.2">
      <c r="A70" s="412" t="s">
        <v>258</v>
      </c>
      <c r="B70" s="413" t="s">
        <v>259</v>
      </c>
      <c r="C70" s="414" t="s">
        <v>270</v>
      </c>
      <c r="D70" s="415" t="s">
        <v>271</v>
      </c>
      <c r="E70" s="414" t="s">
        <v>333</v>
      </c>
      <c r="F70" s="415" t="s">
        <v>334</v>
      </c>
      <c r="G70" s="414" t="s">
        <v>378</v>
      </c>
      <c r="H70" s="414" t="s">
        <v>382</v>
      </c>
      <c r="I70" s="416">
        <v>258.8900146484375</v>
      </c>
      <c r="J70" s="416">
        <v>60</v>
      </c>
      <c r="K70" s="417">
        <v>15533.5</v>
      </c>
    </row>
    <row r="71" spans="1:11" ht="14.45" customHeight="1" x14ac:dyDescent="0.2">
      <c r="A71" s="412" t="s">
        <v>258</v>
      </c>
      <c r="B71" s="413" t="s">
        <v>259</v>
      </c>
      <c r="C71" s="414" t="s">
        <v>270</v>
      </c>
      <c r="D71" s="415" t="s">
        <v>271</v>
      </c>
      <c r="E71" s="414" t="s">
        <v>333</v>
      </c>
      <c r="F71" s="415" t="s">
        <v>334</v>
      </c>
      <c r="G71" s="414" t="s">
        <v>380</v>
      </c>
      <c r="H71" s="414" t="s">
        <v>383</v>
      </c>
      <c r="I71" s="416">
        <v>217.43718719482422</v>
      </c>
      <c r="J71" s="416">
        <v>975</v>
      </c>
      <c r="K71" s="417">
        <v>212000.73291015625</v>
      </c>
    </row>
    <row r="72" spans="1:11" ht="14.45" customHeight="1" x14ac:dyDescent="0.2">
      <c r="A72" s="412" t="s">
        <v>258</v>
      </c>
      <c r="B72" s="413" t="s">
        <v>259</v>
      </c>
      <c r="C72" s="414" t="s">
        <v>270</v>
      </c>
      <c r="D72" s="415" t="s">
        <v>271</v>
      </c>
      <c r="E72" s="414" t="s">
        <v>333</v>
      </c>
      <c r="F72" s="415" t="s">
        <v>334</v>
      </c>
      <c r="G72" s="414" t="s">
        <v>384</v>
      </c>
      <c r="H72" s="414" t="s">
        <v>385</v>
      </c>
      <c r="I72" s="416">
        <v>217.43499755859375</v>
      </c>
      <c r="J72" s="416">
        <v>90</v>
      </c>
      <c r="K72" s="417">
        <v>19569</v>
      </c>
    </row>
    <row r="73" spans="1:11" ht="14.45" customHeight="1" x14ac:dyDescent="0.2">
      <c r="A73" s="412" t="s">
        <v>258</v>
      </c>
      <c r="B73" s="413" t="s">
        <v>259</v>
      </c>
      <c r="C73" s="414" t="s">
        <v>270</v>
      </c>
      <c r="D73" s="415" t="s">
        <v>271</v>
      </c>
      <c r="E73" s="414" t="s">
        <v>333</v>
      </c>
      <c r="F73" s="415" t="s">
        <v>334</v>
      </c>
      <c r="G73" s="414" t="s">
        <v>386</v>
      </c>
      <c r="H73" s="414" t="s">
        <v>387</v>
      </c>
      <c r="I73" s="416">
        <v>2185</v>
      </c>
      <c r="J73" s="416">
        <v>1</v>
      </c>
      <c r="K73" s="417">
        <v>2185</v>
      </c>
    </row>
    <row r="74" spans="1:11" ht="14.45" customHeight="1" x14ac:dyDescent="0.2">
      <c r="A74" s="412" t="s">
        <v>258</v>
      </c>
      <c r="B74" s="413" t="s">
        <v>259</v>
      </c>
      <c r="C74" s="414" t="s">
        <v>270</v>
      </c>
      <c r="D74" s="415" t="s">
        <v>271</v>
      </c>
      <c r="E74" s="414" t="s">
        <v>333</v>
      </c>
      <c r="F74" s="415" t="s">
        <v>334</v>
      </c>
      <c r="G74" s="414" t="s">
        <v>388</v>
      </c>
      <c r="H74" s="414" t="s">
        <v>389</v>
      </c>
      <c r="I74" s="416">
        <v>18.149999618530273</v>
      </c>
      <c r="J74" s="416">
        <v>50</v>
      </c>
      <c r="K74" s="417">
        <v>907.5</v>
      </c>
    </row>
    <row r="75" spans="1:11" ht="14.45" customHeight="1" x14ac:dyDescent="0.2">
      <c r="A75" s="412" t="s">
        <v>258</v>
      </c>
      <c r="B75" s="413" t="s">
        <v>259</v>
      </c>
      <c r="C75" s="414" t="s">
        <v>270</v>
      </c>
      <c r="D75" s="415" t="s">
        <v>271</v>
      </c>
      <c r="E75" s="414" t="s">
        <v>333</v>
      </c>
      <c r="F75" s="415" t="s">
        <v>334</v>
      </c>
      <c r="G75" s="414" t="s">
        <v>390</v>
      </c>
      <c r="H75" s="414" t="s">
        <v>391</v>
      </c>
      <c r="I75" s="416">
        <v>0.82874998450279236</v>
      </c>
      <c r="J75" s="416">
        <v>820</v>
      </c>
      <c r="K75" s="417">
        <v>679.80000305175781</v>
      </c>
    </row>
    <row r="76" spans="1:11" ht="14.45" customHeight="1" x14ac:dyDescent="0.2">
      <c r="A76" s="412" t="s">
        <v>258</v>
      </c>
      <c r="B76" s="413" t="s">
        <v>259</v>
      </c>
      <c r="C76" s="414" t="s">
        <v>270</v>
      </c>
      <c r="D76" s="415" t="s">
        <v>271</v>
      </c>
      <c r="E76" s="414" t="s">
        <v>333</v>
      </c>
      <c r="F76" s="415" t="s">
        <v>334</v>
      </c>
      <c r="G76" s="414" t="s">
        <v>392</v>
      </c>
      <c r="H76" s="414" t="s">
        <v>393</v>
      </c>
      <c r="I76" s="416">
        <v>1.0878947722284418</v>
      </c>
      <c r="J76" s="416">
        <v>1880</v>
      </c>
      <c r="K76" s="417">
        <v>2045.2000045776367</v>
      </c>
    </row>
    <row r="77" spans="1:11" ht="14.45" customHeight="1" x14ac:dyDescent="0.2">
      <c r="A77" s="412" t="s">
        <v>258</v>
      </c>
      <c r="B77" s="413" t="s">
        <v>259</v>
      </c>
      <c r="C77" s="414" t="s">
        <v>270</v>
      </c>
      <c r="D77" s="415" t="s">
        <v>271</v>
      </c>
      <c r="E77" s="414" t="s">
        <v>333</v>
      </c>
      <c r="F77" s="415" t="s">
        <v>334</v>
      </c>
      <c r="G77" s="414" t="s">
        <v>394</v>
      </c>
      <c r="H77" s="414" t="s">
        <v>395</v>
      </c>
      <c r="I77" s="416">
        <v>1.1266666650772095</v>
      </c>
      <c r="J77" s="416">
        <v>560</v>
      </c>
      <c r="K77" s="417">
        <v>631.99999237060547</v>
      </c>
    </row>
    <row r="78" spans="1:11" ht="14.45" customHeight="1" x14ac:dyDescent="0.2">
      <c r="A78" s="412" t="s">
        <v>258</v>
      </c>
      <c r="B78" s="413" t="s">
        <v>259</v>
      </c>
      <c r="C78" s="414" t="s">
        <v>270</v>
      </c>
      <c r="D78" s="415" t="s">
        <v>271</v>
      </c>
      <c r="E78" s="414" t="s">
        <v>333</v>
      </c>
      <c r="F78" s="415" t="s">
        <v>334</v>
      </c>
      <c r="G78" s="414" t="s">
        <v>396</v>
      </c>
      <c r="H78" s="414" t="s">
        <v>397</v>
      </c>
      <c r="I78" s="416">
        <v>1.6766666173934937</v>
      </c>
      <c r="J78" s="416">
        <v>160</v>
      </c>
      <c r="K78" s="417">
        <v>268.5</v>
      </c>
    </row>
    <row r="79" spans="1:11" ht="14.45" customHeight="1" x14ac:dyDescent="0.2">
      <c r="A79" s="412" t="s">
        <v>258</v>
      </c>
      <c r="B79" s="413" t="s">
        <v>259</v>
      </c>
      <c r="C79" s="414" t="s">
        <v>270</v>
      </c>
      <c r="D79" s="415" t="s">
        <v>271</v>
      </c>
      <c r="E79" s="414" t="s">
        <v>333</v>
      </c>
      <c r="F79" s="415" t="s">
        <v>334</v>
      </c>
      <c r="G79" s="414" t="s">
        <v>398</v>
      </c>
      <c r="H79" s="414" t="s">
        <v>399</v>
      </c>
      <c r="I79" s="416">
        <v>0.67000001668930054</v>
      </c>
      <c r="J79" s="416">
        <v>60</v>
      </c>
      <c r="K79" s="417">
        <v>40.200000762939453</v>
      </c>
    </row>
    <row r="80" spans="1:11" ht="14.45" customHeight="1" x14ac:dyDescent="0.2">
      <c r="A80" s="412" t="s">
        <v>258</v>
      </c>
      <c r="B80" s="413" t="s">
        <v>259</v>
      </c>
      <c r="C80" s="414" t="s">
        <v>270</v>
      </c>
      <c r="D80" s="415" t="s">
        <v>271</v>
      </c>
      <c r="E80" s="414" t="s">
        <v>333</v>
      </c>
      <c r="F80" s="415" t="s">
        <v>334</v>
      </c>
      <c r="G80" s="414" t="s">
        <v>400</v>
      </c>
      <c r="H80" s="414" t="s">
        <v>401</v>
      </c>
      <c r="I80" s="416">
        <v>1.5</v>
      </c>
      <c r="J80" s="416">
        <v>140</v>
      </c>
      <c r="K80" s="417">
        <v>210</v>
      </c>
    </row>
    <row r="81" spans="1:11" ht="14.45" customHeight="1" x14ac:dyDescent="0.2">
      <c r="A81" s="412" t="s">
        <v>258</v>
      </c>
      <c r="B81" s="413" t="s">
        <v>259</v>
      </c>
      <c r="C81" s="414" t="s">
        <v>270</v>
      </c>
      <c r="D81" s="415" t="s">
        <v>271</v>
      </c>
      <c r="E81" s="414" t="s">
        <v>333</v>
      </c>
      <c r="F81" s="415" t="s">
        <v>334</v>
      </c>
      <c r="G81" s="414" t="s">
        <v>402</v>
      </c>
      <c r="H81" s="414" t="s">
        <v>403</v>
      </c>
      <c r="I81" s="416">
        <v>17.059999465942383</v>
      </c>
      <c r="J81" s="416">
        <v>50</v>
      </c>
      <c r="K81" s="417">
        <v>853.04998779296875</v>
      </c>
    </row>
    <row r="82" spans="1:11" ht="14.45" customHeight="1" x14ac:dyDescent="0.2">
      <c r="A82" s="412" t="s">
        <v>258</v>
      </c>
      <c r="B82" s="413" t="s">
        <v>259</v>
      </c>
      <c r="C82" s="414" t="s">
        <v>270</v>
      </c>
      <c r="D82" s="415" t="s">
        <v>271</v>
      </c>
      <c r="E82" s="414" t="s">
        <v>333</v>
      </c>
      <c r="F82" s="415" t="s">
        <v>334</v>
      </c>
      <c r="G82" s="414" t="s">
        <v>404</v>
      </c>
      <c r="H82" s="414" t="s">
        <v>405</v>
      </c>
      <c r="I82" s="416">
        <v>30.129999160766602</v>
      </c>
      <c r="J82" s="416">
        <v>50</v>
      </c>
      <c r="K82" s="417">
        <v>1506.449951171875</v>
      </c>
    </row>
    <row r="83" spans="1:11" ht="14.45" customHeight="1" x14ac:dyDescent="0.2">
      <c r="A83" s="412" t="s">
        <v>258</v>
      </c>
      <c r="B83" s="413" t="s">
        <v>259</v>
      </c>
      <c r="C83" s="414" t="s">
        <v>270</v>
      </c>
      <c r="D83" s="415" t="s">
        <v>271</v>
      </c>
      <c r="E83" s="414" t="s">
        <v>333</v>
      </c>
      <c r="F83" s="415" t="s">
        <v>334</v>
      </c>
      <c r="G83" s="414" t="s">
        <v>392</v>
      </c>
      <c r="H83" s="414" t="s">
        <v>406</v>
      </c>
      <c r="I83" s="416">
        <v>1.0885915840175791</v>
      </c>
      <c r="J83" s="416">
        <v>6990</v>
      </c>
      <c r="K83" s="417">
        <v>7610.5000076293945</v>
      </c>
    </row>
    <row r="84" spans="1:11" ht="14.45" customHeight="1" x14ac:dyDescent="0.2">
      <c r="A84" s="412" t="s">
        <v>258</v>
      </c>
      <c r="B84" s="413" t="s">
        <v>259</v>
      </c>
      <c r="C84" s="414" t="s">
        <v>270</v>
      </c>
      <c r="D84" s="415" t="s">
        <v>271</v>
      </c>
      <c r="E84" s="414" t="s">
        <v>333</v>
      </c>
      <c r="F84" s="415" t="s">
        <v>334</v>
      </c>
      <c r="G84" s="414" t="s">
        <v>407</v>
      </c>
      <c r="H84" s="414" t="s">
        <v>408</v>
      </c>
      <c r="I84" s="416">
        <v>0.47999998927116394</v>
      </c>
      <c r="J84" s="416">
        <v>100</v>
      </c>
      <c r="K84" s="417">
        <v>48</v>
      </c>
    </row>
    <row r="85" spans="1:11" ht="14.45" customHeight="1" x14ac:dyDescent="0.2">
      <c r="A85" s="412" t="s">
        <v>258</v>
      </c>
      <c r="B85" s="413" t="s">
        <v>259</v>
      </c>
      <c r="C85" s="414" t="s">
        <v>270</v>
      </c>
      <c r="D85" s="415" t="s">
        <v>271</v>
      </c>
      <c r="E85" s="414" t="s">
        <v>333</v>
      </c>
      <c r="F85" s="415" t="s">
        <v>334</v>
      </c>
      <c r="G85" s="414" t="s">
        <v>396</v>
      </c>
      <c r="H85" s="414" t="s">
        <v>409</v>
      </c>
      <c r="I85" s="416">
        <v>1.6749999523162842</v>
      </c>
      <c r="J85" s="416">
        <v>910</v>
      </c>
      <c r="K85" s="417">
        <v>1527.2999954223633</v>
      </c>
    </row>
    <row r="86" spans="1:11" ht="14.45" customHeight="1" x14ac:dyDescent="0.2">
      <c r="A86" s="412" t="s">
        <v>258</v>
      </c>
      <c r="B86" s="413" t="s">
        <v>259</v>
      </c>
      <c r="C86" s="414" t="s">
        <v>270</v>
      </c>
      <c r="D86" s="415" t="s">
        <v>271</v>
      </c>
      <c r="E86" s="414" t="s">
        <v>333</v>
      </c>
      <c r="F86" s="415" t="s">
        <v>334</v>
      </c>
      <c r="G86" s="414" t="s">
        <v>398</v>
      </c>
      <c r="H86" s="414" t="s">
        <v>410</v>
      </c>
      <c r="I86" s="416">
        <v>0.67000001668930054</v>
      </c>
      <c r="J86" s="416">
        <v>670</v>
      </c>
      <c r="K86" s="417">
        <v>448.90000152587891</v>
      </c>
    </row>
    <row r="87" spans="1:11" ht="14.45" customHeight="1" x14ac:dyDescent="0.2">
      <c r="A87" s="412" t="s">
        <v>258</v>
      </c>
      <c r="B87" s="413" t="s">
        <v>259</v>
      </c>
      <c r="C87" s="414" t="s">
        <v>270</v>
      </c>
      <c r="D87" s="415" t="s">
        <v>271</v>
      </c>
      <c r="E87" s="414" t="s">
        <v>333</v>
      </c>
      <c r="F87" s="415" t="s">
        <v>334</v>
      </c>
      <c r="G87" s="414" t="s">
        <v>400</v>
      </c>
      <c r="H87" s="414" t="s">
        <v>411</v>
      </c>
      <c r="I87" s="416">
        <v>1.5</v>
      </c>
      <c r="J87" s="416">
        <v>210</v>
      </c>
      <c r="K87" s="417">
        <v>315</v>
      </c>
    </row>
    <row r="88" spans="1:11" ht="14.45" customHeight="1" x14ac:dyDescent="0.2">
      <c r="A88" s="412" t="s">
        <v>258</v>
      </c>
      <c r="B88" s="413" t="s">
        <v>259</v>
      </c>
      <c r="C88" s="414" t="s">
        <v>270</v>
      </c>
      <c r="D88" s="415" t="s">
        <v>271</v>
      </c>
      <c r="E88" s="414" t="s">
        <v>333</v>
      </c>
      <c r="F88" s="415" t="s">
        <v>334</v>
      </c>
      <c r="G88" s="414" t="s">
        <v>412</v>
      </c>
      <c r="H88" s="414" t="s">
        <v>413</v>
      </c>
      <c r="I88" s="416">
        <v>5.2100000381469727</v>
      </c>
      <c r="J88" s="416">
        <v>400</v>
      </c>
      <c r="K88" s="417">
        <v>2084</v>
      </c>
    </row>
    <row r="89" spans="1:11" ht="14.45" customHeight="1" x14ac:dyDescent="0.2">
      <c r="A89" s="412" t="s">
        <v>258</v>
      </c>
      <c r="B89" s="413" t="s">
        <v>259</v>
      </c>
      <c r="C89" s="414" t="s">
        <v>270</v>
      </c>
      <c r="D89" s="415" t="s">
        <v>271</v>
      </c>
      <c r="E89" s="414" t="s">
        <v>333</v>
      </c>
      <c r="F89" s="415" t="s">
        <v>334</v>
      </c>
      <c r="G89" s="414" t="s">
        <v>404</v>
      </c>
      <c r="H89" s="414" t="s">
        <v>414</v>
      </c>
      <c r="I89" s="416">
        <v>30.129999160766602</v>
      </c>
      <c r="J89" s="416">
        <v>50</v>
      </c>
      <c r="K89" s="417">
        <v>1506.5</v>
      </c>
    </row>
    <row r="90" spans="1:11" ht="14.45" customHeight="1" x14ac:dyDescent="0.2">
      <c r="A90" s="412" t="s">
        <v>258</v>
      </c>
      <c r="B90" s="413" t="s">
        <v>259</v>
      </c>
      <c r="C90" s="414" t="s">
        <v>270</v>
      </c>
      <c r="D90" s="415" t="s">
        <v>271</v>
      </c>
      <c r="E90" s="414" t="s">
        <v>333</v>
      </c>
      <c r="F90" s="415" t="s">
        <v>334</v>
      </c>
      <c r="G90" s="414" t="s">
        <v>415</v>
      </c>
      <c r="H90" s="414" t="s">
        <v>416</v>
      </c>
      <c r="I90" s="416">
        <v>5.8500001430511475</v>
      </c>
      <c r="J90" s="416">
        <v>500</v>
      </c>
      <c r="K90" s="417">
        <v>2925</v>
      </c>
    </row>
    <row r="91" spans="1:11" ht="14.45" customHeight="1" x14ac:dyDescent="0.2">
      <c r="A91" s="412" t="s">
        <v>258</v>
      </c>
      <c r="B91" s="413" t="s">
        <v>259</v>
      </c>
      <c r="C91" s="414" t="s">
        <v>270</v>
      </c>
      <c r="D91" s="415" t="s">
        <v>271</v>
      </c>
      <c r="E91" s="414" t="s">
        <v>333</v>
      </c>
      <c r="F91" s="415" t="s">
        <v>334</v>
      </c>
      <c r="G91" s="414" t="s">
        <v>417</v>
      </c>
      <c r="H91" s="414" t="s">
        <v>418</v>
      </c>
      <c r="I91" s="416">
        <v>0.4699999988079071</v>
      </c>
      <c r="J91" s="416">
        <v>100</v>
      </c>
      <c r="K91" s="417">
        <v>47</v>
      </c>
    </row>
    <row r="92" spans="1:11" ht="14.45" customHeight="1" x14ac:dyDescent="0.2">
      <c r="A92" s="412" t="s">
        <v>258</v>
      </c>
      <c r="B92" s="413" t="s">
        <v>259</v>
      </c>
      <c r="C92" s="414" t="s">
        <v>270</v>
      </c>
      <c r="D92" s="415" t="s">
        <v>271</v>
      </c>
      <c r="E92" s="414" t="s">
        <v>419</v>
      </c>
      <c r="F92" s="415" t="s">
        <v>420</v>
      </c>
      <c r="G92" s="414" t="s">
        <v>421</v>
      </c>
      <c r="H92" s="414" t="s">
        <v>422</v>
      </c>
      <c r="I92" s="416">
        <v>408.47000122070313</v>
      </c>
      <c r="J92" s="416">
        <v>100</v>
      </c>
      <c r="K92" s="417">
        <v>40847.1806640625</v>
      </c>
    </row>
    <row r="93" spans="1:11" ht="14.45" customHeight="1" x14ac:dyDescent="0.2">
      <c r="A93" s="412" t="s">
        <v>258</v>
      </c>
      <c r="B93" s="413" t="s">
        <v>259</v>
      </c>
      <c r="C93" s="414" t="s">
        <v>270</v>
      </c>
      <c r="D93" s="415" t="s">
        <v>271</v>
      </c>
      <c r="E93" s="414" t="s">
        <v>419</v>
      </c>
      <c r="F93" s="415" t="s">
        <v>420</v>
      </c>
      <c r="G93" s="414" t="s">
        <v>423</v>
      </c>
      <c r="H93" s="414" t="s">
        <v>424</v>
      </c>
      <c r="I93" s="416">
        <v>32.381666342417397</v>
      </c>
      <c r="J93" s="416">
        <v>210</v>
      </c>
      <c r="K93" s="417">
        <v>6987.3900871276855</v>
      </c>
    </row>
    <row r="94" spans="1:11" ht="14.45" customHeight="1" x14ac:dyDescent="0.2">
      <c r="A94" s="412" t="s">
        <v>258</v>
      </c>
      <c r="B94" s="413" t="s">
        <v>259</v>
      </c>
      <c r="C94" s="414" t="s">
        <v>270</v>
      </c>
      <c r="D94" s="415" t="s">
        <v>271</v>
      </c>
      <c r="E94" s="414" t="s">
        <v>419</v>
      </c>
      <c r="F94" s="415" t="s">
        <v>420</v>
      </c>
      <c r="G94" s="414" t="s">
        <v>425</v>
      </c>
      <c r="H94" s="414" t="s">
        <v>426</v>
      </c>
      <c r="I94" s="416">
        <v>10.164999961853027</v>
      </c>
      <c r="J94" s="416">
        <v>1610</v>
      </c>
      <c r="K94" s="417">
        <v>16365.299880981445</v>
      </c>
    </row>
    <row r="95" spans="1:11" ht="14.45" customHeight="1" x14ac:dyDescent="0.2">
      <c r="A95" s="412" t="s">
        <v>258</v>
      </c>
      <c r="B95" s="413" t="s">
        <v>259</v>
      </c>
      <c r="C95" s="414" t="s">
        <v>270</v>
      </c>
      <c r="D95" s="415" t="s">
        <v>271</v>
      </c>
      <c r="E95" s="414" t="s">
        <v>419</v>
      </c>
      <c r="F95" s="415" t="s">
        <v>420</v>
      </c>
      <c r="G95" s="414" t="s">
        <v>421</v>
      </c>
      <c r="H95" s="414" t="s">
        <v>427</v>
      </c>
      <c r="I95" s="416">
        <v>408.47222561306421</v>
      </c>
      <c r="J95" s="416">
        <v>380</v>
      </c>
      <c r="K95" s="417">
        <v>155220.02001953125</v>
      </c>
    </row>
    <row r="96" spans="1:11" ht="14.45" customHeight="1" x14ac:dyDescent="0.2">
      <c r="A96" s="412" t="s">
        <v>258</v>
      </c>
      <c r="B96" s="413" t="s">
        <v>259</v>
      </c>
      <c r="C96" s="414" t="s">
        <v>270</v>
      </c>
      <c r="D96" s="415" t="s">
        <v>271</v>
      </c>
      <c r="E96" s="414" t="s">
        <v>419</v>
      </c>
      <c r="F96" s="415" t="s">
        <v>420</v>
      </c>
      <c r="G96" s="414" t="s">
        <v>423</v>
      </c>
      <c r="H96" s="414" t="s">
        <v>428</v>
      </c>
      <c r="I96" s="416">
        <v>53.577997779846193</v>
      </c>
      <c r="J96" s="416">
        <v>180</v>
      </c>
      <c r="K96" s="417">
        <v>9195.5199699401855</v>
      </c>
    </row>
    <row r="97" spans="1:11" ht="14.45" customHeight="1" x14ac:dyDescent="0.2">
      <c r="A97" s="412" t="s">
        <v>258</v>
      </c>
      <c r="B97" s="413" t="s">
        <v>259</v>
      </c>
      <c r="C97" s="414" t="s">
        <v>270</v>
      </c>
      <c r="D97" s="415" t="s">
        <v>271</v>
      </c>
      <c r="E97" s="414" t="s">
        <v>419</v>
      </c>
      <c r="F97" s="415" t="s">
        <v>420</v>
      </c>
      <c r="G97" s="414" t="s">
        <v>425</v>
      </c>
      <c r="H97" s="414" t="s">
        <v>429</v>
      </c>
      <c r="I97" s="416">
        <v>10.164605203427767</v>
      </c>
      <c r="J97" s="416">
        <v>3290</v>
      </c>
      <c r="K97" s="417">
        <v>33441.39949798584</v>
      </c>
    </row>
    <row r="98" spans="1:11" ht="14.45" customHeight="1" x14ac:dyDescent="0.2">
      <c r="A98" s="412" t="s">
        <v>258</v>
      </c>
      <c r="B98" s="413" t="s">
        <v>259</v>
      </c>
      <c r="C98" s="414" t="s">
        <v>270</v>
      </c>
      <c r="D98" s="415" t="s">
        <v>271</v>
      </c>
      <c r="E98" s="414" t="s">
        <v>419</v>
      </c>
      <c r="F98" s="415" t="s">
        <v>420</v>
      </c>
      <c r="G98" s="414" t="s">
        <v>430</v>
      </c>
      <c r="H98" s="414" t="s">
        <v>431</v>
      </c>
      <c r="I98" s="416">
        <v>162.62333340115018</v>
      </c>
      <c r="J98" s="416">
        <v>270</v>
      </c>
      <c r="K98" s="417">
        <v>43908.3701171875</v>
      </c>
    </row>
    <row r="99" spans="1:11" ht="14.45" customHeight="1" x14ac:dyDescent="0.2">
      <c r="A99" s="412" t="s">
        <v>258</v>
      </c>
      <c r="B99" s="413" t="s">
        <v>259</v>
      </c>
      <c r="C99" s="414" t="s">
        <v>270</v>
      </c>
      <c r="D99" s="415" t="s">
        <v>271</v>
      </c>
      <c r="E99" s="414" t="s">
        <v>419</v>
      </c>
      <c r="F99" s="415" t="s">
        <v>420</v>
      </c>
      <c r="G99" s="414" t="s">
        <v>432</v>
      </c>
      <c r="H99" s="414" t="s">
        <v>433</v>
      </c>
      <c r="I99" s="416">
        <v>7</v>
      </c>
      <c r="J99" s="416">
        <v>90</v>
      </c>
      <c r="K99" s="417">
        <v>630</v>
      </c>
    </row>
    <row r="100" spans="1:11" ht="14.45" customHeight="1" x14ac:dyDescent="0.2">
      <c r="A100" s="412" t="s">
        <v>258</v>
      </c>
      <c r="B100" s="413" t="s">
        <v>259</v>
      </c>
      <c r="C100" s="414" t="s">
        <v>270</v>
      </c>
      <c r="D100" s="415" t="s">
        <v>271</v>
      </c>
      <c r="E100" s="414" t="s">
        <v>419</v>
      </c>
      <c r="F100" s="415" t="s">
        <v>420</v>
      </c>
      <c r="G100" s="414" t="s">
        <v>432</v>
      </c>
      <c r="H100" s="414" t="s">
        <v>434</v>
      </c>
      <c r="I100" s="416">
        <v>7.0100002288818359</v>
      </c>
      <c r="J100" s="416">
        <v>30</v>
      </c>
      <c r="K100" s="417">
        <v>210.30000305175781</v>
      </c>
    </row>
    <row r="101" spans="1:11" ht="14.45" customHeight="1" x14ac:dyDescent="0.2">
      <c r="A101" s="412" t="s">
        <v>258</v>
      </c>
      <c r="B101" s="413" t="s">
        <v>259</v>
      </c>
      <c r="C101" s="414" t="s">
        <v>270</v>
      </c>
      <c r="D101" s="415" t="s">
        <v>271</v>
      </c>
      <c r="E101" s="414" t="s">
        <v>435</v>
      </c>
      <c r="F101" s="415" t="s">
        <v>436</v>
      </c>
      <c r="G101" s="414" t="s">
        <v>437</v>
      </c>
      <c r="H101" s="414" t="s">
        <v>438</v>
      </c>
      <c r="I101" s="416">
        <v>125.48000335693359</v>
      </c>
      <c r="J101" s="416">
        <v>84</v>
      </c>
      <c r="K101" s="417">
        <v>10540.169921875</v>
      </c>
    </row>
    <row r="102" spans="1:11" ht="14.45" customHeight="1" x14ac:dyDescent="0.2">
      <c r="A102" s="412" t="s">
        <v>258</v>
      </c>
      <c r="B102" s="413" t="s">
        <v>259</v>
      </c>
      <c r="C102" s="414" t="s">
        <v>270</v>
      </c>
      <c r="D102" s="415" t="s">
        <v>271</v>
      </c>
      <c r="E102" s="414" t="s">
        <v>435</v>
      </c>
      <c r="F102" s="415" t="s">
        <v>436</v>
      </c>
      <c r="G102" s="414" t="s">
        <v>437</v>
      </c>
      <c r="H102" s="414" t="s">
        <v>439</v>
      </c>
      <c r="I102" s="416">
        <v>125.48000335693359</v>
      </c>
      <c r="J102" s="416">
        <v>36</v>
      </c>
      <c r="K102" s="417">
        <v>4517.159912109375</v>
      </c>
    </row>
    <row r="103" spans="1:11" ht="14.45" customHeight="1" x14ac:dyDescent="0.2">
      <c r="A103" s="412" t="s">
        <v>258</v>
      </c>
      <c r="B103" s="413" t="s">
        <v>259</v>
      </c>
      <c r="C103" s="414" t="s">
        <v>270</v>
      </c>
      <c r="D103" s="415" t="s">
        <v>271</v>
      </c>
      <c r="E103" s="414" t="s">
        <v>435</v>
      </c>
      <c r="F103" s="415" t="s">
        <v>436</v>
      </c>
      <c r="G103" s="414" t="s">
        <v>440</v>
      </c>
      <c r="H103" s="414" t="s">
        <v>441</v>
      </c>
      <c r="I103" s="416">
        <v>0.54379312128856261</v>
      </c>
      <c r="J103" s="416">
        <v>3000</v>
      </c>
      <c r="K103" s="417">
        <v>1632</v>
      </c>
    </row>
    <row r="104" spans="1:11" ht="14.45" customHeight="1" x14ac:dyDescent="0.2">
      <c r="A104" s="412" t="s">
        <v>258</v>
      </c>
      <c r="B104" s="413" t="s">
        <v>259</v>
      </c>
      <c r="C104" s="414" t="s">
        <v>270</v>
      </c>
      <c r="D104" s="415" t="s">
        <v>271</v>
      </c>
      <c r="E104" s="414" t="s">
        <v>435</v>
      </c>
      <c r="F104" s="415" t="s">
        <v>436</v>
      </c>
      <c r="G104" s="414" t="s">
        <v>440</v>
      </c>
      <c r="H104" s="414" t="s">
        <v>442</v>
      </c>
      <c r="I104" s="416">
        <v>0.54605635371006711</v>
      </c>
      <c r="J104" s="416">
        <v>7900</v>
      </c>
      <c r="K104" s="417">
        <v>4314</v>
      </c>
    </row>
    <row r="105" spans="1:11" ht="14.45" customHeight="1" x14ac:dyDescent="0.2">
      <c r="A105" s="412" t="s">
        <v>258</v>
      </c>
      <c r="B105" s="413" t="s">
        <v>259</v>
      </c>
      <c r="C105" s="414" t="s">
        <v>270</v>
      </c>
      <c r="D105" s="415" t="s">
        <v>271</v>
      </c>
      <c r="E105" s="414" t="s">
        <v>443</v>
      </c>
      <c r="F105" s="415" t="s">
        <v>444</v>
      </c>
      <c r="G105" s="414" t="s">
        <v>445</v>
      </c>
      <c r="H105" s="414" t="s">
        <v>446</v>
      </c>
      <c r="I105" s="416">
        <v>7.0199999809265137</v>
      </c>
      <c r="J105" s="416">
        <v>80</v>
      </c>
      <c r="K105" s="417">
        <v>561.60000610351563</v>
      </c>
    </row>
    <row r="106" spans="1:11" ht="14.45" customHeight="1" x14ac:dyDescent="0.2">
      <c r="A106" s="412" t="s">
        <v>258</v>
      </c>
      <c r="B106" s="413" t="s">
        <v>259</v>
      </c>
      <c r="C106" s="414" t="s">
        <v>270</v>
      </c>
      <c r="D106" s="415" t="s">
        <v>271</v>
      </c>
      <c r="E106" s="414" t="s">
        <v>443</v>
      </c>
      <c r="F106" s="415" t="s">
        <v>444</v>
      </c>
      <c r="G106" s="414" t="s">
        <v>447</v>
      </c>
      <c r="H106" s="414" t="s">
        <v>448</v>
      </c>
      <c r="I106" s="416">
        <v>7.0150001049041748</v>
      </c>
      <c r="J106" s="416">
        <v>620</v>
      </c>
      <c r="K106" s="417">
        <v>4349.8000183105469</v>
      </c>
    </row>
    <row r="107" spans="1:11" ht="14.45" customHeight="1" x14ac:dyDescent="0.2">
      <c r="A107" s="412" t="s">
        <v>258</v>
      </c>
      <c r="B107" s="413" t="s">
        <v>259</v>
      </c>
      <c r="C107" s="414" t="s">
        <v>270</v>
      </c>
      <c r="D107" s="415" t="s">
        <v>271</v>
      </c>
      <c r="E107" s="414" t="s">
        <v>443</v>
      </c>
      <c r="F107" s="415" t="s">
        <v>444</v>
      </c>
      <c r="G107" s="414" t="s">
        <v>449</v>
      </c>
      <c r="H107" s="414" t="s">
        <v>450</v>
      </c>
      <c r="I107" s="416">
        <v>7.018750011920929</v>
      </c>
      <c r="J107" s="416">
        <v>320</v>
      </c>
      <c r="K107" s="417">
        <v>2246.1000213623047</v>
      </c>
    </row>
    <row r="108" spans="1:11" ht="14.45" customHeight="1" x14ac:dyDescent="0.2">
      <c r="A108" s="412" t="s">
        <v>258</v>
      </c>
      <c r="B108" s="413" t="s">
        <v>259</v>
      </c>
      <c r="C108" s="414" t="s">
        <v>270</v>
      </c>
      <c r="D108" s="415" t="s">
        <v>271</v>
      </c>
      <c r="E108" s="414" t="s">
        <v>443</v>
      </c>
      <c r="F108" s="415" t="s">
        <v>444</v>
      </c>
      <c r="G108" s="414" t="s">
        <v>451</v>
      </c>
      <c r="H108" s="414" t="s">
        <v>452</v>
      </c>
      <c r="I108" s="416">
        <v>7.0199999809265137</v>
      </c>
      <c r="J108" s="416">
        <v>150</v>
      </c>
      <c r="K108" s="417">
        <v>1053</v>
      </c>
    </row>
    <row r="109" spans="1:11" ht="14.45" customHeight="1" x14ac:dyDescent="0.2">
      <c r="A109" s="412" t="s">
        <v>258</v>
      </c>
      <c r="B109" s="413" t="s">
        <v>259</v>
      </c>
      <c r="C109" s="414" t="s">
        <v>270</v>
      </c>
      <c r="D109" s="415" t="s">
        <v>271</v>
      </c>
      <c r="E109" s="414" t="s">
        <v>443</v>
      </c>
      <c r="F109" s="415" t="s">
        <v>444</v>
      </c>
      <c r="G109" s="414" t="s">
        <v>445</v>
      </c>
      <c r="H109" s="414" t="s">
        <v>453</v>
      </c>
      <c r="I109" s="416">
        <v>7.0166667302449541</v>
      </c>
      <c r="J109" s="416">
        <v>180</v>
      </c>
      <c r="K109" s="417">
        <v>1263.0000305175781</v>
      </c>
    </row>
    <row r="110" spans="1:11" ht="14.45" customHeight="1" x14ac:dyDescent="0.2">
      <c r="A110" s="412" t="s">
        <v>258</v>
      </c>
      <c r="B110" s="413" t="s">
        <v>259</v>
      </c>
      <c r="C110" s="414" t="s">
        <v>270</v>
      </c>
      <c r="D110" s="415" t="s">
        <v>271</v>
      </c>
      <c r="E110" s="414" t="s">
        <v>443</v>
      </c>
      <c r="F110" s="415" t="s">
        <v>444</v>
      </c>
      <c r="G110" s="414" t="s">
        <v>447</v>
      </c>
      <c r="H110" s="414" t="s">
        <v>454</v>
      </c>
      <c r="I110" s="416">
        <v>7.0191228096945242</v>
      </c>
      <c r="J110" s="416">
        <v>2610</v>
      </c>
      <c r="K110" s="417">
        <v>18317.200172424316</v>
      </c>
    </row>
    <row r="111" spans="1:11" ht="14.45" customHeight="1" x14ac:dyDescent="0.2">
      <c r="A111" s="412" t="s">
        <v>258</v>
      </c>
      <c r="B111" s="413" t="s">
        <v>259</v>
      </c>
      <c r="C111" s="414" t="s">
        <v>270</v>
      </c>
      <c r="D111" s="415" t="s">
        <v>271</v>
      </c>
      <c r="E111" s="414" t="s">
        <v>443</v>
      </c>
      <c r="F111" s="415" t="s">
        <v>444</v>
      </c>
      <c r="G111" s="414" t="s">
        <v>449</v>
      </c>
      <c r="H111" s="414" t="s">
        <v>455</v>
      </c>
      <c r="I111" s="416">
        <v>7.0180000305175785</v>
      </c>
      <c r="J111" s="416">
        <v>540</v>
      </c>
      <c r="K111" s="417">
        <v>3789.7000579833984</v>
      </c>
    </row>
    <row r="112" spans="1:11" ht="14.45" customHeight="1" x14ac:dyDescent="0.2">
      <c r="A112" s="412" t="s">
        <v>258</v>
      </c>
      <c r="B112" s="413" t="s">
        <v>259</v>
      </c>
      <c r="C112" s="414" t="s">
        <v>270</v>
      </c>
      <c r="D112" s="415" t="s">
        <v>271</v>
      </c>
      <c r="E112" s="414" t="s">
        <v>443</v>
      </c>
      <c r="F112" s="415" t="s">
        <v>444</v>
      </c>
      <c r="G112" s="414" t="s">
        <v>451</v>
      </c>
      <c r="H112" s="414" t="s">
        <v>456</v>
      </c>
      <c r="I112" s="416">
        <v>7.0199999809265137</v>
      </c>
      <c r="J112" s="416">
        <v>330</v>
      </c>
      <c r="K112" s="417">
        <v>2316.6000366210938</v>
      </c>
    </row>
    <row r="113" spans="1:11" ht="14.45" customHeight="1" x14ac:dyDescent="0.2">
      <c r="A113" s="412" t="s">
        <v>258</v>
      </c>
      <c r="B113" s="413" t="s">
        <v>259</v>
      </c>
      <c r="C113" s="414" t="s">
        <v>270</v>
      </c>
      <c r="D113" s="415" t="s">
        <v>271</v>
      </c>
      <c r="E113" s="414" t="s">
        <v>443</v>
      </c>
      <c r="F113" s="415" t="s">
        <v>444</v>
      </c>
      <c r="G113" s="414" t="s">
        <v>457</v>
      </c>
      <c r="H113" s="414" t="s">
        <v>458</v>
      </c>
      <c r="I113" s="416">
        <v>0.62999999523162842</v>
      </c>
      <c r="J113" s="416">
        <v>600</v>
      </c>
      <c r="K113" s="417">
        <v>378</v>
      </c>
    </row>
    <row r="114" spans="1:11" ht="14.45" customHeight="1" x14ac:dyDescent="0.2">
      <c r="A114" s="412" t="s">
        <v>258</v>
      </c>
      <c r="B114" s="413" t="s">
        <v>259</v>
      </c>
      <c r="C114" s="414" t="s">
        <v>270</v>
      </c>
      <c r="D114" s="415" t="s">
        <v>271</v>
      </c>
      <c r="E114" s="414" t="s">
        <v>443</v>
      </c>
      <c r="F114" s="415" t="s">
        <v>444</v>
      </c>
      <c r="G114" s="414" t="s">
        <v>459</v>
      </c>
      <c r="H114" s="414" t="s">
        <v>460</v>
      </c>
      <c r="I114" s="416">
        <v>0.62863636016845703</v>
      </c>
      <c r="J114" s="416">
        <v>4400</v>
      </c>
      <c r="K114" s="417">
        <v>2766</v>
      </c>
    </row>
    <row r="115" spans="1:11" ht="14.45" customHeight="1" x14ac:dyDescent="0.2">
      <c r="A115" s="412" t="s">
        <v>258</v>
      </c>
      <c r="B115" s="413" t="s">
        <v>259</v>
      </c>
      <c r="C115" s="414" t="s">
        <v>270</v>
      </c>
      <c r="D115" s="415" t="s">
        <v>271</v>
      </c>
      <c r="E115" s="414" t="s">
        <v>443</v>
      </c>
      <c r="F115" s="415" t="s">
        <v>444</v>
      </c>
      <c r="G115" s="414" t="s">
        <v>457</v>
      </c>
      <c r="H115" s="414" t="s">
        <v>461</v>
      </c>
      <c r="I115" s="416">
        <v>0.62799999713897703</v>
      </c>
      <c r="J115" s="416">
        <v>1000</v>
      </c>
      <c r="K115" s="417">
        <v>628</v>
      </c>
    </row>
    <row r="116" spans="1:11" ht="14.45" customHeight="1" x14ac:dyDescent="0.2">
      <c r="A116" s="412" t="s">
        <v>258</v>
      </c>
      <c r="B116" s="413" t="s">
        <v>259</v>
      </c>
      <c r="C116" s="414" t="s">
        <v>270</v>
      </c>
      <c r="D116" s="415" t="s">
        <v>271</v>
      </c>
      <c r="E116" s="414" t="s">
        <v>443</v>
      </c>
      <c r="F116" s="415" t="s">
        <v>444</v>
      </c>
      <c r="G116" s="414" t="s">
        <v>459</v>
      </c>
      <c r="H116" s="414" t="s">
        <v>462</v>
      </c>
      <c r="I116" s="416">
        <v>0.62977777322133377</v>
      </c>
      <c r="J116" s="416">
        <v>9400</v>
      </c>
      <c r="K116" s="417">
        <v>5920</v>
      </c>
    </row>
    <row r="117" spans="1:11" ht="14.45" customHeight="1" thickBot="1" x14ac:dyDescent="0.25">
      <c r="A117" s="418" t="s">
        <v>258</v>
      </c>
      <c r="B117" s="419" t="s">
        <v>259</v>
      </c>
      <c r="C117" s="420" t="s">
        <v>270</v>
      </c>
      <c r="D117" s="421" t="s">
        <v>271</v>
      </c>
      <c r="E117" s="420" t="s">
        <v>463</v>
      </c>
      <c r="F117" s="421" t="s">
        <v>464</v>
      </c>
      <c r="G117" s="420" t="s">
        <v>465</v>
      </c>
      <c r="H117" s="420" t="s">
        <v>466</v>
      </c>
      <c r="I117" s="422">
        <v>93.150001525878906</v>
      </c>
      <c r="J117" s="422">
        <v>0</v>
      </c>
      <c r="K117" s="423">
        <v>0</v>
      </c>
    </row>
  </sheetData>
  <autoFilter ref="A4:K4" xr:uid="{00000000-0009-0000-0000-000019000000}"/>
  <mergeCells count="2">
    <mergeCell ref="A1:K1"/>
    <mergeCell ref="C3:G3"/>
  </mergeCells>
  <hyperlinks>
    <hyperlink ref="A2" location="Obsah!A1" display="Zpět na Obsah  KL 01  1.-4.měsíc" xr:uid="{4C4DE913-2721-4BB6-BE93-14A79B97366C}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14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activeCell="C8" sqref="C8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230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198" customWidth="1"/>
    <col min="18" max="18" width="7.28515625" style="229" customWidth="1"/>
    <col min="19" max="19" width="8" style="198" customWidth="1"/>
    <col min="21" max="21" width="11.28515625" bestFit="1" customWidth="1"/>
  </cols>
  <sheetData>
    <row r="1" spans="1:19" ht="19.5" thickBot="1" x14ac:dyDescent="0.35">
      <c r="A1" s="324" t="s">
        <v>87</v>
      </c>
      <c r="B1" s="304"/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  <c r="N1" s="304"/>
      <c r="O1" s="304"/>
      <c r="P1" s="304"/>
      <c r="Q1" s="304"/>
      <c r="R1" s="304"/>
      <c r="S1" s="304"/>
    </row>
    <row r="2" spans="1:19" ht="15.75" thickBot="1" x14ac:dyDescent="0.3">
      <c r="A2" s="199"/>
      <c r="B2" s="200"/>
    </row>
    <row r="3" spans="1:19" x14ac:dyDescent="0.25">
      <c r="A3" s="336" t="s">
        <v>135</v>
      </c>
      <c r="B3" s="337"/>
      <c r="C3" s="338" t="s">
        <v>124</v>
      </c>
      <c r="D3" s="339"/>
      <c r="E3" s="339"/>
      <c r="F3" s="340"/>
      <c r="G3" s="341" t="s">
        <v>125</v>
      </c>
      <c r="H3" s="342"/>
      <c r="I3" s="342"/>
      <c r="J3" s="343"/>
      <c r="K3" s="344" t="s">
        <v>134</v>
      </c>
      <c r="L3" s="345"/>
      <c r="M3" s="345"/>
      <c r="N3" s="345"/>
      <c r="O3" s="346"/>
      <c r="P3" s="342" t="s">
        <v>178</v>
      </c>
      <c r="Q3" s="342"/>
      <c r="R3" s="342"/>
      <c r="S3" s="343"/>
    </row>
    <row r="4" spans="1:19" ht="15.75" thickBot="1" x14ac:dyDescent="0.3">
      <c r="A4" s="316">
        <v>2019</v>
      </c>
      <c r="B4" s="317"/>
      <c r="C4" s="318" t="s">
        <v>177</v>
      </c>
      <c r="D4" s="320" t="s">
        <v>88</v>
      </c>
      <c r="E4" s="320" t="s">
        <v>56</v>
      </c>
      <c r="F4" s="322" t="s">
        <v>49</v>
      </c>
      <c r="G4" s="310" t="s">
        <v>126</v>
      </c>
      <c r="H4" s="312" t="s">
        <v>130</v>
      </c>
      <c r="I4" s="312" t="s">
        <v>176</v>
      </c>
      <c r="J4" s="314" t="s">
        <v>127</v>
      </c>
      <c r="K4" s="333" t="s">
        <v>175</v>
      </c>
      <c r="L4" s="334"/>
      <c r="M4" s="334"/>
      <c r="N4" s="335"/>
      <c r="O4" s="322" t="s">
        <v>174</v>
      </c>
      <c r="P4" s="325" t="s">
        <v>173</v>
      </c>
      <c r="Q4" s="325" t="s">
        <v>137</v>
      </c>
      <c r="R4" s="327" t="s">
        <v>56</v>
      </c>
      <c r="S4" s="329" t="s">
        <v>136</v>
      </c>
    </row>
    <row r="5" spans="1:19" s="264" customFormat="1" ht="19.149999999999999" customHeight="1" x14ac:dyDescent="0.25">
      <c r="A5" s="331" t="s">
        <v>172</v>
      </c>
      <c r="B5" s="332"/>
      <c r="C5" s="319"/>
      <c r="D5" s="321"/>
      <c r="E5" s="321"/>
      <c r="F5" s="323"/>
      <c r="G5" s="311"/>
      <c r="H5" s="313"/>
      <c r="I5" s="313"/>
      <c r="J5" s="315"/>
      <c r="K5" s="267" t="s">
        <v>128</v>
      </c>
      <c r="L5" s="266" t="s">
        <v>129</v>
      </c>
      <c r="M5" s="266" t="s">
        <v>171</v>
      </c>
      <c r="N5" s="265" t="s">
        <v>3</v>
      </c>
      <c r="O5" s="323"/>
      <c r="P5" s="326"/>
      <c r="Q5" s="326"/>
      <c r="R5" s="328"/>
      <c r="S5" s="330"/>
    </row>
    <row r="6" spans="1:19" ht="15.75" thickBot="1" x14ac:dyDescent="0.3">
      <c r="A6" s="308" t="s">
        <v>123</v>
      </c>
      <c r="B6" s="309"/>
      <c r="C6" s="263" t="e">
        <f ca="1">SUM(Tabulka[01 uv_sk])/2</f>
        <v>#REF!</v>
      </c>
      <c r="D6" s="261"/>
      <c r="E6" s="261"/>
      <c r="F6" s="260"/>
      <c r="G6" s="262" t="e">
        <f ca="1">SUM(Tabulka[05 h_vram])/2</f>
        <v>#REF!</v>
      </c>
      <c r="H6" s="261" t="e">
        <f ca="1">SUM(Tabulka[06 h_naduv])/2</f>
        <v>#REF!</v>
      </c>
      <c r="I6" s="261" t="e">
        <f ca="1">SUM(Tabulka[07 h_nadzk])/2</f>
        <v>#REF!</v>
      </c>
      <c r="J6" s="260" t="e">
        <f ca="1">SUM(Tabulka[08 h_oon])/2</f>
        <v>#REF!</v>
      </c>
      <c r="K6" s="262" t="e">
        <f ca="1">SUM(Tabulka[09 m_kl])/2</f>
        <v>#REF!</v>
      </c>
      <c r="L6" s="261" t="e">
        <f ca="1">SUM(Tabulka[10 m_gr])/2</f>
        <v>#REF!</v>
      </c>
      <c r="M6" s="261" t="e">
        <f ca="1">SUM(Tabulka[11 m_jo])/2</f>
        <v>#REF!</v>
      </c>
      <c r="N6" s="261" t="e">
        <f ca="1">SUM(Tabulka[12 m_oc])/2</f>
        <v>#REF!</v>
      </c>
      <c r="O6" s="260" t="e">
        <f ca="1">SUM(Tabulka[13 m_sk])/2</f>
        <v>#REF!</v>
      </c>
      <c r="P6" s="259" t="e">
        <f ca="1">SUM(Tabulka[14_vzsk])/2</f>
        <v>#REF!</v>
      </c>
      <c r="Q6" s="259" t="e">
        <f ca="1">SUM(Tabulka[15_vzpl])/2</f>
        <v>#REF!</v>
      </c>
      <c r="R6" s="258" t="e">
        <f ca="1">IF(Q6=0,0,P6/Q6)</f>
        <v>#REF!</v>
      </c>
      <c r="S6" s="257" t="e">
        <f ca="1">Q6-P6</f>
        <v>#REF!</v>
      </c>
    </row>
    <row r="7" spans="1:19" hidden="1" x14ac:dyDescent="0.25">
      <c r="A7" s="256" t="s">
        <v>170</v>
      </c>
      <c r="B7" s="255" t="s">
        <v>169</v>
      </c>
      <c r="C7" s="254" t="s">
        <v>168</v>
      </c>
      <c r="D7" s="253" t="s">
        <v>167</v>
      </c>
      <c r="E7" s="252" t="s">
        <v>166</v>
      </c>
      <c r="F7" s="251" t="s">
        <v>165</v>
      </c>
      <c r="G7" s="250" t="s">
        <v>164</v>
      </c>
      <c r="H7" s="248" t="s">
        <v>163</v>
      </c>
      <c r="I7" s="248" t="s">
        <v>162</v>
      </c>
      <c r="J7" s="247" t="s">
        <v>161</v>
      </c>
      <c r="K7" s="249" t="s">
        <v>160</v>
      </c>
      <c r="L7" s="248" t="s">
        <v>159</v>
      </c>
      <c r="M7" s="248" t="s">
        <v>158</v>
      </c>
      <c r="N7" s="247" t="s">
        <v>157</v>
      </c>
      <c r="O7" s="246" t="s">
        <v>156</v>
      </c>
      <c r="P7" s="245" t="s">
        <v>155</v>
      </c>
      <c r="Q7" s="244" t="s">
        <v>154</v>
      </c>
      <c r="R7" s="243" t="s">
        <v>153</v>
      </c>
      <c r="S7" s="242" t="s">
        <v>152</v>
      </c>
    </row>
    <row r="8" spans="1:19" x14ac:dyDescent="0.25">
      <c r="A8" s="239" t="s">
        <v>151</v>
      </c>
      <c r="B8" s="238"/>
      <c r="C8" s="232" t="e">
        <f ca="1" xml:space="preserve">
IF($A$4&lt;13,
SUMIFS(INDIRECT("ONData["&amp;Tabulka[#Headers]&amp;"]"),#REF!,$A$4,#REF!,Tabulka[[#This Row],[kat]]),
SUMIFS(INDIRECT("ONData["&amp;Tabulka[#Headers]&amp;"]"),#REF!,Tabulka[[#This Row],[kat]])/MAX(#REF!))</f>
        <v>#REF!</v>
      </c>
      <c r="D8" s="237" t="e">
        <f ca="1" xml:space="preserve">
IF($A$4&lt;13,
SUMIFS(INDIRECT("ONData["&amp;Tabulka[#Headers]&amp;"]"),#REF!,$A$4,#REF!,Tabulka[[#This Row],[kat]]),
SUMIFS(INDIRECT("ONData["&amp;Tabulka[#Headers]&amp;"]"),#REF!,Tabulka[[#This Row],[kat]])/MAX(#REF!))</f>
        <v>#REF!</v>
      </c>
      <c r="E8" s="237" t="e">
        <f ca="1" xml:space="preserve">
IF($A$4&lt;13,
SUMIFS(INDIRECT("ONData["&amp;Tabulka[#Headers]&amp;"]"),#REF!,$A$4,#REF!,Tabulka[[#This Row],[kat]]),
SUMIFS(INDIRECT("ONData["&amp;Tabulka[#Headers]&amp;"]"),#REF!,Tabulka[[#This Row],[kat]])/MAX(#REF!))</f>
        <v>#REF!</v>
      </c>
      <c r="F8" s="237" t="e">
        <f ca="1" xml:space="preserve">
IF($A$4&lt;13,
SUMIFS(INDIRECT("ONData["&amp;Tabulka[#Headers]&amp;"]"),#REF!,$A$4,#REF!,Tabulka[[#This Row],[kat]]),
SUMIFS(INDIRECT("ONData["&amp;Tabulka[#Headers]&amp;"]"),#REF!,Tabulka[[#This Row],[kat]])/MAX(#REF!))</f>
        <v>#REF!</v>
      </c>
      <c r="G8" s="236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H8" s="235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I8" s="235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J8" s="234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K8" s="235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L8" s="235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M8" s="235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N8" s="234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O8" s="233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P8" s="240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Q8" s="240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R8" s="241" t="e">
        <f ca="1">IF(Tabulka[[#This Row],[15_vzpl]]=0,"",Tabulka[[#This Row],[14_vzsk]]/Tabulka[[#This Row],[15_vzpl]])</f>
        <v>#REF!</v>
      </c>
      <c r="S8" s="240" t="e">
        <f ca="1">IF(Tabulka[[#This Row],[15_vzpl]]-Tabulka[[#This Row],[14_vzsk]]=0,"",Tabulka[[#This Row],[15_vzpl]]-Tabulka[[#This Row],[14_vzsk]])</f>
        <v>#REF!</v>
      </c>
    </row>
    <row r="9" spans="1:19" x14ac:dyDescent="0.25">
      <c r="A9" t="s">
        <v>179</v>
      </c>
    </row>
    <row r="10" spans="1:19" x14ac:dyDescent="0.25">
      <c r="A10" s="88" t="s">
        <v>120</v>
      </c>
    </row>
    <row r="11" spans="1:19" x14ac:dyDescent="0.25">
      <c r="A11" s="89" t="s">
        <v>150</v>
      </c>
    </row>
    <row r="12" spans="1:19" x14ac:dyDescent="0.25">
      <c r="A12" s="231" t="s">
        <v>149</v>
      </c>
    </row>
    <row r="13" spans="1:19" x14ac:dyDescent="0.25">
      <c r="A13" s="202" t="s">
        <v>133</v>
      </c>
    </row>
    <row r="14" spans="1:19" x14ac:dyDescent="0.25">
      <c r="A14" s="204" t="s">
        <v>138</v>
      </c>
    </row>
  </sheetData>
  <mergeCells count="23"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</mergeCells>
  <conditionalFormatting sqref="S6:S8">
    <cfRule type="cellIs" dxfId="4" priority="3" operator="lessThan">
      <formula>0</formula>
    </cfRule>
  </conditionalFormatting>
  <conditionalFormatting sqref="R6:R8">
    <cfRule type="cellIs" dxfId="3" priority="4" operator="greaterThan">
      <formula>1</formula>
    </cfRule>
  </conditionalFormatting>
  <conditionalFormatting sqref="A8:S8">
    <cfRule type="expression" dxfId="2" priority="2">
      <formula>$B8=""</formula>
    </cfRule>
  </conditionalFormatting>
  <conditionalFormatting sqref="P8:S8">
    <cfRule type="expression" dxfId="1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15</vt:i4>
      </vt:variant>
      <vt:variant>
        <vt:lpstr>Pojmenované oblasti</vt:lpstr>
      </vt:variant>
      <vt:variant>
        <vt:i4>1</vt:i4>
      </vt:variant>
    </vt:vector>
  </HeadingPairs>
  <TitlesOfParts>
    <vt:vector size="16" baseType="lpstr">
      <vt:lpstr>Obsah</vt:lpstr>
      <vt:lpstr>Motivace</vt:lpstr>
      <vt:lpstr>HI</vt:lpstr>
      <vt:lpstr>HI Graf</vt:lpstr>
      <vt:lpstr>Man Tab</vt:lpstr>
      <vt:lpstr>HV</vt:lpstr>
      <vt:lpstr>Materiál Žádanky</vt:lpstr>
      <vt:lpstr>MŽ Detail</vt:lpstr>
      <vt:lpstr>Osobní náklady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2019-09-26T07:15:07Z</dcterms:modified>
</cp:coreProperties>
</file>