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0080A54-7433-49CA-817E-08CC8236789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P8" i="431"/>
  <c r="K8" i="431"/>
  <c r="F8" i="431"/>
  <c r="H8" i="431"/>
  <c r="E8" i="431"/>
  <c r="Q8" i="431"/>
  <c r="D8" i="431"/>
  <c r="M8" i="431"/>
  <c r="C8" i="431"/>
  <c r="O8" i="431"/>
  <c r="I8" i="431"/>
  <c r="L8" i="431"/>
  <c r="G8" i="431"/>
  <c r="N8" i="431"/>
  <c r="J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14" i="414"/>
  <c r="D4" i="414"/>
  <c r="C17" i="414"/>
  <c r="D17" i="414"/>
  <c r="C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D22" i="414"/>
  <c r="C22" i="414"/>
  <c r="Q3" i="345" l="1"/>
  <c r="H3" i="390"/>
  <c r="U3" i="347"/>
  <c r="Q3" i="347"/>
  <c r="S3" i="347"/>
  <c r="I12" i="339"/>
  <c r="I13" i="339" s="1"/>
  <c r="F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<sst xmlns="http://schemas.openxmlformats.org/spreadsheetml/2006/main" count="2140" uniqueCount="626">
  <si>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</si>
  <si>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</si>
  <si>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</si>
  <si>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</si>
  <si>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</si>
  <si>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</si>
  <si>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</si>
  <si>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</si>
  <si>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</si>
  <si>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</si>
  <si>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</si>
  <si>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</si>
  <si>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</si>
  <si>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</si>
  <si>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</si>
  <si>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</si>
  <si>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</si>
  <si>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</si>
  <si>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</si>
  <si>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</si>
  <si>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</si>
  <si>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</si>
  <si>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</si>
  <si>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</si>
  <si>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</si>
  <si>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</si>
  <si>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</si>
  <si>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</si>
  <si>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</si>
  <si>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</si>
  <si>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</si>
  <si>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</si>
  <si>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</si>
  <si>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</si>
  <si>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</si>
  <si>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</si>
  <si>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</si>
  <si>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</si>
  <si>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</si>
  <si>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</si>
  <si>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</si>
  <si>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</si>
  <si>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</si>
  <si>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</si>
  <si>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</si>
  <si>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</si>
  <si>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</si>
  <si>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</si>
  <si>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</si>
  <si>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</si>
  <si>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</si>
  <si>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</si>
  <si>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</si>
  <si>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</si>
  <si>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</si>
  <si>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</si>
  <si>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</si>
  <si>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</si>
  <si>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</si>
  <si>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</si>
  <si>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</si>
  <si>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</si>
  <si>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</si>
  <si>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</si>
  <si>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</si>
  <si>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</si>
  <si>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</si>
  <si>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</si>
  <si>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</si>
  <si>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</si>
  <si>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</si>
  <si>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</si>
  <si>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</si>
  <si>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</si>
  <si>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</si>
  <si>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</si>
  <si>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</si>
  <si>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</si>
  <si>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</si>
  <si>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</si>
  <si>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</si>
  <si>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</si>
  <si>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</si>
  <si>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</si>
  <si>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</si>
  <si>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</si>
  <si>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</si>
  <si>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</si>
  <si>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</si>
  <si>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</si>
  <si>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</si>
  <si>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</si>
  <si>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</si>
  <si>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</si>
  <si>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</si>
  <si>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</si>
  <si>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</si>
  <si>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</si>
  <si>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</si>
  <si>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</si>
  <si>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</si>
  <si>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</si>
  <si>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</si>
  <si>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</si>
  <si>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</si>
  <si>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</si>
  <si>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</si>
  <si>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</si>
  <si>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</si>
  <si>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</si>
  <si>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</si>
  <si>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</si>
  <si>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</si>
  <si>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</si>
  <si>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</si>
  <si>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</si>
  <si>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</si>
  <si>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</si>
  <si>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</si>
  <si>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</si>
  <si>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</si>
  <si>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</si>
  <si>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</si>
  <si>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</si>
  <si>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</si>
  <si>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</si>
  <si>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</si>
  <si>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</si>
  <si>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</si>
  <si>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</si>
  <si>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</si>
  <si>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</si>
  <si>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</si>
  <si>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</si>
  <si>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</si>
  <si>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</si>
  <si>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</si>
  <si>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</si>
  <si>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</si>
  <si>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</si>
  <si>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</si>
  <si>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</si>
  <si>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</si>
  <si>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</si>
  <si>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</si>
  <si>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</si>
  <si>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</si>
  <si>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</si>
  <si>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</si>
  <si>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</si>
  <si>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</si>
  <si>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</si>
  <si>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</si>
  <si>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</si>
  <si>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</si>
  <si>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</si>
  <si>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</si>
  <si>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</si>
  <si>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</si>
  <si>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</si>
  <si>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</si>
  <si>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</si>
  <si>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</si>
  <si>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</si>
  <si>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</si>
  <si>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</si>
  <si>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</si>
  <si>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</si>
  <si>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</si>
  <si>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</si>
  <si>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</si>
  <si>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</si>
  <si>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</si>
  <si>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</si>
  <si>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</si>
  <si>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</si>
  <si>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</si>
  <si>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</si>
  <si>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</si>
  <si>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</si>
  <si>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</si>
  <si>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</si>
  <si>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</si>
  <si>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</si>
  <si>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</si>
  <si>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</si>
  <si>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</si>
  <si>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</si>
  <si>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</si>
  <si>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</si>
  <si>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</si>
  <si>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</si>
  <si>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</si>
  <si>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</si>
  <si>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</si>
  <si>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</si>
  <si>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</si>
  <si>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</si>
  <si>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</si>
  <si>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</si>
  <si>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</si>
  <si>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</si>
  <si>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</si>
  <si>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</si>
  <si>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</si>
  <si>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</si>
  <si>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</si>
  <si>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</si>
  <si>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</si>
  <si>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</si>
  <si>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</si>
  <si>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</si>
  <si>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</si>
  <si>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</si>
  <si>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</si>
  <si>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</si>
  <si>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</si>
  <si>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</si>
  <si>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</si>
  <si>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</si>
  <si>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</si>
  <si>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</si>
  <si>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</si>
  <si>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</si>
  <si>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</si>
  <si>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</si>
  <si>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</si>
  <si>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</si>
  <si>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</si>
  <si>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</si>
  <si>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</si>
  <si>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</si>
  <si>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</si>
  <si>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</si>
  <si>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</si>
  <si>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</si>
  <si>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</si>
  <si>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</si>
  <si>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</si>
  <si>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</si>
  <si>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</si>
  <si>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</si>
  <si>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</si>
  <si>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</si>
  <si>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</si>
  <si>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</si>
  <si>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</si>
  <si>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</si>
  <si>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</si>
  <si>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</si>
  <si>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</si>
  <si>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</si>
  <si>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</si>
  <si>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</si>
  <si>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</si>
  <si>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</si>
  <si>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</si>
  <si>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</si>
  <si>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</si>
  <si>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</si>
  <si>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</si>
  <si>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</si>
  <si>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</si>
  <si>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</si>
  <si>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</si>
  <si>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</si>
  <si>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</si>
  <si>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</si>
  <si>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</si>
  <si>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</si>
  <si>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</si>
  <si>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</si>
  <si>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</si>
  <si>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</si>
  <si>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</si>
  <si>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</si>
  <si>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</si>
  <si>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</si>
  <si>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</si>
  <si>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</si>
  <si>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</si>
  <si>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</si>
  <si>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</si>
  <si>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</si>
  <si>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</si>
  <si>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</si>
  <si>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</si>
  <si>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</si>
  <si>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</si>
  <si>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</si>
  <si>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</si>
  <si>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</si>
  <si>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</si>
  <si>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</si>
  <si>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</si>
  <si>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</si>
  <si>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</si>
  <si>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</si>
  <si>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</si>
  <si>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Knápková Kateřina</t>
  </si>
  <si>
    <t>OMEPRAZOL</t>
  </si>
  <si>
    <t>25366</t>
  </si>
  <si>
    <t>HELICID</t>
  </si>
  <si>
    <t>20MG CPS ETD 90 I</t>
  </si>
  <si>
    <t>LAKTULOSA</t>
  </si>
  <si>
    <t>215713</t>
  </si>
  <si>
    <t>DUPHALAC</t>
  </si>
  <si>
    <t>667MG/ML POR SOL 1X200ML II</t>
  </si>
  <si>
    <t>POTRAVINY PRO ZVLÁŠTNÍ LÉKAŘSKÉ ÚČELY (PZLÚ) (ČESKÁ ATC SKUP</t>
  </si>
  <si>
    <t>33331</t>
  </si>
  <si>
    <t>NUTRIDRINK BALÍČEK 5+1</t>
  </si>
  <si>
    <t>POR SOL 6X200ML</t>
  </si>
  <si>
    <t>33340</t>
  </si>
  <si>
    <t>DIASIP S PŘÍCHUTÍ VANILKOVOU</t>
  </si>
  <si>
    <t>POR SOL 1X200ML</t>
  </si>
  <si>
    <t>33421</t>
  </si>
  <si>
    <t>NUTRIDRINK COMPACT S PŘÍCHUTÍ KÁVY</t>
  </si>
  <si>
    <t>POR SOL 4X125ML</t>
  </si>
  <si>
    <t>33739</t>
  </si>
  <si>
    <t>NUTRIDRINK COMPACT PROTEIN S PŘÍCHUTÍ VANILKOVOU</t>
  </si>
  <si>
    <t>33741</t>
  </si>
  <si>
    <t>NUTRIDRINK COMPACT PROTEIN S PŘÍCHUTÍ BANÁNOVOU</t>
  </si>
  <si>
    <t>33752</t>
  </si>
  <si>
    <t>NUTRIDRINK CREME S PŘÍCHUTÍ LESNÍHO OVOCE</t>
  </si>
  <si>
    <t>POR SOL 4X125G</t>
  </si>
  <si>
    <t>33751</t>
  </si>
  <si>
    <t>NUTRIDRINK CREME S PŘÍCHUTÍ ČOKOLÁDOVOU</t>
  </si>
  <si>
    <t>33740</t>
  </si>
  <si>
    <t>NUTRIDRINK COMPACT PROTEIN S PŘÍCHUTÍ KÁVY</t>
  </si>
  <si>
    <t>33749</t>
  </si>
  <si>
    <t>NUTRIDRINK CREME S PŘÍCHUTÍ BANÁNOVOU</t>
  </si>
  <si>
    <t>33750</t>
  </si>
  <si>
    <t>NUTRIDRINK CREME S PŘÍCHUTÍ VANILKOVOU</t>
  </si>
  <si>
    <t>33855</t>
  </si>
  <si>
    <t>NUTRIDRINK BALÍČEK 5 + 1</t>
  </si>
  <si>
    <t>33833</t>
  </si>
  <si>
    <t>DIASIP S PŘÍCHUTÍ CAPPUCCINO</t>
  </si>
  <si>
    <t>POR SOL 4X200ML</t>
  </si>
  <si>
    <t>33865</t>
  </si>
  <si>
    <t>NUTRIDRINK COMPACT S PŘÍCHUTÍ LESNÍHO OVOCE</t>
  </si>
  <si>
    <t>33986</t>
  </si>
  <si>
    <t>PROSURE KÁVOVÁ PŘÍCHUŤ</t>
  </si>
  <si>
    <t>POR SOL 4X220ML</t>
  </si>
  <si>
    <t>33889</t>
  </si>
  <si>
    <t>FRESUBIN 2 KCAL CREME CAPPUCCINO</t>
  </si>
  <si>
    <t>217088</t>
  </si>
  <si>
    <t>217042</t>
  </si>
  <si>
    <t>FRESUBIN 2 KCAL DRINK VANILKA</t>
  </si>
  <si>
    <t>217041</t>
  </si>
  <si>
    <t>FRESUBIN 2 KCAL DRINK LESNÍ PLODY</t>
  </si>
  <si>
    <t>33890</t>
  </si>
  <si>
    <t>FRESUBIN 2 KCAL CREME LESNÍ JAHODA</t>
  </si>
  <si>
    <t>33578</t>
  </si>
  <si>
    <t>FRESUBIN 2 KCAL DRINK NEUTRAL</t>
  </si>
  <si>
    <t>33580</t>
  </si>
  <si>
    <t>FRESUBIN 2 KCAL DRINK CAPPUCCINO</t>
  </si>
  <si>
    <t>217087</t>
  </si>
  <si>
    <t>DIASIP S PŘÍCHUTÍ JAHODOVOU</t>
  </si>
  <si>
    <t>33990</t>
  </si>
  <si>
    <t>PROSURE ČOKOLÁDOVÁ PŘÍCHUŤ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</si>
  <si>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</si>
  <si>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</si>
  <si>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</si>
  <si>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</si>
  <si>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</si>
  <si>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A06AD11 - LAKTULOSA</t>
  </si>
  <si>
    <t>A06AD11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</si>
  <si>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</si>
  <si>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</si>
  <si>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</si>
  <si>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</si>
  <si>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</si>
  <si>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</si>
  <si>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</si>
  <si>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</si>
  <si>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</si>
  <si>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</si>
  <si>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</si>
  <si>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</si>
  <si>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</si>
  <si>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</si>
  <si>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</si>
  <si>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</si>
  <si>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ZS295</t>
  </si>
  <si>
    <t>FĂłlie ochrannĂˇ AquaGuard GloveÂ®, ke sprchovĂˇnĂ­ hornĂ­ch konÄŤetin pacientĹŻ, urÄŤeno pro krytĂ­ PICC katĂ©tĹŻ , bal. Ăˇ 3 ks rukavic  + 1 ks tÄ›snĂ­cĂ­ pĂˇsek Water-Seal Band 6700002</t>
  </si>
  <si>
    <t>ZS297</t>
  </si>
  <si>
    <t>FĂłlie ochrannĂˇ AquaGuardÂ® Sheet , ke sprchovĂˇnĂ­ pacientĹŻ,  urÄŤeno pro krytĂ­ chirurg. rĂˇny, velkĂˇ krytĂ­, stomie,  rozmÄ›r 25,4 x 30,5 cm, bal. Ăˇ 7 ks 6702530</t>
  </si>
  <si>
    <t>ZS296</t>
  </si>
  <si>
    <t>FĂłlie ochrannĂˇ AquaGuardÂ® Sheet, ke sprchovĂˇnĂ­ pacientĹŻ, urÄŤeno pro krytĂ­ centrĂˇlnĂ­ch ĹľilnĂ­ch katĂ©trĹŻ (IJ katetry, IV vstupy, porty, stomie),rozmÄ›r  22,9 x 22,9 cm, bal. Ăˇ 7 ks 6702222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</si>
  <si>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</si>
  <si>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</si>
  <si>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</si>
  <si>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 3300MWA</t>
  </si>
  <si>
    <t>ZD740</t>
  </si>
  <si>
    <t>Kompresa gĂˇza sterilkompres 7,5 x 7,5 cm/5 ks, 100% bavlna, sterilnĂ­ 1325019265(1230119225)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</si>
  <si>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</si>
  <si>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</si>
  <si>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</si>
  <si>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</si>
  <si>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</si>
  <si>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</si>
  <si>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</si>
  <si>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</si>
  <si>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</si>
  <si>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</si>
  <si>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</si>
  <si>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</si>
  <si>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</si>
  <si>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</si>
  <si>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</si>
  <si>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</si>
  <si>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</si>
  <si>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</si>
  <si>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</si>
  <si>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</si>
  <si>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</si>
  <si>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</si>
  <si>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</si>
  <si>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</si>
  <si>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</si>
  <si>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</si>
  <si>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ZA450</t>
  </si>
  <si>
    <t>NĂˇplast omniplast 1,25 cm x 9,1 m bal. Ăˇ 24 ks 9004520</t>
  </si>
  <si>
    <t>ZL668</t>
  </si>
  <si>
    <t>NĂˇplast silikon tape 2,5 cm x 5 m bal. Ăˇ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</si>
  <si>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</si>
  <si>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</si>
  <si>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</si>
  <si>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</si>
  <si>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</si>
  <si>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</si>
  <si>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</si>
  <si>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</si>
  <si>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</si>
  <si>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</si>
  <si>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</si>
  <si>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</si>
  <si>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</si>
  <si>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</si>
  <si>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</si>
  <si>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</si>
  <si>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</si>
  <si>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</si>
  <si>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</si>
  <si>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</t>
  </si>
  <si>
    <t>Konektor bezjehlovĂ˝ bionecteur Ăˇ 50 ks 896.03 povoleno pouze pro HOK, DK a NOVO, KCHIR: PICC tĂ˝m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</si>
  <si>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</si>
  <si>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</si>
  <si>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</si>
  <si>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</si>
  <si>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</si>
  <si>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</si>
  <si>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</si>
  <si>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</si>
  <si>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ZO083</t>
  </si>
  <si>
    <t>Konektor flocare transition NOVĂť 30 ks EAN 8716900563881(je souÄŤĂˇstĂ­ setu) 589732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</si>
  <si>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</si>
  <si>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</si>
  <si>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</si>
  <si>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</si>
  <si>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</si>
  <si>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odpad 1 l 15-0002</t>
  </si>
  <si>
    <t>NĂˇdoba na kontaminovanĂ˝ odpad 1 l 15-0002/2</t>
  </si>
  <si>
    <t>ZR862</t>
  </si>
  <si>
    <t>RegulĂˇtor prĹŻtoku infuze  GAMA GROUP, prĹŻtok 10-300 ml/hod, vÄŤetnÄ› spojovacĂ­ hadiÄŤky, celkovĂˇ dĂ©lka 50 cm, sterilnĂ­, jednorĂˇzovĂ˝ 606145-ND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</si>
  <si>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</si>
  <si>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</si>
  <si>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</si>
  <si>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</si>
  <si>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</si>
  <si>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</si>
  <si>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ZG724</t>
  </si>
  <si>
    <t>Spojka proplachovacĂ­ urologickĂˇ bal. Ăˇ 50 ks LCF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</si>
  <si>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</si>
  <si>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</si>
  <si>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</si>
  <si>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</si>
  <si>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</si>
  <si>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</si>
  <si>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</si>
  <si>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</si>
  <si>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</si>
  <si>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</si>
  <si>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</si>
  <si>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</si>
  <si>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</si>
  <si>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</si>
  <si>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ZI931</t>
  </si>
  <si>
    <t>UzĂˇvÄ›r dezinfekÄŤnĂ­ k bezjehlovĂ©mu vstupu se 70% IPA  bal. 250 ks NCF-004</t>
  </si>
  <si>
    <t>ZK798</t>
  </si>
  <si>
    <t>ZĂˇtka combi modrĂˇ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</si>
  <si>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</si>
  <si>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</si>
  <si>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</si>
  <si>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</si>
  <si>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</si>
  <si>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</si>
  <si>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</si>
  <si>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</si>
  <si>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</si>
  <si>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</si>
  <si>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</si>
  <si>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</si>
  <si>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</si>
  <si>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</si>
  <si>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</si>
  <si>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</si>
  <si>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ZB781</t>
  </si>
  <si>
    <t>Jehla cytocan ĹľlutĂˇ s fix.plotĂ©nkou pro inf.20G/20 mm bal. Ăˇ 25 ks 4439767</t>
  </si>
  <si>
    <t>ZC634</t>
  </si>
  <si>
    <t>Jehla gripper portacath bez Y protu 22G x 16 mm Ăˇ 12 ks 21-2737-24</t>
  </si>
  <si>
    <t>ZA999</t>
  </si>
  <si>
    <t>Jehla injekÄŤnĂ­ 0,5 x 16 mm oranĹľovĂˇ 4657853</t>
  </si>
  <si>
    <t>ZB556</t>
  </si>
  <si>
    <t>Jehla injekÄŤnĂ­ 1,2 x 40 mm rĹŻĹľovĂˇ 4665120</t>
  </si>
  <si>
    <t>50115067</t>
  </si>
  <si>
    <t>ZPr - rukavice (Z532)</t>
  </si>
  <si>
    <t>ZN126</t>
  </si>
  <si>
    <t>Rukavice operaÄŤnĂ­ latex bez pudru sterilnĂ­  PF ansell gammex vel. 7,0 330048070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</si>
  <si>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</si>
  <si>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</si>
  <si>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</si>
  <si>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</si>
  <si>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</si>
  <si>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</si>
  <si>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</si>
  <si>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</si>
  <si>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</si>
  <si>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</si>
  <si>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</si>
  <si>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</si>
  <si>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</si>
  <si>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</si>
  <si>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</si>
  <si>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</si>
  <si>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</si>
  <si>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50115070</t>
  </si>
  <si>
    <t>ZPr - katetry ostatní (Z513)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</si>
  <si>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</si>
  <si>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</si>
  <si>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</si>
  <si>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</si>
  <si>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</si>
  <si>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</si>
  <si>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</si>
  <si>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</si>
  <si>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</si>
  <si>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</si>
  <si>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</si>
  <si>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Berka Zdeněk</t>
  </si>
  <si>
    <t>Daniš Lukáš</t>
  </si>
  <si>
    <t>Hálek Matěj</t>
  </si>
  <si>
    <t>Konečný Michal</t>
  </si>
  <si>
    <t>Navrátil Vít</t>
  </si>
  <si>
    <t>Špatenková Veronika</t>
  </si>
  <si>
    <t>Tichý Tomáš</t>
  </si>
  <si>
    <t>Vrzalová Drahomíra</t>
  </si>
  <si>
    <t>Zarivnijová Lea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</si>
  <si>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</si>
  <si>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</si>
  <si>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</si>
  <si>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</si>
  <si>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</si>
  <si>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</si>
  <si>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</si>
  <si>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</si>
  <si>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</si>
  <si>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</si>
  <si>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</si>
  <si>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</si>
  <si>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</si>
  <si>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</si>
  <si>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</si>
  <si>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</si>
  <si>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</si>
  <si>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</si>
  <si>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</si>
  <si>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</si>
  <si>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</si>
  <si>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</si>
  <si>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</si>
  <si>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</si>
  <si>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</si>
  <si>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</si>
  <si>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</si>
  <si>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</si>
  <si>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</si>
  <si>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</si>
  <si>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</si>
  <si>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</si>
  <si>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</si>
  <si>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</si>
  <si>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</si>
  <si>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</si>
  <si>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</si>
  <si>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</si>
  <si>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</si>
  <si>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</si>
  <si>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</si>
  <si>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</si>
  <si>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</si>
  <si>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</si>
  <si>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08 - PORGYN: Porodnicko-gynekologická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</si>
  <si>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</si>
  <si>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</si>
  <si>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</si>
  <si>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</si>
  <si>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</si>
  <si>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</si>
  <si>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59 - IPCHO: Oddělení int. péče chirurg. oborů</t>
  </si>
  <si>
    <t>01</t>
  </si>
  <si>
    <t>02</t>
  </si>
  <si>
    <t>03</t>
  </si>
  <si>
    <t>04</t>
  </si>
  <si>
    <t>07</t>
  </si>
  <si>
    <t>08</t>
  </si>
  <si>
    <t>12</t>
  </si>
  <si>
    <t>13</t>
  </si>
  <si>
    <t>16</t>
  </si>
  <si>
    <t>17</t>
  </si>
  <si>
    <t>18</t>
  </si>
  <si>
    <t>21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</si>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</sst>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40" fillId="0" borderId="24" xfId="0" applyFont="1" applyFill="1" applyBorder="1"/>
    <xf numFmtId="0" fontId="40" fillId="0" borderId="129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2.234722402286716</c:v>
                </c:pt>
                <c:pt idx="1">
                  <c:v>2.8304424080288766</c:v>
                </c:pt>
                <c:pt idx="2">
                  <c:v>2.7954019280897024</c:v>
                </c:pt>
                <c:pt idx="3">
                  <c:v>3.0603738189064549</c:v>
                </c:pt>
                <c:pt idx="4">
                  <c:v>3.0914411780911317</c:v>
                </c:pt>
                <c:pt idx="5">
                  <c:v>3.2077423820642958</c:v>
                </c:pt>
                <c:pt idx="6">
                  <c:v>3.4100888169176917</c:v>
                </c:pt>
                <c:pt idx="7">
                  <c:v>3.4303311926438158</c:v>
                </c:pt>
                <c:pt idx="8">
                  <c:v>3.4446602296419955</c:v>
                </c:pt>
                <c:pt idx="9">
                  <c:v>3.3868966395906859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2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362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363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368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540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543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558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595</v>
      </c>
      <c r="C23" s="47" t="s">
        <v>120</v>
      </c>
    </row>
    <row r="24" spans="1:3" ht="14.45" customHeight="1" x14ac:dyDescent="0.25">
      <c r="A24" s="256" t="str">
        <f>HYPERLINK("#'"&amp;C24&amp;"'!A1",C24)</f>
        <v>ZV Vykáz.-A Det.Lék.</v>
      </c>
      <c r="B24" s="90" t="s">
        <v>596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625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DE8CA5A0-FE9E-462A-AA8C-692FA14887D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363</v>
      </c>
      <c r="B1" s="342"/>
      <c r="C1" s="342"/>
      <c r="D1" s="342"/>
      <c r="E1" s="342"/>
      <c r="F1" s="342"/>
    </row>
    <row r="2" spans="1:6" ht="14.45" customHeight="1" thickBot="1" x14ac:dyDescent="0.25">
      <c r="A2" s="232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299</v>
      </c>
      <c r="B5" s="485"/>
      <c r="C5" s="486">
        <v>0</v>
      </c>
      <c r="D5" s="485">
        <v>25920.179999999989</v>
      </c>
      <c r="E5" s="486">
        <v>1</v>
      </c>
      <c r="F5" s="487">
        <v>25920.179999999989</v>
      </c>
    </row>
    <row r="6" spans="1:6" ht="14.45" customHeight="1" thickBot="1" x14ac:dyDescent="0.25">
      <c r="A6" s="491" t="s">
        <v>3</v>
      </c>
      <c r="B6" s="492"/>
      <c r="C6" s="493">
        <v>0</v>
      </c>
      <c r="D6" s="492">
        <v>25920.179999999989</v>
      </c>
      <c r="E6" s="493">
        <v>1</v>
      </c>
      <c r="F6" s="494">
        <v>25920.179999999989</v>
      </c>
    </row>
    <row r="7" spans="1:6" ht="14.45" customHeight="1" thickBot="1" x14ac:dyDescent="0.25"/>
    <row r="8" spans="1:6" ht="14.45" customHeight="1" x14ac:dyDescent="0.2">
      <c r="A8" s="502" t="s">
        <v>364</v>
      </c>
      <c r="B8" s="116"/>
      <c r="C8" s="464">
        <v>0</v>
      </c>
      <c r="D8" s="116">
        <v>25920.179999999989</v>
      </c>
      <c r="E8" s="464">
        <v>1</v>
      </c>
      <c r="F8" s="488">
        <v>25920.179999999989</v>
      </c>
    </row>
    <row r="9" spans="1:6" ht="14.45" customHeight="1" thickBot="1" x14ac:dyDescent="0.25">
      <c r="A9" s="503" t="s">
        <v>365</v>
      </c>
      <c r="B9" s="499"/>
      <c r="C9" s="500"/>
      <c r="D9" s="499">
        <v>0</v>
      </c>
      <c r="E9" s="500"/>
      <c r="F9" s="501">
        <v>0</v>
      </c>
    </row>
    <row r="10" spans="1:6" ht="14.45" customHeight="1" thickBot="1" x14ac:dyDescent="0.25">
      <c r="A10" s="491" t="s">
        <v>3</v>
      </c>
      <c r="B10" s="492"/>
      <c r="C10" s="493">
        <v>0</v>
      </c>
      <c r="D10" s="492">
        <v>25920.179999999989</v>
      </c>
      <c r="E10" s="493">
        <v>1</v>
      </c>
      <c r="F10" s="494">
        <v>25920.179999999989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{103F4CC5-F3FD-4D91-84B9-8BB098DB0BC2}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{98747F6B-38AC-4E5B-9980-DAB7493E3B31}</x14:id>
        </ext>
      </extLst>
    </cfRule>
  </conditionalFormatting>
  <hyperlinks>
    <hyperlink ref="A2" location="Obsah!A1" display="Zpět na Obsah  KL 01  1.-4.měsíc" xr:uid="{C3F97399-7084-4390-914D-A4BED2E8703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3F4CC5-F3FD-4D91-84B9-8BB098DB0B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98747F6B-38AC-4E5B-9980-DAB7493E3B3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42" t="s">
        <v>368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2" t="s">
        <v>235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134</v>
      </c>
      <c r="J3" s="43">
        <f>SUBTOTAL(9,J6:J1048576)</f>
        <v>25920.179999999997</v>
      </c>
      <c r="K3" s="44">
        <f>IF(M3=0,0,J3/M3)</f>
        <v>1</v>
      </c>
      <c r="L3" s="43">
        <f>SUBTOTAL(9,L6:L1048576)</f>
        <v>134</v>
      </c>
      <c r="M3" s="45">
        <f>SUBTOTAL(9,M6:M1048576)</f>
        <v>25920.179999999997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504" t="s">
        <v>127</v>
      </c>
      <c r="C5" s="504" t="s">
        <v>69</v>
      </c>
      <c r="D5" s="504" t="s">
        <v>128</v>
      </c>
      <c r="E5" s="504" t="s">
        <v>129</v>
      </c>
      <c r="F5" s="505" t="s">
        <v>27</v>
      </c>
      <c r="G5" s="505" t="s">
        <v>13</v>
      </c>
      <c r="H5" s="483" t="s">
        <v>130</v>
      </c>
      <c r="I5" s="482" t="s">
        <v>27</v>
      </c>
      <c r="J5" s="505" t="s">
        <v>13</v>
      </c>
      <c r="K5" s="483" t="s">
        <v>130</v>
      </c>
      <c r="L5" s="482" t="s">
        <v>27</v>
      </c>
      <c r="M5" s="506" t="s">
        <v>13</v>
      </c>
    </row>
    <row r="6" spans="1:13" ht="14.45" customHeight="1" x14ac:dyDescent="0.2">
      <c r="A6" s="458" t="s">
        <v>299</v>
      </c>
      <c r="B6" s="459" t="s">
        <v>366</v>
      </c>
      <c r="C6" s="459" t="s">
        <v>305</v>
      </c>
      <c r="D6" s="459" t="s">
        <v>306</v>
      </c>
      <c r="E6" s="459" t="s">
        <v>307</v>
      </c>
      <c r="F6" s="116"/>
      <c r="G6" s="116"/>
      <c r="H6" s="464"/>
      <c r="I6" s="116">
        <v>1</v>
      </c>
      <c r="J6" s="116">
        <v>0</v>
      </c>
      <c r="K6" s="464"/>
      <c r="L6" s="116">
        <v>1</v>
      </c>
      <c r="M6" s="488">
        <v>0</v>
      </c>
    </row>
    <row r="7" spans="1:13" ht="14.45" customHeight="1" x14ac:dyDescent="0.2">
      <c r="A7" s="465" t="s">
        <v>299</v>
      </c>
      <c r="B7" s="466" t="s">
        <v>367</v>
      </c>
      <c r="C7" s="466" t="s">
        <v>309</v>
      </c>
      <c r="D7" s="466" t="s">
        <v>310</v>
      </c>
      <c r="E7" s="466" t="s">
        <v>311</v>
      </c>
      <c r="F7" s="497"/>
      <c r="G7" s="497"/>
      <c r="H7" s="471">
        <v>0</v>
      </c>
      <c r="I7" s="497">
        <v>70</v>
      </c>
      <c r="J7" s="497">
        <v>16377.199999999999</v>
      </c>
      <c r="K7" s="471">
        <v>1</v>
      </c>
      <c r="L7" s="497">
        <v>70</v>
      </c>
      <c r="M7" s="498">
        <v>16377.199999999999</v>
      </c>
    </row>
    <row r="8" spans="1:13" ht="14.45" customHeight="1" x14ac:dyDescent="0.2">
      <c r="A8" s="465" t="s">
        <v>299</v>
      </c>
      <c r="B8" s="466" t="s">
        <v>367</v>
      </c>
      <c r="C8" s="466" t="s">
        <v>312</v>
      </c>
      <c r="D8" s="466" t="s">
        <v>313</v>
      </c>
      <c r="E8" s="466" t="s">
        <v>314</v>
      </c>
      <c r="F8" s="497"/>
      <c r="G8" s="497"/>
      <c r="H8" s="471">
        <v>0</v>
      </c>
      <c r="I8" s="497">
        <v>2</v>
      </c>
      <c r="J8" s="497">
        <v>43.92</v>
      </c>
      <c r="K8" s="471">
        <v>1</v>
      </c>
      <c r="L8" s="497">
        <v>2</v>
      </c>
      <c r="M8" s="498">
        <v>43.92</v>
      </c>
    </row>
    <row r="9" spans="1:13" ht="14.45" customHeight="1" x14ac:dyDescent="0.2">
      <c r="A9" s="465" t="s">
        <v>299</v>
      </c>
      <c r="B9" s="466" t="s">
        <v>367</v>
      </c>
      <c r="C9" s="466" t="s">
        <v>318</v>
      </c>
      <c r="D9" s="466" t="s">
        <v>319</v>
      </c>
      <c r="E9" s="466" t="s">
        <v>317</v>
      </c>
      <c r="F9" s="497"/>
      <c r="G9" s="497"/>
      <c r="H9" s="471">
        <v>0</v>
      </c>
      <c r="I9" s="497">
        <v>1</v>
      </c>
      <c r="J9" s="497">
        <v>127.34</v>
      </c>
      <c r="K9" s="471">
        <v>1</v>
      </c>
      <c r="L9" s="497">
        <v>1</v>
      </c>
      <c r="M9" s="498">
        <v>127.34</v>
      </c>
    </row>
    <row r="10" spans="1:13" ht="14.45" customHeight="1" x14ac:dyDescent="0.2">
      <c r="A10" s="465" t="s">
        <v>299</v>
      </c>
      <c r="B10" s="466" t="s">
        <v>367</v>
      </c>
      <c r="C10" s="466" t="s">
        <v>320</v>
      </c>
      <c r="D10" s="466" t="s">
        <v>321</v>
      </c>
      <c r="E10" s="466" t="s">
        <v>317</v>
      </c>
      <c r="F10" s="497"/>
      <c r="G10" s="497"/>
      <c r="H10" s="471">
        <v>0</v>
      </c>
      <c r="I10" s="497">
        <v>1</v>
      </c>
      <c r="J10" s="497">
        <v>127.34</v>
      </c>
      <c r="K10" s="471">
        <v>1</v>
      </c>
      <c r="L10" s="497">
        <v>1</v>
      </c>
      <c r="M10" s="498">
        <v>127.34</v>
      </c>
    </row>
    <row r="11" spans="1:13" ht="14.45" customHeight="1" x14ac:dyDescent="0.2">
      <c r="A11" s="465" t="s">
        <v>299</v>
      </c>
      <c r="B11" s="466" t="s">
        <v>367</v>
      </c>
      <c r="C11" s="466" t="s">
        <v>315</v>
      </c>
      <c r="D11" s="466" t="s">
        <v>316</v>
      </c>
      <c r="E11" s="466" t="s">
        <v>317</v>
      </c>
      <c r="F11" s="497"/>
      <c r="G11" s="497"/>
      <c r="H11" s="471">
        <v>0</v>
      </c>
      <c r="I11" s="497">
        <v>2</v>
      </c>
      <c r="J11" s="497">
        <v>311.94</v>
      </c>
      <c r="K11" s="471">
        <v>1</v>
      </c>
      <c r="L11" s="497">
        <v>2</v>
      </c>
      <c r="M11" s="498">
        <v>311.94</v>
      </c>
    </row>
    <row r="12" spans="1:13" ht="14.45" customHeight="1" x14ac:dyDescent="0.2">
      <c r="A12" s="465" t="s">
        <v>299</v>
      </c>
      <c r="B12" s="466" t="s">
        <v>367</v>
      </c>
      <c r="C12" s="466" t="s">
        <v>322</v>
      </c>
      <c r="D12" s="466" t="s">
        <v>323</v>
      </c>
      <c r="E12" s="466" t="s">
        <v>324</v>
      </c>
      <c r="F12" s="497"/>
      <c r="G12" s="497"/>
      <c r="H12" s="471">
        <v>0</v>
      </c>
      <c r="I12" s="497">
        <v>3</v>
      </c>
      <c r="J12" s="497">
        <v>254.67000000000002</v>
      </c>
      <c r="K12" s="471">
        <v>1</v>
      </c>
      <c r="L12" s="497">
        <v>3</v>
      </c>
      <c r="M12" s="498">
        <v>254.67000000000002</v>
      </c>
    </row>
    <row r="13" spans="1:13" ht="14.45" customHeight="1" x14ac:dyDescent="0.2">
      <c r="A13" s="465" t="s">
        <v>299</v>
      </c>
      <c r="B13" s="466" t="s">
        <v>367</v>
      </c>
      <c r="C13" s="466" t="s">
        <v>325</v>
      </c>
      <c r="D13" s="466" t="s">
        <v>326</v>
      </c>
      <c r="E13" s="466" t="s">
        <v>324</v>
      </c>
      <c r="F13" s="497"/>
      <c r="G13" s="497"/>
      <c r="H13" s="471">
        <v>0</v>
      </c>
      <c r="I13" s="497">
        <v>11</v>
      </c>
      <c r="J13" s="497">
        <v>933.79</v>
      </c>
      <c r="K13" s="471">
        <v>1</v>
      </c>
      <c r="L13" s="497">
        <v>11</v>
      </c>
      <c r="M13" s="498">
        <v>933.79</v>
      </c>
    </row>
    <row r="14" spans="1:13" ht="14.45" customHeight="1" x14ac:dyDescent="0.2">
      <c r="A14" s="465" t="s">
        <v>299</v>
      </c>
      <c r="B14" s="466" t="s">
        <v>367</v>
      </c>
      <c r="C14" s="466" t="s">
        <v>327</v>
      </c>
      <c r="D14" s="466" t="s">
        <v>328</v>
      </c>
      <c r="E14" s="466" t="s">
        <v>317</v>
      </c>
      <c r="F14" s="497"/>
      <c r="G14" s="497"/>
      <c r="H14" s="471">
        <v>0</v>
      </c>
      <c r="I14" s="497">
        <v>3</v>
      </c>
      <c r="J14" s="497">
        <v>382.02</v>
      </c>
      <c r="K14" s="471">
        <v>1</v>
      </c>
      <c r="L14" s="497">
        <v>3</v>
      </c>
      <c r="M14" s="498">
        <v>382.02</v>
      </c>
    </row>
    <row r="15" spans="1:13" ht="14.45" customHeight="1" x14ac:dyDescent="0.2">
      <c r="A15" s="465" t="s">
        <v>299</v>
      </c>
      <c r="B15" s="466" t="s">
        <v>367</v>
      </c>
      <c r="C15" s="466" t="s">
        <v>329</v>
      </c>
      <c r="D15" s="466" t="s">
        <v>330</v>
      </c>
      <c r="E15" s="466" t="s">
        <v>324</v>
      </c>
      <c r="F15" s="497"/>
      <c r="G15" s="497"/>
      <c r="H15" s="471">
        <v>0</v>
      </c>
      <c r="I15" s="497">
        <v>1</v>
      </c>
      <c r="J15" s="497">
        <v>84.89</v>
      </c>
      <c r="K15" s="471">
        <v>1</v>
      </c>
      <c r="L15" s="497">
        <v>1</v>
      </c>
      <c r="M15" s="498">
        <v>84.89</v>
      </c>
    </row>
    <row r="16" spans="1:13" ht="14.45" customHeight="1" x14ac:dyDescent="0.2">
      <c r="A16" s="465" t="s">
        <v>299</v>
      </c>
      <c r="B16" s="466" t="s">
        <v>367</v>
      </c>
      <c r="C16" s="466" t="s">
        <v>331</v>
      </c>
      <c r="D16" s="466" t="s">
        <v>332</v>
      </c>
      <c r="E16" s="466" t="s">
        <v>324</v>
      </c>
      <c r="F16" s="497"/>
      <c r="G16" s="497"/>
      <c r="H16" s="471">
        <v>0</v>
      </c>
      <c r="I16" s="497">
        <v>2</v>
      </c>
      <c r="J16" s="497">
        <v>169.78</v>
      </c>
      <c r="K16" s="471">
        <v>1</v>
      </c>
      <c r="L16" s="497">
        <v>2</v>
      </c>
      <c r="M16" s="498">
        <v>169.78</v>
      </c>
    </row>
    <row r="17" spans="1:13" ht="14.45" customHeight="1" x14ac:dyDescent="0.2">
      <c r="A17" s="465" t="s">
        <v>299</v>
      </c>
      <c r="B17" s="466" t="s">
        <v>367</v>
      </c>
      <c r="C17" s="466" t="s">
        <v>333</v>
      </c>
      <c r="D17" s="466" t="s">
        <v>334</v>
      </c>
      <c r="E17" s="466" t="s">
        <v>311</v>
      </c>
      <c r="F17" s="497"/>
      <c r="G17" s="497"/>
      <c r="H17" s="471">
        <v>0</v>
      </c>
      <c r="I17" s="497">
        <v>25</v>
      </c>
      <c r="J17" s="497">
        <v>5849</v>
      </c>
      <c r="K17" s="471">
        <v>1</v>
      </c>
      <c r="L17" s="497">
        <v>25</v>
      </c>
      <c r="M17" s="498">
        <v>5849</v>
      </c>
    </row>
    <row r="18" spans="1:13" ht="14.45" customHeight="1" x14ac:dyDescent="0.2">
      <c r="A18" s="465" t="s">
        <v>299</v>
      </c>
      <c r="B18" s="466" t="s">
        <v>367</v>
      </c>
      <c r="C18" s="466" t="s">
        <v>335</v>
      </c>
      <c r="D18" s="466" t="s">
        <v>336</v>
      </c>
      <c r="E18" s="466" t="s">
        <v>337</v>
      </c>
      <c r="F18" s="497"/>
      <c r="G18" s="497"/>
      <c r="H18" s="471">
        <v>0</v>
      </c>
      <c r="I18" s="497">
        <v>9</v>
      </c>
      <c r="J18" s="497">
        <v>790.38</v>
      </c>
      <c r="K18" s="471">
        <v>1</v>
      </c>
      <c r="L18" s="497">
        <v>9</v>
      </c>
      <c r="M18" s="498">
        <v>790.38</v>
      </c>
    </row>
    <row r="19" spans="1:13" ht="14.45" customHeight="1" thickBot="1" x14ac:dyDescent="0.25">
      <c r="A19" s="473" t="s">
        <v>299</v>
      </c>
      <c r="B19" s="474" t="s">
        <v>367</v>
      </c>
      <c r="C19" s="474" t="s">
        <v>338</v>
      </c>
      <c r="D19" s="474" t="s">
        <v>339</v>
      </c>
      <c r="E19" s="474" t="s">
        <v>317</v>
      </c>
      <c r="F19" s="489"/>
      <c r="G19" s="489"/>
      <c r="H19" s="479">
        <v>0</v>
      </c>
      <c r="I19" s="489">
        <v>3</v>
      </c>
      <c r="J19" s="489">
        <v>467.90999999999997</v>
      </c>
      <c r="K19" s="479">
        <v>1</v>
      </c>
      <c r="L19" s="489">
        <v>3</v>
      </c>
      <c r="M19" s="490">
        <v>467.90999999999997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A19D5FA6-8F85-4AF8-84EF-4CEC5144203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2" t="s">
        <v>235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59"/>
      <c r="C3" s="238">
        <v>2018</v>
      </c>
      <c r="D3" s="239">
        <v>2019</v>
      </c>
      <c r="E3" s="7"/>
      <c r="F3" s="314">
        <v>2020</v>
      </c>
      <c r="G3" s="332"/>
      <c r="H3" s="332"/>
      <c r="I3" s="315"/>
    </row>
    <row r="4" spans="1:10" ht="14.45" customHeight="1" thickBot="1" x14ac:dyDescent="0.25">
      <c r="A4" s="243" t="s">
        <v>0</v>
      </c>
      <c r="B4" s="244" t="s">
        <v>172</v>
      </c>
      <c r="C4" s="333" t="s">
        <v>71</v>
      </c>
      <c r="D4" s="334"/>
      <c r="E4" s="245"/>
      <c r="F4" s="240" t="s">
        <v>71</v>
      </c>
      <c r="G4" s="241" t="s">
        <v>72</v>
      </c>
      <c r="H4" s="241" t="s">
        <v>66</v>
      </c>
      <c r="I4" s="242" t="s">
        <v>73</v>
      </c>
    </row>
    <row r="5" spans="1:10" ht="14.45" customHeight="1" x14ac:dyDescent="0.2">
      <c r="A5" s="433" t="s">
        <v>290</v>
      </c>
      <c r="B5" s="434" t="s">
        <v>369</v>
      </c>
      <c r="C5" s="507" t="s">
        <v>236</v>
      </c>
      <c r="D5" s="507" t="s">
        <v>236</v>
      </c>
      <c r="E5" s="507"/>
      <c r="F5" s="507" t="s">
        <v>236</v>
      </c>
      <c r="G5" s="507" t="s">
        <v>236</v>
      </c>
      <c r="H5" s="507" t="s">
        <v>236</v>
      </c>
      <c r="I5" s="508" t="s">
        <v>236</v>
      </c>
      <c r="J5" s="435" t="s">
        <v>67</v>
      </c>
    </row>
    <row r="6" spans="1:10" ht="14.45" customHeight="1" x14ac:dyDescent="0.2">
      <c r="A6" s="433" t="s">
        <v>290</v>
      </c>
      <c r="B6" s="434" t="s">
        <v>370</v>
      </c>
      <c r="C6" s="507">
        <v>159.23909999999992</v>
      </c>
      <c r="D6" s="507">
        <v>171.15567000000007</v>
      </c>
      <c r="E6" s="507"/>
      <c r="F6" s="507">
        <v>292.39928000000003</v>
      </c>
      <c r="G6" s="507">
        <v>0</v>
      </c>
      <c r="H6" s="507">
        <v>292.39928000000003</v>
      </c>
      <c r="I6" s="508" t="s">
        <v>236</v>
      </c>
      <c r="J6" s="435" t="s">
        <v>1</v>
      </c>
    </row>
    <row r="7" spans="1:10" ht="14.45" customHeight="1" x14ac:dyDescent="0.2">
      <c r="A7" s="433" t="s">
        <v>290</v>
      </c>
      <c r="B7" s="434" t="s">
        <v>371</v>
      </c>
      <c r="C7" s="507">
        <v>444.35035000000011</v>
      </c>
      <c r="D7" s="507">
        <v>584.08999000000017</v>
      </c>
      <c r="E7" s="507"/>
      <c r="F7" s="507">
        <v>801.71849999999949</v>
      </c>
      <c r="G7" s="507">
        <v>0</v>
      </c>
      <c r="H7" s="507">
        <v>801.71849999999949</v>
      </c>
      <c r="I7" s="508" t="s">
        <v>236</v>
      </c>
      <c r="J7" s="435" t="s">
        <v>1</v>
      </c>
    </row>
    <row r="8" spans="1:10" ht="14.45" customHeight="1" x14ac:dyDescent="0.2">
      <c r="A8" s="433" t="s">
        <v>290</v>
      </c>
      <c r="B8" s="434" t="s">
        <v>372</v>
      </c>
      <c r="C8" s="507">
        <v>365.65524999999991</v>
      </c>
      <c r="D8" s="507">
        <v>473.40944999999942</v>
      </c>
      <c r="E8" s="507"/>
      <c r="F8" s="507">
        <v>687.63450999999952</v>
      </c>
      <c r="G8" s="507">
        <v>0</v>
      </c>
      <c r="H8" s="507">
        <v>687.63450999999952</v>
      </c>
      <c r="I8" s="508" t="s">
        <v>236</v>
      </c>
      <c r="J8" s="435" t="s">
        <v>1</v>
      </c>
    </row>
    <row r="9" spans="1:10" ht="14.45" customHeight="1" x14ac:dyDescent="0.2">
      <c r="A9" s="433" t="s">
        <v>290</v>
      </c>
      <c r="B9" s="434" t="s">
        <v>373</v>
      </c>
      <c r="C9" s="507">
        <v>23.271820000000002</v>
      </c>
      <c r="D9" s="507">
        <v>27.808490000000006</v>
      </c>
      <c r="E9" s="507"/>
      <c r="F9" s="507">
        <v>54.352640000000015</v>
      </c>
      <c r="G9" s="507">
        <v>0</v>
      </c>
      <c r="H9" s="507">
        <v>54.352640000000015</v>
      </c>
      <c r="I9" s="508" t="s">
        <v>236</v>
      </c>
      <c r="J9" s="435" t="s">
        <v>1</v>
      </c>
    </row>
    <row r="10" spans="1:10" ht="14.45" customHeight="1" x14ac:dyDescent="0.2">
      <c r="A10" s="433" t="s">
        <v>290</v>
      </c>
      <c r="B10" s="434" t="s">
        <v>374</v>
      </c>
      <c r="C10" s="507">
        <v>53.886499999999991</v>
      </c>
      <c r="D10" s="507">
        <v>63.464699999999972</v>
      </c>
      <c r="E10" s="507"/>
      <c r="F10" s="507">
        <v>107.19979999999998</v>
      </c>
      <c r="G10" s="507">
        <v>0</v>
      </c>
      <c r="H10" s="507">
        <v>107.19979999999998</v>
      </c>
      <c r="I10" s="508" t="s">
        <v>236</v>
      </c>
      <c r="J10" s="435" t="s">
        <v>1</v>
      </c>
    </row>
    <row r="11" spans="1:10" ht="14.45" customHeight="1" x14ac:dyDescent="0.2">
      <c r="A11" s="433" t="s">
        <v>290</v>
      </c>
      <c r="B11" s="434" t="s">
        <v>375</v>
      </c>
      <c r="C11" s="507">
        <v>13.88777</v>
      </c>
      <c r="D11" s="507">
        <v>4.6292600000000004</v>
      </c>
      <c r="E11" s="507"/>
      <c r="F11" s="507">
        <v>9.2585099999999994</v>
      </c>
      <c r="G11" s="507">
        <v>0</v>
      </c>
      <c r="H11" s="507">
        <v>9.2585099999999994</v>
      </c>
      <c r="I11" s="508" t="s">
        <v>236</v>
      </c>
      <c r="J11" s="435" t="s">
        <v>1</v>
      </c>
    </row>
    <row r="12" spans="1:10" ht="14.45" customHeight="1" x14ac:dyDescent="0.2">
      <c r="A12" s="433" t="s">
        <v>290</v>
      </c>
      <c r="B12" s="434" t="s">
        <v>376</v>
      </c>
      <c r="C12" s="507">
        <v>98.84038000000001</v>
      </c>
      <c r="D12" s="507">
        <v>0</v>
      </c>
      <c r="E12" s="507"/>
      <c r="F12" s="507">
        <v>0</v>
      </c>
      <c r="G12" s="507">
        <v>0</v>
      </c>
      <c r="H12" s="507">
        <v>0</v>
      </c>
      <c r="I12" s="508" t="s">
        <v>236</v>
      </c>
      <c r="J12" s="435" t="s">
        <v>1</v>
      </c>
    </row>
    <row r="13" spans="1:10" ht="14.45" customHeight="1" x14ac:dyDescent="0.2">
      <c r="A13" s="433" t="s">
        <v>290</v>
      </c>
      <c r="B13" s="434" t="s">
        <v>377</v>
      </c>
      <c r="C13" s="507">
        <v>1159.1311700000001</v>
      </c>
      <c r="D13" s="507">
        <v>1324.5575599999995</v>
      </c>
      <c r="E13" s="507"/>
      <c r="F13" s="507">
        <v>1952.5632399999988</v>
      </c>
      <c r="G13" s="507">
        <v>0</v>
      </c>
      <c r="H13" s="507">
        <v>1952.5632399999988</v>
      </c>
      <c r="I13" s="508" t="s">
        <v>236</v>
      </c>
      <c r="J13" s="435" t="s">
        <v>291</v>
      </c>
    </row>
    <row r="15" spans="1:10" ht="14.45" customHeight="1" x14ac:dyDescent="0.2">
      <c r="A15" s="433" t="s">
        <v>290</v>
      </c>
      <c r="B15" s="434" t="s">
        <v>369</v>
      </c>
      <c r="C15" s="507" t="s">
        <v>236</v>
      </c>
      <c r="D15" s="507" t="s">
        <v>236</v>
      </c>
      <c r="E15" s="507"/>
      <c r="F15" s="507" t="s">
        <v>236</v>
      </c>
      <c r="G15" s="507" t="s">
        <v>236</v>
      </c>
      <c r="H15" s="507" t="s">
        <v>236</v>
      </c>
      <c r="I15" s="508" t="s">
        <v>236</v>
      </c>
      <c r="J15" s="435" t="s">
        <v>67</v>
      </c>
    </row>
    <row r="16" spans="1:10" ht="14.45" customHeight="1" x14ac:dyDescent="0.2">
      <c r="A16" s="433" t="s">
        <v>378</v>
      </c>
      <c r="B16" s="434" t="s">
        <v>379</v>
      </c>
      <c r="C16" s="507" t="s">
        <v>236</v>
      </c>
      <c r="D16" s="507" t="s">
        <v>236</v>
      </c>
      <c r="E16" s="507"/>
      <c r="F16" s="507" t="s">
        <v>236</v>
      </c>
      <c r="G16" s="507" t="s">
        <v>236</v>
      </c>
      <c r="H16" s="507" t="s">
        <v>236</v>
      </c>
      <c r="I16" s="508" t="s">
        <v>236</v>
      </c>
      <c r="J16" s="435" t="s">
        <v>0</v>
      </c>
    </row>
    <row r="17" spans="1:10" ht="14.45" customHeight="1" x14ac:dyDescent="0.2">
      <c r="A17" s="433" t="s">
        <v>378</v>
      </c>
      <c r="B17" s="434" t="s">
        <v>370</v>
      </c>
      <c r="C17" s="507">
        <v>159.23909999999992</v>
      </c>
      <c r="D17" s="507">
        <v>171.15567000000007</v>
      </c>
      <c r="E17" s="507"/>
      <c r="F17" s="507">
        <v>292.39928000000003</v>
      </c>
      <c r="G17" s="507">
        <v>0</v>
      </c>
      <c r="H17" s="507">
        <v>292.39928000000003</v>
      </c>
      <c r="I17" s="508" t="s">
        <v>236</v>
      </c>
      <c r="J17" s="435" t="s">
        <v>1</v>
      </c>
    </row>
    <row r="18" spans="1:10" ht="14.45" customHeight="1" x14ac:dyDescent="0.2">
      <c r="A18" s="433" t="s">
        <v>378</v>
      </c>
      <c r="B18" s="434" t="s">
        <v>371</v>
      </c>
      <c r="C18" s="507">
        <v>444.35035000000011</v>
      </c>
      <c r="D18" s="507">
        <v>584.08999000000017</v>
      </c>
      <c r="E18" s="507"/>
      <c r="F18" s="507">
        <v>801.71849999999949</v>
      </c>
      <c r="G18" s="507">
        <v>0</v>
      </c>
      <c r="H18" s="507">
        <v>801.71849999999949</v>
      </c>
      <c r="I18" s="508" t="s">
        <v>236</v>
      </c>
      <c r="J18" s="435" t="s">
        <v>1</v>
      </c>
    </row>
    <row r="19" spans="1:10" ht="14.45" customHeight="1" x14ac:dyDescent="0.2">
      <c r="A19" s="433" t="s">
        <v>378</v>
      </c>
      <c r="B19" s="434" t="s">
        <v>372</v>
      </c>
      <c r="C19" s="507">
        <v>365.65524999999991</v>
      </c>
      <c r="D19" s="507">
        <v>473.40944999999942</v>
      </c>
      <c r="E19" s="507"/>
      <c r="F19" s="507">
        <v>687.63450999999952</v>
      </c>
      <c r="G19" s="507">
        <v>0</v>
      </c>
      <c r="H19" s="507">
        <v>687.63450999999952</v>
      </c>
      <c r="I19" s="508" t="s">
        <v>236</v>
      </c>
      <c r="J19" s="435" t="s">
        <v>1</v>
      </c>
    </row>
    <row r="20" spans="1:10" ht="14.45" customHeight="1" x14ac:dyDescent="0.2">
      <c r="A20" s="433" t="s">
        <v>378</v>
      </c>
      <c r="B20" s="434" t="s">
        <v>373</v>
      </c>
      <c r="C20" s="507">
        <v>23.271820000000002</v>
      </c>
      <c r="D20" s="507">
        <v>27.808490000000006</v>
      </c>
      <c r="E20" s="507"/>
      <c r="F20" s="507">
        <v>54.352640000000015</v>
      </c>
      <c r="G20" s="507">
        <v>0</v>
      </c>
      <c r="H20" s="507">
        <v>54.352640000000015</v>
      </c>
      <c r="I20" s="508" t="s">
        <v>236</v>
      </c>
      <c r="J20" s="435" t="s">
        <v>1</v>
      </c>
    </row>
    <row r="21" spans="1:10" ht="14.45" customHeight="1" x14ac:dyDescent="0.2">
      <c r="A21" s="433" t="s">
        <v>378</v>
      </c>
      <c r="B21" s="434" t="s">
        <v>374</v>
      </c>
      <c r="C21" s="507">
        <v>53.886499999999991</v>
      </c>
      <c r="D21" s="507">
        <v>63.464699999999972</v>
      </c>
      <c r="E21" s="507"/>
      <c r="F21" s="507">
        <v>107.19979999999998</v>
      </c>
      <c r="G21" s="507">
        <v>0</v>
      </c>
      <c r="H21" s="507">
        <v>107.19979999999998</v>
      </c>
      <c r="I21" s="508" t="s">
        <v>236</v>
      </c>
      <c r="J21" s="435" t="s">
        <v>1</v>
      </c>
    </row>
    <row r="22" spans="1:10" ht="14.45" customHeight="1" x14ac:dyDescent="0.2">
      <c r="A22" s="433" t="s">
        <v>378</v>
      </c>
      <c r="B22" s="434" t="s">
        <v>375</v>
      </c>
      <c r="C22" s="507">
        <v>13.88777</v>
      </c>
      <c r="D22" s="507">
        <v>4.6292600000000004</v>
      </c>
      <c r="E22" s="507"/>
      <c r="F22" s="507">
        <v>9.2585099999999994</v>
      </c>
      <c r="G22" s="507">
        <v>0</v>
      </c>
      <c r="H22" s="507">
        <v>9.2585099999999994</v>
      </c>
      <c r="I22" s="508" t="s">
        <v>236</v>
      </c>
      <c r="J22" s="435" t="s">
        <v>1</v>
      </c>
    </row>
    <row r="23" spans="1:10" ht="14.45" customHeight="1" x14ac:dyDescent="0.2">
      <c r="A23" s="433" t="s">
        <v>378</v>
      </c>
      <c r="B23" s="434" t="s">
        <v>376</v>
      </c>
      <c r="C23" s="507">
        <v>98.84038000000001</v>
      </c>
      <c r="D23" s="507">
        <v>0</v>
      </c>
      <c r="E23" s="507"/>
      <c r="F23" s="507">
        <v>0</v>
      </c>
      <c r="G23" s="507">
        <v>0</v>
      </c>
      <c r="H23" s="507">
        <v>0</v>
      </c>
      <c r="I23" s="508" t="s">
        <v>236</v>
      </c>
      <c r="J23" s="435" t="s">
        <v>1</v>
      </c>
    </row>
    <row r="24" spans="1:10" ht="14.45" customHeight="1" x14ac:dyDescent="0.2">
      <c r="A24" s="433" t="s">
        <v>378</v>
      </c>
      <c r="B24" s="434" t="s">
        <v>380</v>
      </c>
      <c r="C24" s="507">
        <v>1159.1311700000001</v>
      </c>
      <c r="D24" s="507">
        <v>1324.5575599999995</v>
      </c>
      <c r="E24" s="507"/>
      <c r="F24" s="507">
        <v>1952.5632399999988</v>
      </c>
      <c r="G24" s="507">
        <v>0</v>
      </c>
      <c r="H24" s="507">
        <v>1952.5632399999988</v>
      </c>
      <c r="I24" s="508" t="s">
        <v>236</v>
      </c>
      <c r="J24" s="435" t="s">
        <v>294</v>
      </c>
    </row>
    <row r="25" spans="1:10" ht="14.45" customHeight="1" x14ac:dyDescent="0.2">
      <c r="A25" s="433" t="s">
        <v>236</v>
      </c>
      <c r="B25" s="434" t="s">
        <v>236</v>
      </c>
      <c r="C25" s="507" t="s">
        <v>236</v>
      </c>
      <c r="D25" s="507" t="s">
        <v>236</v>
      </c>
      <c r="E25" s="507"/>
      <c r="F25" s="507" t="s">
        <v>236</v>
      </c>
      <c r="G25" s="507" t="s">
        <v>236</v>
      </c>
      <c r="H25" s="507" t="s">
        <v>236</v>
      </c>
      <c r="I25" s="508" t="s">
        <v>236</v>
      </c>
      <c r="J25" s="435" t="s">
        <v>295</v>
      </c>
    </row>
    <row r="26" spans="1:10" ht="14.45" customHeight="1" x14ac:dyDescent="0.2">
      <c r="A26" s="433" t="s">
        <v>290</v>
      </c>
      <c r="B26" s="434" t="s">
        <v>377</v>
      </c>
      <c r="C26" s="507">
        <v>1159.1311700000001</v>
      </c>
      <c r="D26" s="507">
        <v>1324.5575599999995</v>
      </c>
      <c r="E26" s="507"/>
      <c r="F26" s="507">
        <v>1952.5632399999988</v>
      </c>
      <c r="G26" s="507">
        <v>0</v>
      </c>
      <c r="H26" s="507">
        <v>1952.5632399999988</v>
      </c>
      <c r="I26" s="508" t="s">
        <v>236</v>
      </c>
      <c r="J26" s="435" t="s">
        <v>291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78F54751-5E62-4A09-8E51-68C28E9AEC9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40" t="s">
        <v>540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2" t="s">
        <v>235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13.45183935186175</v>
      </c>
      <c r="J3" s="98">
        <f>SUBTOTAL(9,J5:J1048576)</f>
        <v>118924</v>
      </c>
      <c r="K3" s="99">
        <f>SUBTOTAL(9,K5:K1048576)</f>
        <v>1599746.5430808067</v>
      </c>
    </row>
    <row r="4" spans="1:11" s="208" customFormat="1" ht="14.45" customHeight="1" thickBot="1" x14ac:dyDescent="0.25">
      <c r="A4" s="509" t="s">
        <v>4</v>
      </c>
      <c r="B4" s="510" t="s">
        <v>5</v>
      </c>
      <c r="C4" s="510" t="s">
        <v>0</v>
      </c>
      <c r="D4" s="510" t="s">
        <v>6</v>
      </c>
      <c r="E4" s="510" t="s">
        <v>7</v>
      </c>
      <c r="F4" s="510" t="s">
        <v>1</v>
      </c>
      <c r="G4" s="510" t="s">
        <v>69</v>
      </c>
      <c r="H4" s="511" t="s">
        <v>10</v>
      </c>
      <c r="I4" s="512" t="s">
        <v>137</v>
      </c>
      <c r="J4" s="512" t="s">
        <v>12</v>
      </c>
      <c r="K4" s="513" t="s">
        <v>151</v>
      </c>
    </row>
    <row r="5" spans="1:11" ht="14.45" customHeight="1" x14ac:dyDescent="0.2">
      <c r="A5" s="458" t="s">
        <v>290</v>
      </c>
      <c r="B5" s="459" t="s">
        <v>369</v>
      </c>
      <c r="C5" s="462" t="s">
        <v>378</v>
      </c>
      <c r="D5" s="514" t="s">
        <v>379</v>
      </c>
      <c r="E5" s="462" t="s">
        <v>381</v>
      </c>
      <c r="F5" s="514" t="s">
        <v>382</v>
      </c>
      <c r="G5" s="462" t="s">
        <v>383</v>
      </c>
      <c r="H5" s="462" t="s">
        <v>384</v>
      </c>
      <c r="I5" s="116">
        <v>96.489997863769531</v>
      </c>
      <c r="J5" s="116">
        <v>12</v>
      </c>
      <c r="K5" s="488">
        <v>1157.8199462890625</v>
      </c>
    </row>
    <row r="6" spans="1:11" ht="14.45" customHeight="1" x14ac:dyDescent="0.2">
      <c r="A6" s="465" t="s">
        <v>290</v>
      </c>
      <c r="B6" s="466" t="s">
        <v>369</v>
      </c>
      <c r="C6" s="469" t="s">
        <v>378</v>
      </c>
      <c r="D6" s="515" t="s">
        <v>379</v>
      </c>
      <c r="E6" s="469" t="s">
        <v>381</v>
      </c>
      <c r="F6" s="515" t="s">
        <v>382</v>
      </c>
      <c r="G6" s="469" t="s">
        <v>385</v>
      </c>
      <c r="H6" s="469" t="s">
        <v>386</v>
      </c>
      <c r="I6" s="497">
        <v>65.470001220703125</v>
      </c>
      <c r="J6" s="497">
        <v>28</v>
      </c>
      <c r="K6" s="498">
        <v>1833.0999755859375</v>
      </c>
    </row>
    <row r="7" spans="1:11" ht="14.45" customHeight="1" x14ac:dyDescent="0.2">
      <c r="A7" s="465" t="s">
        <v>290</v>
      </c>
      <c r="B7" s="466" t="s">
        <v>369</v>
      </c>
      <c r="C7" s="469" t="s">
        <v>378</v>
      </c>
      <c r="D7" s="515" t="s">
        <v>379</v>
      </c>
      <c r="E7" s="469" t="s">
        <v>381</v>
      </c>
      <c r="F7" s="515" t="s">
        <v>382</v>
      </c>
      <c r="G7" s="469" t="s">
        <v>387</v>
      </c>
      <c r="H7" s="469" t="s">
        <v>388</v>
      </c>
      <c r="I7" s="497">
        <v>60.849998474121094</v>
      </c>
      <c r="J7" s="497">
        <v>28</v>
      </c>
      <c r="K7" s="498">
        <v>1703.8399658203125</v>
      </c>
    </row>
    <row r="8" spans="1:11" ht="14.45" customHeight="1" x14ac:dyDescent="0.2">
      <c r="A8" s="465" t="s">
        <v>290</v>
      </c>
      <c r="B8" s="466" t="s">
        <v>369</v>
      </c>
      <c r="C8" s="469" t="s">
        <v>378</v>
      </c>
      <c r="D8" s="515" t="s">
        <v>379</v>
      </c>
      <c r="E8" s="469" t="s">
        <v>381</v>
      </c>
      <c r="F8" s="515" t="s">
        <v>382</v>
      </c>
      <c r="G8" s="469" t="s">
        <v>389</v>
      </c>
      <c r="H8" s="469" t="s">
        <v>390</v>
      </c>
      <c r="I8" s="497">
        <v>77.189656487826639</v>
      </c>
      <c r="J8" s="497">
        <v>129</v>
      </c>
      <c r="K8" s="498">
        <v>9900.2200622558594</v>
      </c>
    </row>
    <row r="9" spans="1:11" ht="14.45" customHeight="1" x14ac:dyDescent="0.2">
      <c r="A9" s="465" t="s">
        <v>290</v>
      </c>
      <c r="B9" s="466" t="s">
        <v>369</v>
      </c>
      <c r="C9" s="469" t="s">
        <v>378</v>
      </c>
      <c r="D9" s="515" t="s">
        <v>379</v>
      </c>
      <c r="E9" s="469" t="s">
        <v>381</v>
      </c>
      <c r="F9" s="515" t="s">
        <v>382</v>
      </c>
      <c r="G9" s="469" t="s">
        <v>391</v>
      </c>
      <c r="H9" s="469" t="s">
        <v>392</v>
      </c>
      <c r="I9" s="497">
        <v>74.75</v>
      </c>
      <c r="J9" s="497">
        <v>500</v>
      </c>
      <c r="K9" s="498">
        <v>37375</v>
      </c>
    </row>
    <row r="10" spans="1:11" ht="14.45" customHeight="1" x14ac:dyDescent="0.2">
      <c r="A10" s="465" t="s">
        <v>290</v>
      </c>
      <c r="B10" s="466" t="s">
        <v>369</v>
      </c>
      <c r="C10" s="469" t="s">
        <v>378</v>
      </c>
      <c r="D10" s="515" t="s">
        <v>379</v>
      </c>
      <c r="E10" s="469" t="s">
        <v>381</v>
      </c>
      <c r="F10" s="515" t="s">
        <v>382</v>
      </c>
      <c r="G10" s="469" t="s">
        <v>393</v>
      </c>
      <c r="H10" s="469" t="s">
        <v>394</v>
      </c>
      <c r="I10" s="497">
        <v>0.5899999737739563</v>
      </c>
      <c r="J10" s="497">
        <v>500</v>
      </c>
      <c r="K10" s="498">
        <v>295</v>
      </c>
    </row>
    <row r="11" spans="1:11" ht="14.45" customHeight="1" x14ac:dyDescent="0.2">
      <c r="A11" s="465" t="s">
        <v>290</v>
      </c>
      <c r="B11" s="466" t="s">
        <v>369</v>
      </c>
      <c r="C11" s="469" t="s">
        <v>378</v>
      </c>
      <c r="D11" s="515" t="s">
        <v>379</v>
      </c>
      <c r="E11" s="469" t="s">
        <v>381</v>
      </c>
      <c r="F11" s="515" t="s">
        <v>382</v>
      </c>
      <c r="G11" s="469" t="s">
        <v>395</v>
      </c>
      <c r="H11" s="469" t="s">
        <v>396</v>
      </c>
      <c r="I11" s="497">
        <v>0.92333332697550452</v>
      </c>
      <c r="J11" s="497">
        <v>708</v>
      </c>
      <c r="K11" s="498">
        <v>662.03999996185303</v>
      </c>
    </row>
    <row r="12" spans="1:11" ht="14.45" customHeight="1" x14ac:dyDescent="0.2">
      <c r="A12" s="465" t="s">
        <v>290</v>
      </c>
      <c r="B12" s="466" t="s">
        <v>369</v>
      </c>
      <c r="C12" s="469" t="s">
        <v>378</v>
      </c>
      <c r="D12" s="515" t="s">
        <v>379</v>
      </c>
      <c r="E12" s="469" t="s">
        <v>381</v>
      </c>
      <c r="F12" s="515" t="s">
        <v>382</v>
      </c>
      <c r="G12" s="469" t="s">
        <v>397</v>
      </c>
      <c r="H12" s="469" t="s">
        <v>398</v>
      </c>
      <c r="I12" s="497">
        <v>0.48999998966852826</v>
      </c>
      <c r="J12" s="497">
        <v>700</v>
      </c>
      <c r="K12" s="498">
        <v>341</v>
      </c>
    </row>
    <row r="13" spans="1:11" ht="14.45" customHeight="1" x14ac:dyDescent="0.2">
      <c r="A13" s="465" t="s">
        <v>290</v>
      </c>
      <c r="B13" s="466" t="s">
        <v>369</v>
      </c>
      <c r="C13" s="469" t="s">
        <v>378</v>
      </c>
      <c r="D13" s="515" t="s">
        <v>379</v>
      </c>
      <c r="E13" s="469" t="s">
        <v>381</v>
      </c>
      <c r="F13" s="515" t="s">
        <v>382</v>
      </c>
      <c r="G13" s="469" t="s">
        <v>399</v>
      </c>
      <c r="H13" s="469" t="s">
        <v>400</v>
      </c>
      <c r="I13" s="497">
        <v>1.2631578884626691</v>
      </c>
      <c r="J13" s="497">
        <v>3520</v>
      </c>
      <c r="K13" s="498">
        <v>4392.3999938964844</v>
      </c>
    </row>
    <row r="14" spans="1:11" ht="14.45" customHeight="1" x14ac:dyDescent="0.2">
      <c r="A14" s="465" t="s">
        <v>290</v>
      </c>
      <c r="B14" s="466" t="s">
        <v>369</v>
      </c>
      <c r="C14" s="469" t="s">
        <v>378</v>
      </c>
      <c r="D14" s="515" t="s">
        <v>379</v>
      </c>
      <c r="E14" s="469" t="s">
        <v>381</v>
      </c>
      <c r="F14" s="515" t="s">
        <v>382</v>
      </c>
      <c r="G14" s="469" t="s">
        <v>401</v>
      </c>
      <c r="H14" s="469" t="s">
        <v>402</v>
      </c>
      <c r="I14" s="497">
        <v>2.5414285319192067</v>
      </c>
      <c r="J14" s="497">
        <v>560</v>
      </c>
      <c r="K14" s="498">
        <v>1423.1000213623047</v>
      </c>
    </row>
    <row r="15" spans="1:11" ht="14.45" customHeight="1" x14ac:dyDescent="0.2">
      <c r="A15" s="465" t="s">
        <v>290</v>
      </c>
      <c r="B15" s="466" t="s">
        <v>369</v>
      </c>
      <c r="C15" s="469" t="s">
        <v>378</v>
      </c>
      <c r="D15" s="515" t="s">
        <v>379</v>
      </c>
      <c r="E15" s="469" t="s">
        <v>381</v>
      </c>
      <c r="F15" s="515" t="s">
        <v>382</v>
      </c>
      <c r="G15" s="469" t="s">
        <v>403</v>
      </c>
      <c r="H15" s="469" t="s">
        <v>404</v>
      </c>
      <c r="I15" s="497">
        <v>21.200000762939453</v>
      </c>
      <c r="J15" s="497">
        <v>110</v>
      </c>
      <c r="K15" s="498">
        <v>2332.4399261474609</v>
      </c>
    </row>
    <row r="16" spans="1:11" ht="14.45" customHeight="1" x14ac:dyDescent="0.2">
      <c r="A16" s="465" t="s">
        <v>290</v>
      </c>
      <c r="B16" s="466" t="s">
        <v>369</v>
      </c>
      <c r="C16" s="469" t="s">
        <v>378</v>
      </c>
      <c r="D16" s="515" t="s">
        <v>379</v>
      </c>
      <c r="E16" s="469" t="s">
        <v>381</v>
      </c>
      <c r="F16" s="515" t="s">
        <v>382</v>
      </c>
      <c r="G16" s="469" t="s">
        <v>405</v>
      </c>
      <c r="H16" s="469" t="s">
        <v>406</v>
      </c>
      <c r="I16" s="497">
        <v>36.799999237060547</v>
      </c>
      <c r="J16" s="497">
        <v>50</v>
      </c>
      <c r="K16" s="498">
        <v>1840</v>
      </c>
    </row>
    <row r="17" spans="1:11" ht="14.45" customHeight="1" x14ac:dyDescent="0.2">
      <c r="A17" s="465" t="s">
        <v>290</v>
      </c>
      <c r="B17" s="466" t="s">
        <v>369</v>
      </c>
      <c r="C17" s="469" t="s">
        <v>378</v>
      </c>
      <c r="D17" s="515" t="s">
        <v>379</v>
      </c>
      <c r="E17" s="469" t="s">
        <v>381</v>
      </c>
      <c r="F17" s="515" t="s">
        <v>382</v>
      </c>
      <c r="G17" s="469" t="s">
        <v>407</v>
      </c>
      <c r="H17" s="469" t="s">
        <v>408</v>
      </c>
      <c r="I17" s="497">
        <v>13.769999980926514</v>
      </c>
      <c r="J17" s="497">
        <v>100</v>
      </c>
      <c r="K17" s="498">
        <v>1377.219970703125</v>
      </c>
    </row>
    <row r="18" spans="1:11" ht="14.45" customHeight="1" x14ac:dyDescent="0.2">
      <c r="A18" s="465" t="s">
        <v>290</v>
      </c>
      <c r="B18" s="466" t="s">
        <v>369</v>
      </c>
      <c r="C18" s="469" t="s">
        <v>378</v>
      </c>
      <c r="D18" s="515" t="s">
        <v>379</v>
      </c>
      <c r="E18" s="469" t="s">
        <v>381</v>
      </c>
      <c r="F18" s="515" t="s">
        <v>382</v>
      </c>
      <c r="G18" s="469" t="s">
        <v>409</v>
      </c>
      <c r="H18" s="469" t="s">
        <v>410</v>
      </c>
      <c r="I18" s="497">
        <v>216.09999593098959</v>
      </c>
      <c r="J18" s="497">
        <v>150</v>
      </c>
      <c r="K18" s="498">
        <v>32415.1396484375</v>
      </c>
    </row>
    <row r="19" spans="1:11" ht="14.45" customHeight="1" x14ac:dyDescent="0.2">
      <c r="A19" s="465" t="s">
        <v>290</v>
      </c>
      <c r="B19" s="466" t="s">
        <v>369</v>
      </c>
      <c r="C19" s="469" t="s">
        <v>378</v>
      </c>
      <c r="D19" s="515" t="s">
        <v>379</v>
      </c>
      <c r="E19" s="469" t="s">
        <v>381</v>
      </c>
      <c r="F19" s="515" t="s">
        <v>382</v>
      </c>
      <c r="G19" s="469" t="s">
        <v>411</v>
      </c>
      <c r="H19" s="469" t="s">
        <v>412</v>
      </c>
      <c r="I19" s="497">
        <v>228.4547620500837</v>
      </c>
      <c r="J19" s="497">
        <v>525</v>
      </c>
      <c r="K19" s="498">
        <v>119938.05859375</v>
      </c>
    </row>
    <row r="20" spans="1:11" ht="14.45" customHeight="1" x14ac:dyDescent="0.2">
      <c r="A20" s="465" t="s">
        <v>290</v>
      </c>
      <c r="B20" s="466" t="s">
        <v>369</v>
      </c>
      <c r="C20" s="469" t="s">
        <v>378</v>
      </c>
      <c r="D20" s="515" t="s">
        <v>379</v>
      </c>
      <c r="E20" s="469" t="s">
        <v>381</v>
      </c>
      <c r="F20" s="515" t="s">
        <v>382</v>
      </c>
      <c r="G20" s="469" t="s">
        <v>413</v>
      </c>
      <c r="H20" s="469" t="s">
        <v>414</v>
      </c>
      <c r="I20" s="497">
        <v>41.377144404820037</v>
      </c>
      <c r="J20" s="497">
        <v>350</v>
      </c>
      <c r="K20" s="498">
        <v>14482.179931640625</v>
      </c>
    </row>
    <row r="21" spans="1:11" ht="14.45" customHeight="1" x14ac:dyDescent="0.2">
      <c r="A21" s="465" t="s">
        <v>290</v>
      </c>
      <c r="B21" s="466" t="s">
        <v>369</v>
      </c>
      <c r="C21" s="469" t="s">
        <v>378</v>
      </c>
      <c r="D21" s="515" t="s">
        <v>379</v>
      </c>
      <c r="E21" s="469" t="s">
        <v>381</v>
      </c>
      <c r="F21" s="515" t="s">
        <v>382</v>
      </c>
      <c r="G21" s="469" t="s">
        <v>415</v>
      </c>
      <c r="H21" s="469" t="s">
        <v>416</v>
      </c>
      <c r="I21" s="497">
        <v>1.5183333158493042</v>
      </c>
      <c r="J21" s="497">
        <v>800</v>
      </c>
      <c r="K21" s="498">
        <v>1214.5</v>
      </c>
    </row>
    <row r="22" spans="1:11" ht="14.45" customHeight="1" x14ac:dyDescent="0.2">
      <c r="A22" s="465" t="s">
        <v>290</v>
      </c>
      <c r="B22" s="466" t="s">
        <v>369</v>
      </c>
      <c r="C22" s="469" t="s">
        <v>378</v>
      </c>
      <c r="D22" s="515" t="s">
        <v>379</v>
      </c>
      <c r="E22" s="469" t="s">
        <v>381</v>
      </c>
      <c r="F22" s="515" t="s">
        <v>382</v>
      </c>
      <c r="G22" s="469" t="s">
        <v>417</v>
      </c>
      <c r="H22" s="469" t="s">
        <v>418</v>
      </c>
      <c r="I22" s="497">
        <v>2.059999942779541</v>
      </c>
      <c r="J22" s="497">
        <v>30</v>
      </c>
      <c r="K22" s="498">
        <v>61.799999237060547</v>
      </c>
    </row>
    <row r="23" spans="1:11" ht="14.45" customHeight="1" x14ac:dyDescent="0.2">
      <c r="A23" s="465" t="s">
        <v>290</v>
      </c>
      <c r="B23" s="466" t="s">
        <v>369</v>
      </c>
      <c r="C23" s="469" t="s">
        <v>378</v>
      </c>
      <c r="D23" s="515" t="s">
        <v>379</v>
      </c>
      <c r="E23" s="469" t="s">
        <v>381</v>
      </c>
      <c r="F23" s="515" t="s">
        <v>382</v>
      </c>
      <c r="G23" s="469" t="s">
        <v>419</v>
      </c>
      <c r="H23" s="469" t="s">
        <v>420</v>
      </c>
      <c r="I23" s="497">
        <v>7.2166666984558105</v>
      </c>
      <c r="J23" s="497">
        <v>169</v>
      </c>
      <c r="K23" s="498">
        <v>1221.1300039291382</v>
      </c>
    </row>
    <row r="24" spans="1:11" ht="14.45" customHeight="1" x14ac:dyDescent="0.2">
      <c r="A24" s="465" t="s">
        <v>290</v>
      </c>
      <c r="B24" s="466" t="s">
        <v>369</v>
      </c>
      <c r="C24" s="469" t="s">
        <v>378</v>
      </c>
      <c r="D24" s="515" t="s">
        <v>379</v>
      </c>
      <c r="E24" s="469" t="s">
        <v>381</v>
      </c>
      <c r="F24" s="515" t="s">
        <v>382</v>
      </c>
      <c r="G24" s="469" t="s">
        <v>421</v>
      </c>
      <c r="H24" s="469" t="s">
        <v>422</v>
      </c>
      <c r="I24" s="497">
        <v>15.029999732971191</v>
      </c>
      <c r="J24" s="497">
        <v>24</v>
      </c>
      <c r="K24" s="498">
        <v>360.72000122070313</v>
      </c>
    </row>
    <row r="25" spans="1:11" ht="14.45" customHeight="1" x14ac:dyDescent="0.2">
      <c r="A25" s="465" t="s">
        <v>290</v>
      </c>
      <c r="B25" s="466" t="s">
        <v>369</v>
      </c>
      <c r="C25" s="469" t="s">
        <v>378</v>
      </c>
      <c r="D25" s="515" t="s">
        <v>379</v>
      </c>
      <c r="E25" s="469" t="s">
        <v>381</v>
      </c>
      <c r="F25" s="515" t="s">
        <v>382</v>
      </c>
      <c r="G25" s="469" t="s">
        <v>423</v>
      </c>
      <c r="H25" s="469" t="s">
        <v>424</v>
      </c>
      <c r="I25" s="497">
        <v>111.41000366210938</v>
      </c>
      <c r="J25" s="497">
        <v>12</v>
      </c>
      <c r="K25" s="498">
        <v>1336.93994140625</v>
      </c>
    </row>
    <row r="26" spans="1:11" ht="14.45" customHeight="1" x14ac:dyDescent="0.2">
      <c r="A26" s="465" t="s">
        <v>290</v>
      </c>
      <c r="B26" s="466" t="s">
        <v>369</v>
      </c>
      <c r="C26" s="469" t="s">
        <v>378</v>
      </c>
      <c r="D26" s="515" t="s">
        <v>379</v>
      </c>
      <c r="E26" s="469" t="s">
        <v>381</v>
      </c>
      <c r="F26" s="515" t="s">
        <v>382</v>
      </c>
      <c r="G26" s="469" t="s">
        <v>425</v>
      </c>
      <c r="H26" s="469" t="s">
        <v>426</v>
      </c>
      <c r="I26" s="497">
        <v>42.447741969939202</v>
      </c>
      <c r="J26" s="497">
        <v>66</v>
      </c>
      <c r="K26" s="498">
        <v>2801.6399917602539</v>
      </c>
    </row>
    <row r="27" spans="1:11" ht="14.45" customHeight="1" x14ac:dyDescent="0.2">
      <c r="A27" s="465" t="s">
        <v>290</v>
      </c>
      <c r="B27" s="466" t="s">
        <v>369</v>
      </c>
      <c r="C27" s="469" t="s">
        <v>378</v>
      </c>
      <c r="D27" s="515" t="s">
        <v>379</v>
      </c>
      <c r="E27" s="469" t="s">
        <v>381</v>
      </c>
      <c r="F27" s="515" t="s">
        <v>382</v>
      </c>
      <c r="G27" s="469" t="s">
        <v>427</v>
      </c>
      <c r="H27" s="469" t="s">
        <v>428</v>
      </c>
      <c r="I27" s="497">
        <v>72.220001220703125</v>
      </c>
      <c r="J27" s="497">
        <v>7</v>
      </c>
      <c r="K27" s="498">
        <v>505.54000854492188</v>
      </c>
    </row>
    <row r="28" spans="1:11" ht="14.45" customHeight="1" x14ac:dyDescent="0.2">
      <c r="A28" s="465" t="s">
        <v>290</v>
      </c>
      <c r="B28" s="466" t="s">
        <v>369</v>
      </c>
      <c r="C28" s="469" t="s">
        <v>378</v>
      </c>
      <c r="D28" s="515" t="s">
        <v>379</v>
      </c>
      <c r="E28" s="469" t="s">
        <v>381</v>
      </c>
      <c r="F28" s="515" t="s">
        <v>382</v>
      </c>
      <c r="G28" s="469" t="s">
        <v>429</v>
      </c>
      <c r="H28" s="469" t="s">
        <v>430</v>
      </c>
      <c r="I28" s="497">
        <v>0.71860000928243006</v>
      </c>
      <c r="J28" s="497">
        <v>4955</v>
      </c>
      <c r="K28" s="498">
        <v>3564.7999701499939</v>
      </c>
    </row>
    <row r="29" spans="1:11" ht="14.45" customHeight="1" x14ac:dyDescent="0.2">
      <c r="A29" s="465" t="s">
        <v>290</v>
      </c>
      <c r="B29" s="466" t="s">
        <v>369</v>
      </c>
      <c r="C29" s="469" t="s">
        <v>378</v>
      </c>
      <c r="D29" s="515" t="s">
        <v>379</v>
      </c>
      <c r="E29" s="469" t="s">
        <v>431</v>
      </c>
      <c r="F29" s="515" t="s">
        <v>432</v>
      </c>
      <c r="G29" s="469" t="s">
        <v>433</v>
      </c>
      <c r="H29" s="469" t="s">
        <v>434</v>
      </c>
      <c r="I29" s="497">
        <v>11.142500162124634</v>
      </c>
      <c r="J29" s="497">
        <v>200</v>
      </c>
      <c r="K29" s="498">
        <v>2228.5</v>
      </c>
    </row>
    <row r="30" spans="1:11" ht="14.45" customHeight="1" x14ac:dyDescent="0.2">
      <c r="A30" s="465" t="s">
        <v>290</v>
      </c>
      <c r="B30" s="466" t="s">
        <v>369</v>
      </c>
      <c r="C30" s="469" t="s">
        <v>378</v>
      </c>
      <c r="D30" s="515" t="s">
        <v>379</v>
      </c>
      <c r="E30" s="469" t="s">
        <v>431</v>
      </c>
      <c r="F30" s="515" t="s">
        <v>432</v>
      </c>
      <c r="G30" s="469" t="s">
        <v>435</v>
      </c>
      <c r="H30" s="469" t="s">
        <v>436</v>
      </c>
      <c r="I30" s="497">
        <v>5.2639099063729882</v>
      </c>
      <c r="J30" s="497">
        <v>6750</v>
      </c>
      <c r="K30" s="498">
        <v>35531.100006103516</v>
      </c>
    </row>
    <row r="31" spans="1:11" ht="14.45" customHeight="1" x14ac:dyDescent="0.2">
      <c r="A31" s="465" t="s">
        <v>290</v>
      </c>
      <c r="B31" s="466" t="s">
        <v>369</v>
      </c>
      <c r="C31" s="469" t="s">
        <v>378</v>
      </c>
      <c r="D31" s="515" t="s">
        <v>379</v>
      </c>
      <c r="E31" s="469" t="s">
        <v>431</v>
      </c>
      <c r="F31" s="515" t="s">
        <v>432</v>
      </c>
      <c r="G31" s="469" t="s">
        <v>437</v>
      </c>
      <c r="H31" s="469" t="s">
        <v>438</v>
      </c>
      <c r="I31" s="497">
        <v>3.4844444592793784</v>
      </c>
      <c r="J31" s="497">
        <v>1150</v>
      </c>
      <c r="K31" s="498">
        <v>4007</v>
      </c>
    </row>
    <row r="32" spans="1:11" ht="14.45" customHeight="1" x14ac:dyDescent="0.2">
      <c r="A32" s="465" t="s">
        <v>290</v>
      </c>
      <c r="B32" s="466" t="s">
        <v>369</v>
      </c>
      <c r="C32" s="469" t="s">
        <v>378</v>
      </c>
      <c r="D32" s="515" t="s">
        <v>379</v>
      </c>
      <c r="E32" s="469" t="s">
        <v>431</v>
      </c>
      <c r="F32" s="515" t="s">
        <v>432</v>
      </c>
      <c r="G32" s="469" t="s">
        <v>439</v>
      </c>
      <c r="H32" s="469" t="s">
        <v>440</v>
      </c>
      <c r="I32" s="497">
        <v>43.479999542236328</v>
      </c>
      <c r="J32" s="497">
        <v>120</v>
      </c>
      <c r="K32" s="498">
        <v>5217.52001953125</v>
      </c>
    </row>
    <row r="33" spans="1:11" ht="14.45" customHeight="1" x14ac:dyDescent="0.2">
      <c r="A33" s="465" t="s">
        <v>290</v>
      </c>
      <c r="B33" s="466" t="s">
        <v>369</v>
      </c>
      <c r="C33" s="469" t="s">
        <v>378</v>
      </c>
      <c r="D33" s="515" t="s">
        <v>379</v>
      </c>
      <c r="E33" s="469" t="s">
        <v>431</v>
      </c>
      <c r="F33" s="515" t="s">
        <v>432</v>
      </c>
      <c r="G33" s="469" t="s">
        <v>441</v>
      </c>
      <c r="H33" s="469" t="s">
        <v>442</v>
      </c>
      <c r="I33" s="497">
        <v>4.0289657033722976</v>
      </c>
      <c r="J33" s="497">
        <v>1340</v>
      </c>
      <c r="K33" s="498">
        <v>5398.7000045776367</v>
      </c>
    </row>
    <row r="34" spans="1:11" ht="14.45" customHeight="1" x14ac:dyDescent="0.2">
      <c r="A34" s="465" t="s">
        <v>290</v>
      </c>
      <c r="B34" s="466" t="s">
        <v>369</v>
      </c>
      <c r="C34" s="469" t="s">
        <v>378</v>
      </c>
      <c r="D34" s="515" t="s">
        <v>379</v>
      </c>
      <c r="E34" s="469" t="s">
        <v>431</v>
      </c>
      <c r="F34" s="515" t="s">
        <v>432</v>
      </c>
      <c r="G34" s="469" t="s">
        <v>443</v>
      </c>
      <c r="H34" s="469" t="s">
        <v>444</v>
      </c>
      <c r="I34" s="497">
        <v>15.729999542236328</v>
      </c>
      <c r="J34" s="497">
        <v>250</v>
      </c>
      <c r="K34" s="498">
        <v>3932.5</v>
      </c>
    </row>
    <row r="35" spans="1:11" ht="14.45" customHeight="1" x14ac:dyDescent="0.2">
      <c r="A35" s="465" t="s">
        <v>290</v>
      </c>
      <c r="B35" s="466" t="s">
        <v>369</v>
      </c>
      <c r="C35" s="469" t="s">
        <v>378</v>
      </c>
      <c r="D35" s="515" t="s">
        <v>379</v>
      </c>
      <c r="E35" s="469" t="s">
        <v>431</v>
      </c>
      <c r="F35" s="515" t="s">
        <v>432</v>
      </c>
      <c r="G35" s="469" t="s">
        <v>443</v>
      </c>
      <c r="H35" s="469" t="s">
        <v>445</v>
      </c>
      <c r="I35" s="497">
        <v>15.729999542236328</v>
      </c>
      <c r="J35" s="497">
        <v>150</v>
      </c>
      <c r="K35" s="498">
        <v>2359.5</v>
      </c>
    </row>
    <row r="36" spans="1:11" ht="14.45" customHeight="1" x14ac:dyDescent="0.2">
      <c r="A36" s="465" t="s">
        <v>290</v>
      </c>
      <c r="B36" s="466" t="s">
        <v>369</v>
      </c>
      <c r="C36" s="469" t="s">
        <v>378</v>
      </c>
      <c r="D36" s="515" t="s">
        <v>379</v>
      </c>
      <c r="E36" s="469" t="s">
        <v>431</v>
      </c>
      <c r="F36" s="515" t="s">
        <v>432</v>
      </c>
      <c r="G36" s="469" t="s">
        <v>446</v>
      </c>
      <c r="H36" s="469" t="s">
        <v>447</v>
      </c>
      <c r="I36" s="497">
        <v>7.8654166658719378</v>
      </c>
      <c r="J36" s="497">
        <v>5050</v>
      </c>
      <c r="K36" s="498">
        <v>39719.900466918945</v>
      </c>
    </row>
    <row r="37" spans="1:11" ht="14.45" customHeight="1" x14ac:dyDescent="0.2">
      <c r="A37" s="465" t="s">
        <v>290</v>
      </c>
      <c r="B37" s="466" t="s">
        <v>369</v>
      </c>
      <c r="C37" s="469" t="s">
        <v>378</v>
      </c>
      <c r="D37" s="515" t="s">
        <v>379</v>
      </c>
      <c r="E37" s="469" t="s">
        <v>431</v>
      </c>
      <c r="F37" s="515" t="s">
        <v>432</v>
      </c>
      <c r="G37" s="469" t="s">
        <v>448</v>
      </c>
      <c r="H37" s="469" t="s">
        <v>449</v>
      </c>
      <c r="I37" s="497">
        <v>10.073999786376953</v>
      </c>
      <c r="J37" s="497">
        <v>630</v>
      </c>
      <c r="K37" s="498">
        <v>6346.5000305175781</v>
      </c>
    </row>
    <row r="38" spans="1:11" ht="14.45" customHeight="1" x14ac:dyDescent="0.2">
      <c r="A38" s="465" t="s">
        <v>290</v>
      </c>
      <c r="B38" s="466" t="s">
        <v>369</v>
      </c>
      <c r="C38" s="469" t="s">
        <v>378</v>
      </c>
      <c r="D38" s="515" t="s">
        <v>379</v>
      </c>
      <c r="E38" s="469" t="s">
        <v>431</v>
      </c>
      <c r="F38" s="515" t="s">
        <v>432</v>
      </c>
      <c r="G38" s="469" t="s">
        <v>450</v>
      </c>
      <c r="H38" s="469" t="s">
        <v>451</v>
      </c>
      <c r="I38" s="497">
        <v>10.075416485468546</v>
      </c>
      <c r="J38" s="497">
        <v>810</v>
      </c>
      <c r="K38" s="498">
        <v>8161.1999816894531</v>
      </c>
    </row>
    <row r="39" spans="1:11" ht="14.45" customHeight="1" x14ac:dyDescent="0.2">
      <c r="A39" s="465" t="s">
        <v>290</v>
      </c>
      <c r="B39" s="466" t="s">
        <v>369</v>
      </c>
      <c r="C39" s="469" t="s">
        <v>378</v>
      </c>
      <c r="D39" s="515" t="s">
        <v>379</v>
      </c>
      <c r="E39" s="469" t="s">
        <v>431</v>
      </c>
      <c r="F39" s="515" t="s">
        <v>432</v>
      </c>
      <c r="G39" s="469" t="s">
        <v>452</v>
      </c>
      <c r="H39" s="469" t="s">
        <v>453</v>
      </c>
      <c r="I39" s="497">
        <v>10.074444240993923</v>
      </c>
      <c r="J39" s="497">
        <v>360</v>
      </c>
      <c r="K39" s="498">
        <v>3626.3300170898438</v>
      </c>
    </row>
    <row r="40" spans="1:11" ht="14.45" customHeight="1" x14ac:dyDescent="0.2">
      <c r="A40" s="465" t="s">
        <v>290</v>
      </c>
      <c r="B40" s="466" t="s">
        <v>369</v>
      </c>
      <c r="C40" s="469" t="s">
        <v>378</v>
      </c>
      <c r="D40" s="515" t="s">
        <v>379</v>
      </c>
      <c r="E40" s="469" t="s">
        <v>431</v>
      </c>
      <c r="F40" s="515" t="s">
        <v>432</v>
      </c>
      <c r="G40" s="469" t="s">
        <v>454</v>
      </c>
      <c r="H40" s="469" t="s">
        <v>455</v>
      </c>
      <c r="I40" s="497">
        <v>10.076666514078775</v>
      </c>
      <c r="J40" s="497">
        <v>360</v>
      </c>
      <c r="K40" s="498">
        <v>3627.1900024414063</v>
      </c>
    </row>
    <row r="41" spans="1:11" ht="14.45" customHeight="1" x14ac:dyDescent="0.2">
      <c r="A41" s="465" t="s">
        <v>290</v>
      </c>
      <c r="B41" s="466" t="s">
        <v>369</v>
      </c>
      <c r="C41" s="469" t="s">
        <v>378</v>
      </c>
      <c r="D41" s="515" t="s">
        <v>379</v>
      </c>
      <c r="E41" s="469" t="s">
        <v>431</v>
      </c>
      <c r="F41" s="515" t="s">
        <v>432</v>
      </c>
      <c r="G41" s="469" t="s">
        <v>456</v>
      </c>
      <c r="H41" s="469" t="s">
        <v>457</v>
      </c>
      <c r="I41" s="497">
        <v>10.079999923706055</v>
      </c>
      <c r="J41" s="497">
        <v>150</v>
      </c>
      <c r="K41" s="498">
        <v>1511.300048828125</v>
      </c>
    </row>
    <row r="42" spans="1:11" ht="14.45" customHeight="1" x14ac:dyDescent="0.2">
      <c r="A42" s="465" t="s">
        <v>290</v>
      </c>
      <c r="B42" s="466" t="s">
        <v>369</v>
      </c>
      <c r="C42" s="469" t="s">
        <v>378</v>
      </c>
      <c r="D42" s="515" t="s">
        <v>379</v>
      </c>
      <c r="E42" s="469" t="s">
        <v>431</v>
      </c>
      <c r="F42" s="515" t="s">
        <v>432</v>
      </c>
      <c r="G42" s="469" t="s">
        <v>458</v>
      </c>
      <c r="H42" s="469" t="s">
        <v>459</v>
      </c>
      <c r="I42" s="497">
        <v>3.1466667652130127</v>
      </c>
      <c r="J42" s="497">
        <v>45</v>
      </c>
      <c r="K42" s="498">
        <v>141.59999847412109</v>
      </c>
    </row>
    <row r="43" spans="1:11" ht="14.45" customHeight="1" x14ac:dyDescent="0.2">
      <c r="A43" s="465" t="s">
        <v>290</v>
      </c>
      <c r="B43" s="466" t="s">
        <v>369</v>
      </c>
      <c r="C43" s="469" t="s">
        <v>378</v>
      </c>
      <c r="D43" s="515" t="s">
        <v>379</v>
      </c>
      <c r="E43" s="469" t="s">
        <v>431</v>
      </c>
      <c r="F43" s="515" t="s">
        <v>432</v>
      </c>
      <c r="G43" s="469" t="s">
        <v>460</v>
      </c>
      <c r="H43" s="469" t="s">
        <v>461</v>
      </c>
      <c r="I43" s="497">
        <v>11.739028875110218</v>
      </c>
      <c r="J43" s="497">
        <v>103</v>
      </c>
      <c r="K43" s="498">
        <v>1209.1199741363525</v>
      </c>
    </row>
    <row r="44" spans="1:11" ht="14.45" customHeight="1" x14ac:dyDescent="0.2">
      <c r="A44" s="465" t="s">
        <v>290</v>
      </c>
      <c r="B44" s="466" t="s">
        <v>369</v>
      </c>
      <c r="C44" s="469" t="s">
        <v>378</v>
      </c>
      <c r="D44" s="515" t="s">
        <v>379</v>
      </c>
      <c r="E44" s="469" t="s">
        <v>431</v>
      </c>
      <c r="F44" s="515" t="s">
        <v>432</v>
      </c>
      <c r="G44" s="469" t="s">
        <v>460</v>
      </c>
      <c r="H44" s="469" t="s">
        <v>462</v>
      </c>
      <c r="I44" s="497">
        <v>11.737825808317766</v>
      </c>
      <c r="J44" s="497">
        <v>46</v>
      </c>
      <c r="K44" s="498">
        <v>539.93998718261719</v>
      </c>
    </row>
    <row r="45" spans="1:11" ht="14.45" customHeight="1" x14ac:dyDescent="0.2">
      <c r="A45" s="465" t="s">
        <v>290</v>
      </c>
      <c r="B45" s="466" t="s">
        <v>369</v>
      </c>
      <c r="C45" s="469" t="s">
        <v>378</v>
      </c>
      <c r="D45" s="515" t="s">
        <v>379</v>
      </c>
      <c r="E45" s="469" t="s">
        <v>431</v>
      </c>
      <c r="F45" s="515" t="s">
        <v>432</v>
      </c>
      <c r="G45" s="469" t="s">
        <v>463</v>
      </c>
      <c r="H45" s="469" t="s">
        <v>464</v>
      </c>
      <c r="I45" s="497">
        <v>35.090000152587891</v>
      </c>
      <c r="J45" s="497">
        <v>140</v>
      </c>
      <c r="K45" s="498">
        <v>4912.599853515625</v>
      </c>
    </row>
    <row r="46" spans="1:11" ht="14.45" customHeight="1" x14ac:dyDescent="0.2">
      <c r="A46" s="465" t="s">
        <v>290</v>
      </c>
      <c r="B46" s="466" t="s">
        <v>369</v>
      </c>
      <c r="C46" s="469" t="s">
        <v>378</v>
      </c>
      <c r="D46" s="515" t="s">
        <v>379</v>
      </c>
      <c r="E46" s="469" t="s">
        <v>431</v>
      </c>
      <c r="F46" s="515" t="s">
        <v>432</v>
      </c>
      <c r="G46" s="469" t="s">
        <v>465</v>
      </c>
      <c r="H46" s="469" t="s">
        <v>466</v>
      </c>
      <c r="I46" s="497">
        <v>258.8900146484375</v>
      </c>
      <c r="J46" s="497">
        <v>300</v>
      </c>
      <c r="K46" s="498">
        <v>77667.5</v>
      </c>
    </row>
    <row r="47" spans="1:11" ht="14.45" customHeight="1" x14ac:dyDescent="0.2">
      <c r="A47" s="465" t="s">
        <v>290</v>
      </c>
      <c r="B47" s="466" t="s">
        <v>369</v>
      </c>
      <c r="C47" s="469" t="s">
        <v>378</v>
      </c>
      <c r="D47" s="515" t="s">
        <v>379</v>
      </c>
      <c r="E47" s="469" t="s">
        <v>431</v>
      </c>
      <c r="F47" s="515" t="s">
        <v>432</v>
      </c>
      <c r="G47" s="469" t="s">
        <v>467</v>
      </c>
      <c r="H47" s="469" t="s">
        <v>468</v>
      </c>
      <c r="I47" s="497">
        <v>217.43688464555584</v>
      </c>
      <c r="J47" s="497">
        <v>1950</v>
      </c>
      <c r="K47" s="498">
        <v>424001.70654296875</v>
      </c>
    </row>
    <row r="48" spans="1:11" ht="14.45" customHeight="1" x14ac:dyDescent="0.2">
      <c r="A48" s="465" t="s">
        <v>290</v>
      </c>
      <c r="B48" s="466" t="s">
        <v>369</v>
      </c>
      <c r="C48" s="469" t="s">
        <v>378</v>
      </c>
      <c r="D48" s="515" t="s">
        <v>379</v>
      </c>
      <c r="E48" s="469" t="s">
        <v>431</v>
      </c>
      <c r="F48" s="515" t="s">
        <v>432</v>
      </c>
      <c r="G48" s="469" t="s">
        <v>469</v>
      </c>
      <c r="H48" s="469" t="s">
        <v>470</v>
      </c>
      <c r="I48" s="497">
        <v>86.975716727120542</v>
      </c>
      <c r="J48" s="497">
        <v>330</v>
      </c>
      <c r="K48" s="498">
        <v>28702.19970703125</v>
      </c>
    </row>
    <row r="49" spans="1:11" ht="14.45" customHeight="1" x14ac:dyDescent="0.2">
      <c r="A49" s="465" t="s">
        <v>290</v>
      </c>
      <c r="B49" s="466" t="s">
        <v>369</v>
      </c>
      <c r="C49" s="469" t="s">
        <v>378</v>
      </c>
      <c r="D49" s="515" t="s">
        <v>379</v>
      </c>
      <c r="E49" s="469" t="s">
        <v>431</v>
      </c>
      <c r="F49" s="515" t="s">
        <v>432</v>
      </c>
      <c r="G49" s="469" t="s">
        <v>471</v>
      </c>
      <c r="H49" s="469" t="s">
        <v>472</v>
      </c>
      <c r="I49" s="497">
        <v>18.149999618530273</v>
      </c>
      <c r="J49" s="497">
        <v>50</v>
      </c>
      <c r="K49" s="498">
        <v>907.5</v>
      </c>
    </row>
    <row r="50" spans="1:11" ht="14.45" customHeight="1" x14ac:dyDescent="0.2">
      <c r="A50" s="465" t="s">
        <v>290</v>
      </c>
      <c r="B50" s="466" t="s">
        <v>369</v>
      </c>
      <c r="C50" s="469" t="s">
        <v>378</v>
      </c>
      <c r="D50" s="515" t="s">
        <v>379</v>
      </c>
      <c r="E50" s="469" t="s">
        <v>431</v>
      </c>
      <c r="F50" s="515" t="s">
        <v>432</v>
      </c>
      <c r="G50" s="469" t="s">
        <v>473</v>
      </c>
      <c r="H50" s="469" t="s">
        <v>474</v>
      </c>
      <c r="I50" s="497">
        <v>0.82346773147583008</v>
      </c>
      <c r="J50" s="497">
        <v>12800</v>
      </c>
      <c r="K50" s="498">
        <v>10541</v>
      </c>
    </row>
    <row r="51" spans="1:11" ht="14.45" customHeight="1" x14ac:dyDescent="0.2">
      <c r="A51" s="465" t="s">
        <v>290</v>
      </c>
      <c r="B51" s="466" t="s">
        <v>369</v>
      </c>
      <c r="C51" s="469" t="s">
        <v>378</v>
      </c>
      <c r="D51" s="515" t="s">
        <v>379</v>
      </c>
      <c r="E51" s="469" t="s">
        <v>431</v>
      </c>
      <c r="F51" s="515" t="s">
        <v>432</v>
      </c>
      <c r="G51" s="469" t="s">
        <v>475</v>
      </c>
      <c r="H51" s="469" t="s">
        <v>476</v>
      </c>
      <c r="I51" s="497">
        <v>0.43000000715255737</v>
      </c>
      <c r="J51" s="497">
        <v>100</v>
      </c>
      <c r="K51" s="498">
        <v>43</v>
      </c>
    </row>
    <row r="52" spans="1:11" ht="14.45" customHeight="1" x14ac:dyDescent="0.2">
      <c r="A52" s="465" t="s">
        <v>290</v>
      </c>
      <c r="B52" s="466" t="s">
        <v>369</v>
      </c>
      <c r="C52" s="469" t="s">
        <v>378</v>
      </c>
      <c r="D52" s="515" t="s">
        <v>379</v>
      </c>
      <c r="E52" s="469" t="s">
        <v>431</v>
      </c>
      <c r="F52" s="515" t="s">
        <v>432</v>
      </c>
      <c r="G52" s="469" t="s">
        <v>477</v>
      </c>
      <c r="H52" s="469" t="s">
        <v>478</v>
      </c>
      <c r="I52" s="497">
        <v>1.137499988079071</v>
      </c>
      <c r="J52" s="497">
        <v>2140</v>
      </c>
      <c r="K52" s="498">
        <v>2434.7999801635742</v>
      </c>
    </row>
    <row r="53" spans="1:11" ht="14.45" customHeight="1" x14ac:dyDescent="0.2">
      <c r="A53" s="465" t="s">
        <v>290</v>
      </c>
      <c r="B53" s="466" t="s">
        <v>369</v>
      </c>
      <c r="C53" s="469" t="s">
        <v>378</v>
      </c>
      <c r="D53" s="515" t="s">
        <v>379</v>
      </c>
      <c r="E53" s="469" t="s">
        <v>431</v>
      </c>
      <c r="F53" s="515" t="s">
        <v>432</v>
      </c>
      <c r="G53" s="469" t="s">
        <v>479</v>
      </c>
      <c r="H53" s="469" t="s">
        <v>480</v>
      </c>
      <c r="I53" s="497">
        <v>0.57999998331069946</v>
      </c>
      <c r="J53" s="497">
        <v>400</v>
      </c>
      <c r="K53" s="498">
        <v>232</v>
      </c>
    </row>
    <row r="54" spans="1:11" ht="14.45" customHeight="1" x14ac:dyDescent="0.2">
      <c r="A54" s="465" t="s">
        <v>290</v>
      </c>
      <c r="B54" s="466" t="s">
        <v>369</v>
      </c>
      <c r="C54" s="469" t="s">
        <v>378</v>
      </c>
      <c r="D54" s="515" t="s">
        <v>379</v>
      </c>
      <c r="E54" s="469" t="s">
        <v>431</v>
      </c>
      <c r="F54" s="515" t="s">
        <v>432</v>
      </c>
      <c r="G54" s="469" t="s">
        <v>481</v>
      </c>
      <c r="H54" s="469" t="s">
        <v>482</v>
      </c>
      <c r="I54" s="497">
        <v>5.4033333460489912</v>
      </c>
      <c r="J54" s="497">
        <v>510</v>
      </c>
      <c r="K54" s="498">
        <v>2763.3500061035156</v>
      </c>
    </row>
    <row r="55" spans="1:11" ht="14.45" customHeight="1" x14ac:dyDescent="0.2">
      <c r="A55" s="465" t="s">
        <v>290</v>
      </c>
      <c r="B55" s="466" t="s">
        <v>369</v>
      </c>
      <c r="C55" s="469" t="s">
        <v>378</v>
      </c>
      <c r="D55" s="515" t="s">
        <v>379</v>
      </c>
      <c r="E55" s="469" t="s">
        <v>431</v>
      </c>
      <c r="F55" s="515" t="s">
        <v>432</v>
      </c>
      <c r="G55" s="469" t="s">
        <v>483</v>
      </c>
      <c r="H55" s="469" t="s">
        <v>484</v>
      </c>
      <c r="I55" s="497">
        <v>18.149999618530273</v>
      </c>
      <c r="J55" s="497">
        <v>50</v>
      </c>
      <c r="K55" s="498">
        <v>907.5</v>
      </c>
    </row>
    <row r="56" spans="1:11" ht="14.45" customHeight="1" x14ac:dyDescent="0.2">
      <c r="A56" s="465" t="s">
        <v>290</v>
      </c>
      <c r="B56" s="466" t="s">
        <v>369</v>
      </c>
      <c r="C56" s="469" t="s">
        <v>378</v>
      </c>
      <c r="D56" s="515" t="s">
        <v>379</v>
      </c>
      <c r="E56" s="469" t="s">
        <v>431</v>
      </c>
      <c r="F56" s="515" t="s">
        <v>432</v>
      </c>
      <c r="G56" s="469" t="s">
        <v>485</v>
      </c>
      <c r="H56" s="469" t="s">
        <v>486</v>
      </c>
      <c r="I56" s="497">
        <v>31.034999847412109</v>
      </c>
      <c r="J56" s="497">
        <v>100</v>
      </c>
      <c r="K56" s="498">
        <v>3103.64990234375</v>
      </c>
    </row>
    <row r="57" spans="1:11" ht="14.45" customHeight="1" x14ac:dyDescent="0.2">
      <c r="A57" s="465" t="s">
        <v>290</v>
      </c>
      <c r="B57" s="466" t="s">
        <v>369</v>
      </c>
      <c r="C57" s="469" t="s">
        <v>378</v>
      </c>
      <c r="D57" s="515" t="s">
        <v>379</v>
      </c>
      <c r="E57" s="469" t="s">
        <v>431</v>
      </c>
      <c r="F57" s="515" t="s">
        <v>432</v>
      </c>
      <c r="G57" s="469" t="s">
        <v>487</v>
      </c>
      <c r="H57" s="469" t="s">
        <v>488</v>
      </c>
      <c r="I57" s="497">
        <v>5.809999942779541</v>
      </c>
      <c r="J57" s="497">
        <v>250</v>
      </c>
      <c r="K57" s="498">
        <v>1452.5</v>
      </c>
    </row>
    <row r="58" spans="1:11" ht="14.45" customHeight="1" x14ac:dyDescent="0.2">
      <c r="A58" s="465" t="s">
        <v>290</v>
      </c>
      <c r="B58" s="466" t="s">
        <v>369</v>
      </c>
      <c r="C58" s="469" t="s">
        <v>378</v>
      </c>
      <c r="D58" s="515" t="s">
        <v>379</v>
      </c>
      <c r="E58" s="469" t="s">
        <v>431</v>
      </c>
      <c r="F58" s="515" t="s">
        <v>432</v>
      </c>
      <c r="G58" s="469" t="s">
        <v>489</v>
      </c>
      <c r="H58" s="469" t="s">
        <v>490</v>
      </c>
      <c r="I58" s="497">
        <v>0.4699999988079071</v>
      </c>
      <c r="J58" s="497">
        <v>200</v>
      </c>
      <c r="K58" s="498">
        <v>94</v>
      </c>
    </row>
    <row r="59" spans="1:11" ht="14.45" customHeight="1" x14ac:dyDescent="0.2">
      <c r="A59" s="465" t="s">
        <v>290</v>
      </c>
      <c r="B59" s="466" t="s">
        <v>369</v>
      </c>
      <c r="C59" s="469" t="s">
        <v>378</v>
      </c>
      <c r="D59" s="515" t="s">
        <v>379</v>
      </c>
      <c r="E59" s="469" t="s">
        <v>491</v>
      </c>
      <c r="F59" s="515" t="s">
        <v>492</v>
      </c>
      <c r="G59" s="469" t="s">
        <v>493</v>
      </c>
      <c r="H59" s="469" t="s">
        <v>494</v>
      </c>
      <c r="I59" s="497">
        <v>183.00999450683594</v>
      </c>
      <c r="J59" s="497">
        <v>270</v>
      </c>
      <c r="K59" s="498">
        <v>49413.388671875</v>
      </c>
    </row>
    <row r="60" spans="1:11" ht="14.45" customHeight="1" x14ac:dyDescent="0.2">
      <c r="A60" s="465" t="s">
        <v>290</v>
      </c>
      <c r="B60" s="466" t="s">
        <v>369</v>
      </c>
      <c r="C60" s="469" t="s">
        <v>378</v>
      </c>
      <c r="D60" s="515" t="s">
        <v>379</v>
      </c>
      <c r="E60" s="469" t="s">
        <v>491</v>
      </c>
      <c r="F60" s="515" t="s">
        <v>492</v>
      </c>
      <c r="G60" s="469" t="s">
        <v>495</v>
      </c>
      <c r="H60" s="469" t="s">
        <v>496</v>
      </c>
      <c r="I60" s="497">
        <v>408.47041829427081</v>
      </c>
      <c r="J60" s="497">
        <v>860</v>
      </c>
      <c r="K60" s="498">
        <v>351285.7314453125</v>
      </c>
    </row>
    <row r="61" spans="1:11" ht="14.45" customHeight="1" x14ac:dyDescent="0.2">
      <c r="A61" s="465" t="s">
        <v>290</v>
      </c>
      <c r="B61" s="466" t="s">
        <v>369</v>
      </c>
      <c r="C61" s="469" t="s">
        <v>378</v>
      </c>
      <c r="D61" s="515" t="s">
        <v>379</v>
      </c>
      <c r="E61" s="469" t="s">
        <v>491</v>
      </c>
      <c r="F61" s="515" t="s">
        <v>492</v>
      </c>
      <c r="G61" s="469" t="s">
        <v>497</v>
      </c>
      <c r="H61" s="469" t="s">
        <v>498</v>
      </c>
      <c r="I61" s="497">
        <v>29.363793011369378</v>
      </c>
      <c r="J61" s="497">
        <v>2370</v>
      </c>
      <c r="K61" s="498">
        <v>72284.189914703369</v>
      </c>
    </row>
    <row r="62" spans="1:11" ht="14.45" customHeight="1" x14ac:dyDescent="0.2">
      <c r="A62" s="465" t="s">
        <v>290</v>
      </c>
      <c r="B62" s="466" t="s">
        <v>369</v>
      </c>
      <c r="C62" s="469" t="s">
        <v>378</v>
      </c>
      <c r="D62" s="515" t="s">
        <v>379</v>
      </c>
      <c r="E62" s="469" t="s">
        <v>491</v>
      </c>
      <c r="F62" s="515" t="s">
        <v>492</v>
      </c>
      <c r="G62" s="469" t="s">
        <v>499</v>
      </c>
      <c r="H62" s="469" t="s">
        <v>500</v>
      </c>
      <c r="I62" s="497">
        <v>10.163423349191477</v>
      </c>
      <c r="J62" s="497">
        <v>5110</v>
      </c>
      <c r="K62" s="498">
        <v>51934.899368286133</v>
      </c>
    </row>
    <row r="63" spans="1:11" ht="14.45" customHeight="1" x14ac:dyDescent="0.2">
      <c r="A63" s="465" t="s">
        <v>290</v>
      </c>
      <c r="B63" s="466" t="s">
        <v>369</v>
      </c>
      <c r="C63" s="469" t="s">
        <v>378</v>
      </c>
      <c r="D63" s="515" t="s">
        <v>379</v>
      </c>
      <c r="E63" s="469" t="s">
        <v>491</v>
      </c>
      <c r="F63" s="515" t="s">
        <v>492</v>
      </c>
      <c r="G63" s="469" t="s">
        <v>501</v>
      </c>
      <c r="H63" s="469" t="s">
        <v>502</v>
      </c>
      <c r="I63" s="497">
        <v>56.741429465157644</v>
      </c>
      <c r="J63" s="497">
        <v>235</v>
      </c>
      <c r="K63" s="498">
        <v>13334.079833984375</v>
      </c>
    </row>
    <row r="64" spans="1:11" ht="14.45" customHeight="1" x14ac:dyDescent="0.2">
      <c r="A64" s="465" t="s">
        <v>290</v>
      </c>
      <c r="B64" s="466" t="s">
        <v>369</v>
      </c>
      <c r="C64" s="469" t="s">
        <v>378</v>
      </c>
      <c r="D64" s="515" t="s">
        <v>379</v>
      </c>
      <c r="E64" s="469" t="s">
        <v>491</v>
      </c>
      <c r="F64" s="515" t="s">
        <v>492</v>
      </c>
      <c r="G64" s="469" t="s">
        <v>503</v>
      </c>
      <c r="H64" s="469" t="s">
        <v>504</v>
      </c>
      <c r="I64" s="497">
        <v>7.3819999694824219</v>
      </c>
      <c r="J64" s="497">
        <v>280</v>
      </c>
      <c r="K64" s="498">
        <v>2059.8000183105469</v>
      </c>
    </row>
    <row r="65" spans="1:11" ht="14.45" customHeight="1" x14ac:dyDescent="0.2">
      <c r="A65" s="465" t="s">
        <v>290</v>
      </c>
      <c r="B65" s="466" t="s">
        <v>369</v>
      </c>
      <c r="C65" s="469" t="s">
        <v>378</v>
      </c>
      <c r="D65" s="515" t="s">
        <v>379</v>
      </c>
      <c r="E65" s="469" t="s">
        <v>505</v>
      </c>
      <c r="F65" s="515" t="s">
        <v>506</v>
      </c>
      <c r="G65" s="469" t="s">
        <v>507</v>
      </c>
      <c r="H65" s="469" t="s">
        <v>508</v>
      </c>
      <c r="I65" s="497">
        <v>132.67999267578125</v>
      </c>
      <c r="J65" s="497">
        <v>25</v>
      </c>
      <c r="K65" s="498">
        <v>3316.909912109375</v>
      </c>
    </row>
    <row r="66" spans="1:11" ht="14.45" customHeight="1" x14ac:dyDescent="0.2">
      <c r="A66" s="465" t="s">
        <v>290</v>
      </c>
      <c r="B66" s="466" t="s">
        <v>369</v>
      </c>
      <c r="C66" s="469" t="s">
        <v>378</v>
      </c>
      <c r="D66" s="515" t="s">
        <v>379</v>
      </c>
      <c r="E66" s="469" t="s">
        <v>505</v>
      </c>
      <c r="F66" s="515" t="s">
        <v>506</v>
      </c>
      <c r="G66" s="469" t="s">
        <v>509</v>
      </c>
      <c r="H66" s="469" t="s">
        <v>510</v>
      </c>
      <c r="I66" s="497">
        <v>125.47800292968751</v>
      </c>
      <c r="J66" s="497">
        <v>240</v>
      </c>
      <c r="K66" s="498">
        <v>30114.399658203125</v>
      </c>
    </row>
    <row r="67" spans="1:11" ht="14.45" customHeight="1" x14ac:dyDescent="0.2">
      <c r="A67" s="465" t="s">
        <v>290</v>
      </c>
      <c r="B67" s="466" t="s">
        <v>369</v>
      </c>
      <c r="C67" s="469" t="s">
        <v>378</v>
      </c>
      <c r="D67" s="515" t="s">
        <v>379</v>
      </c>
      <c r="E67" s="469" t="s">
        <v>505</v>
      </c>
      <c r="F67" s="515" t="s">
        <v>506</v>
      </c>
      <c r="G67" s="469" t="s">
        <v>511</v>
      </c>
      <c r="H67" s="469" t="s">
        <v>512</v>
      </c>
      <c r="I67" s="497">
        <v>0.47999998927116394</v>
      </c>
      <c r="J67" s="497">
        <v>100</v>
      </c>
      <c r="K67" s="498">
        <v>48</v>
      </c>
    </row>
    <row r="68" spans="1:11" ht="14.45" customHeight="1" x14ac:dyDescent="0.2">
      <c r="A68" s="465" t="s">
        <v>290</v>
      </c>
      <c r="B68" s="466" t="s">
        <v>369</v>
      </c>
      <c r="C68" s="469" t="s">
        <v>378</v>
      </c>
      <c r="D68" s="515" t="s">
        <v>379</v>
      </c>
      <c r="E68" s="469" t="s">
        <v>505</v>
      </c>
      <c r="F68" s="515" t="s">
        <v>506</v>
      </c>
      <c r="G68" s="469" t="s">
        <v>513</v>
      </c>
      <c r="H68" s="469" t="s">
        <v>514</v>
      </c>
      <c r="I68" s="497">
        <v>0.54597485852691363</v>
      </c>
      <c r="J68" s="497">
        <v>17200</v>
      </c>
      <c r="K68" s="498">
        <v>9393</v>
      </c>
    </row>
    <row r="69" spans="1:11" ht="14.45" customHeight="1" x14ac:dyDescent="0.2">
      <c r="A69" s="465" t="s">
        <v>290</v>
      </c>
      <c r="B69" s="466" t="s">
        <v>369</v>
      </c>
      <c r="C69" s="469" t="s">
        <v>378</v>
      </c>
      <c r="D69" s="515" t="s">
        <v>379</v>
      </c>
      <c r="E69" s="469" t="s">
        <v>515</v>
      </c>
      <c r="F69" s="515" t="s">
        <v>516</v>
      </c>
      <c r="G69" s="469" t="s">
        <v>517</v>
      </c>
      <c r="H69" s="469" t="s">
        <v>518</v>
      </c>
      <c r="I69" s="497">
        <v>15.729999542236328</v>
      </c>
      <c r="J69" s="497">
        <v>150</v>
      </c>
      <c r="K69" s="498">
        <v>2359.5</v>
      </c>
    </row>
    <row r="70" spans="1:11" ht="14.45" customHeight="1" x14ac:dyDescent="0.2">
      <c r="A70" s="465" t="s">
        <v>290</v>
      </c>
      <c r="B70" s="466" t="s">
        <v>369</v>
      </c>
      <c r="C70" s="469" t="s">
        <v>378</v>
      </c>
      <c r="D70" s="515" t="s">
        <v>379</v>
      </c>
      <c r="E70" s="469" t="s">
        <v>515</v>
      </c>
      <c r="F70" s="515" t="s">
        <v>516</v>
      </c>
      <c r="G70" s="469" t="s">
        <v>519</v>
      </c>
      <c r="H70" s="469" t="s">
        <v>520</v>
      </c>
      <c r="I70" s="497">
        <v>7.0166667302449541</v>
      </c>
      <c r="J70" s="497">
        <v>150</v>
      </c>
      <c r="K70" s="498">
        <v>1052.5</v>
      </c>
    </row>
    <row r="71" spans="1:11" ht="14.45" customHeight="1" x14ac:dyDescent="0.2">
      <c r="A71" s="465" t="s">
        <v>290</v>
      </c>
      <c r="B71" s="466" t="s">
        <v>369</v>
      </c>
      <c r="C71" s="469" t="s">
        <v>378</v>
      </c>
      <c r="D71" s="515" t="s">
        <v>379</v>
      </c>
      <c r="E71" s="469" t="s">
        <v>515</v>
      </c>
      <c r="F71" s="515" t="s">
        <v>516</v>
      </c>
      <c r="G71" s="469" t="s">
        <v>521</v>
      </c>
      <c r="H71" s="469" t="s">
        <v>522</v>
      </c>
      <c r="I71" s="497">
        <v>7.0176119804382324</v>
      </c>
      <c r="J71" s="497">
        <v>4215</v>
      </c>
      <c r="K71" s="498">
        <v>29579.800010681152</v>
      </c>
    </row>
    <row r="72" spans="1:11" ht="14.45" customHeight="1" x14ac:dyDescent="0.2">
      <c r="A72" s="465" t="s">
        <v>290</v>
      </c>
      <c r="B72" s="466" t="s">
        <v>369</v>
      </c>
      <c r="C72" s="469" t="s">
        <v>378</v>
      </c>
      <c r="D72" s="515" t="s">
        <v>379</v>
      </c>
      <c r="E72" s="469" t="s">
        <v>515</v>
      </c>
      <c r="F72" s="515" t="s">
        <v>516</v>
      </c>
      <c r="G72" s="469" t="s">
        <v>523</v>
      </c>
      <c r="H72" s="469" t="s">
        <v>524</v>
      </c>
      <c r="I72" s="497">
        <v>7.0185185361791538</v>
      </c>
      <c r="J72" s="497">
        <v>2850</v>
      </c>
      <c r="K72" s="498">
        <v>20003</v>
      </c>
    </row>
    <row r="73" spans="1:11" ht="14.45" customHeight="1" x14ac:dyDescent="0.2">
      <c r="A73" s="465" t="s">
        <v>290</v>
      </c>
      <c r="B73" s="466" t="s">
        <v>369</v>
      </c>
      <c r="C73" s="469" t="s">
        <v>378</v>
      </c>
      <c r="D73" s="515" t="s">
        <v>379</v>
      </c>
      <c r="E73" s="469" t="s">
        <v>515</v>
      </c>
      <c r="F73" s="515" t="s">
        <v>516</v>
      </c>
      <c r="G73" s="469" t="s">
        <v>525</v>
      </c>
      <c r="H73" s="469" t="s">
        <v>526</v>
      </c>
      <c r="I73" s="497">
        <v>7.0199999809265137</v>
      </c>
      <c r="J73" s="497">
        <v>400</v>
      </c>
      <c r="K73" s="498">
        <v>2808</v>
      </c>
    </row>
    <row r="74" spans="1:11" ht="14.45" customHeight="1" x14ac:dyDescent="0.2">
      <c r="A74" s="465" t="s">
        <v>290</v>
      </c>
      <c r="B74" s="466" t="s">
        <v>369</v>
      </c>
      <c r="C74" s="469" t="s">
        <v>378</v>
      </c>
      <c r="D74" s="515" t="s">
        <v>379</v>
      </c>
      <c r="E74" s="469" t="s">
        <v>515</v>
      </c>
      <c r="F74" s="515" t="s">
        <v>516</v>
      </c>
      <c r="G74" s="469" t="s">
        <v>527</v>
      </c>
      <c r="H74" s="469" t="s">
        <v>528</v>
      </c>
      <c r="I74" s="497">
        <v>0.66999999433755875</v>
      </c>
      <c r="J74" s="497">
        <v>1600</v>
      </c>
      <c r="K74" s="498">
        <v>1072</v>
      </c>
    </row>
    <row r="75" spans="1:11" ht="14.45" customHeight="1" x14ac:dyDescent="0.2">
      <c r="A75" s="465" t="s">
        <v>290</v>
      </c>
      <c r="B75" s="466" t="s">
        <v>369</v>
      </c>
      <c r="C75" s="469" t="s">
        <v>378</v>
      </c>
      <c r="D75" s="515" t="s">
        <v>379</v>
      </c>
      <c r="E75" s="469" t="s">
        <v>515</v>
      </c>
      <c r="F75" s="515" t="s">
        <v>516</v>
      </c>
      <c r="G75" s="469" t="s">
        <v>529</v>
      </c>
      <c r="H75" s="469" t="s">
        <v>530</v>
      </c>
      <c r="I75" s="497">
        <v>0.71051020464118642</v>
      </c>
      <c r="J75" s="497">
        <v>22000</v>
      </c>
      <c r="K75" s="498">
        <v>15480</v>
      </c>
    </row>
    <row r="76" spans="1:11" ht="14.45" customHeight="1" x14ac:dyDescent="0.2">
      <c r="A76" s="465" t="s">
        <v>290</v>
      </c>
      <c r="B76" s="466" t="s">
        <v>369</v>
      </c>
      <c r="C76" s="469" t="s">
        <v>378</v>
      </c>
      <c r="D76" s="515" t="s">
        <v>379</v>
      </c>
      <c r="E76" s="469" t="s">
        <v>515</v>
      </c>
      <c r="F76" s="515" t="s">
        <v>516</v>
      </c>
      <c r="G76" s="469" t="s">
        <v>531</v>
      </c>
      <c r="H76" s="469" t="s">
        <v>532</v>
      </c>
      <c r="I76" s="497">
        <v>0.62999999523162842</v>
      </c>
      <c r="J76" s="497">
        <v>200</v>
      </c>
      <c r="K76" s="498">
        <v>126</v>
      </c>
    </row>
    <row r="77" spans="1:11" ht="14.45" customHeight="1" x14ac:dyDescent="0.2">
      <c r="A77" s="465" t="s">
        <v>290</v>
      </c>
      <c r="B77" s="466" t="s">
        <v>369</v>
      </c>
      <c r="C77" s="469" t="s">
        <v>378</v>
      </c>
      <c r="D77" s="515" t="s">
        <v>379</v>
      </c>
      <c r="E77" s="469" t="s">
        <v>515</v>
      </c>
      <c r="F77" s="515" t="s">
        <v>516</v>
      </c>
      <c r="G77" s="469" t="s">
        <v>527</v>
      </c>
      <c r="H77" s="469" t="s">
        <v>533</v>
      </c>
      <c r="I77" s="497">
        <v>1.1680000305175782</v>
      </c>
      <c r="J77" s="497">
        <v>1000</v>
      </c>
      <c r="K77" s="498">
        <v>1168</v>
      </c>
    </row>
    <row r="78" spans="1:11" ht="14.45" customHeight="1" x14ac:dyDescent="0.2">
      <c r="A78" s="465" t="s">
        <v>290</v>
      </c>
      <c r="B78" s="466" t="s">
        <v>369</v>
      </c>
      <c r="C78" s="469" t="s">
        <v>378</v>
      </c>
      <c r="D78" s="515" t="s">
        <v>379</v>
      </c>
      <c r="E78" s="469" t="s">
        <v>515</v>
      </c>
      <c r="F78" s="515" t="s">
        <v>516</v>
      </c>
      <c r="G78" s="469" t="s">
        <v>529</v>
      </c>
      <c r="H78" s="469" t="s">
        <v>534</v>
      </c>
      <c r="I78" s="497">
        <v>1.1116278892339662</v>
      </c>
      <c r="J78" s="497">
        <v>8600</v>
      </c>
      <c r="K78" s="498">
        <v>9560</v>
      </c>
    </row>
    <row r="79" spans="1:11" ht="14.45" customHeight="1" x14ac:dyDescent="0.2">
      <c r="A79" s="465" t="s">
        <v>290</v>
      </c>
      <c r="B79" s="466" t="s">
        <v>369</v>
      </c>
      <c r="C79" s="469" t="s">
        <v>378</v>
      </c>
      <c r="D79" s="515" t="s">
        <v>379</v>
      </c>
      <c r="E79" s="469" t="s">
        <v>515</v>
      </c>
      <c r="F79" s="515" t="s">
        <v>516</v>
      </c>
      <c r="G79" s="469" t="s">
        <v>531</v>
      </c>
      <c r="H79" s="469" t="s">
        <v>535</v>
      </c>
      <c r="I79" s="497">
        <v>1.190000057220459</v>
      </c>
      <c r="J79" s="497">
        <v>200</v>
      </c>
      <c r="K79" s="498">
        <v>238</v>
      </c>
    </row>
    <row r="80" spans="1:11" ht="14.45" customHeight="1" thickBot="1" x14ac:dyDescent="0.25">
      <c r="A80" s="473" t="s">
        <v>290</v>
      </c>
      <c r="B80" s="474" t="s">
        <v>369</v>
      </c>
      <c r="C80" s="477" t="s">
        <v>378</v>
      </c>
      <c r="D80" s="516" t="s">
        <v>379</v>
      </c>
      <c r="E80" s="477" t="s">
        <v>536</v>
      </c>
      <c r="F80" s="516" t="s">
        <v>537</v>
      </c>
      <c r="G80" s="477" t="s">
        <v>538</v>
      </c>
      <c r="H80" s="477" t="s">
        <v>539</v>
      </c>
      <c r="I80" s="489">
        <v>4629.259765625</v>
      </c>
      <c r="J80" s="489">
        <v>2</v>
      </c>
      <c r="K80" s="490">
        <v>9258.509765625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8040AE1-99F0-489F-ABF1-08D08DC11A19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62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383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2"/>
      <c r="B2" s="233"/>
    </row>
    <row r="3" spans="1:19" x14ac:dyDescent="0.25">
      <c r="A3" s="395" t="s">
        <v>168</v>
      </c>
      <c r="B3" s="396"/>
      <c r="C3" s="397" t="s">
        <v>157</v>
      </c>
      <c r="D3" s="398"/>
      <c r="E3" s="398"/>
      <c r="F3" s="399"/>
      <c r="G3" s="400" t="s">
        <v>158</v>
      </c>
      <c r="H3" s="401"/>
      <c r="I3" s="401"/>
      <c r="J3" s="402"/>
      <c r="K3" s="403" t="s">
        <v>167</v>
      </c>
      <c r="L3" s="404"/>
      <c r="M3" s="404"/>
      <c r="N3" s="404"/>
      <c r="O3" s="405"/>
      <c r="P3" s="401" t="s">
        <v>208</v>
      </c>
      <c r="Q3" s="401"/>
      <c r="R3" s="401"/>
      <c r="S3" s="402"/>
    </row>
    <row r="4" spans="1:19" ht="15.75" thickBot="1" x14ac:dyDescent="0.3">
      <c r="A4" s="375">
        <v>2020</v>
      </c>
      <c r="B4" s="376"/>
      <c r="C4" s="377" t="s">
        <v>207</v>
      </c>
      <c r="D4" s="379" t="s">
        <v>105</v>
      </c>
      <c r="E4" s="379" t="s">
        <v>73</v>
      </c>
      <c r="F4" s="381" t="s">
        <v>66</v>
      </c>
      <c r="G4" s="369" t="s">
        <v>159</v>
      </c>
      <c r="H4" s="371" t="s">
        <v>163</v>
      </c>
      <c r="I4" s="371" t="s">
        <v>206</v>
      </c>
      <c r="J4" s="373" t="s">
        <v>160</v>
      </c>
      <c r="K4" s="392" t="s">
        <v>205</v>
      </c>
      <c r="L4" s="393"/>
      <c r="M4" s="393"/>
      <c r="N4" s="394"/>
      <c r="O4" s="381" t="s">
        <v>204</v>
      </c>
      <c r="P4" s="384" t="s">
        <v>203</v>
      </c>
      <c r="Q4" s="384" t="s">
        <v>170</v>
      </c>
      <c r="R4" s="386" t="s">
        <v>73</v>
      </c>
      <c r="S4" s="388" t="s">
        <v>169</v>
      </c>
    </row>
    <row r="5" spans="1:19" s="297" customFormat="1" ht="19.149999999999999" customHeight="1" x14ac:dyDescent="0.25">
      <c r="A5" s="390" t="s">
        <v>202</v>
      </c>
      <c r="B5" s="391"/>
      <c r="C5" s="378"/>
      <c r="D5" s="380"/>
      <c r="E5" s="380"/>
      <c r="F5" s="382"/>
      <c r="G5" s="370"/>
      <c r="H5" s="372"/>
      <c r="I5" s="372"/>
      <c r="J5" s="374"/>
      <c r="K5" s="300" t="s">
        <v>161</v>
      </c>
      <c r="L5" s="299" t="s">
        <v>162</v>
      </c>
      <c r="M5" s="299" t="s">
        <v>201</v>
      </c>
      <c r="N5" s="298" t="s">
        <v>3</v>
      </c>
      <c r="O5" s="382"/>
      <c r="P5" s="385"/>
      <c r="Q5" s="385"/>
      <c r="R5" s="387"/>
      <c r="S5" s="389"/>
    </row>
    <row r="6" spans="1:19" ht="15.75" thickBot="1" x14ac:dyDescent="0.3">
      <c r="A6" s="367" t="s">
        <v>156</v>
      </c>
      <c r="B6" s="368"/>
      <c r="C6" s="296" t="e">
        <f ca="1">SUM(Tabulka[01 uv_sk])/2</f>
        <v>#REF!</v>
      </c>
      <c r="D6" s="294"/>
      <c r="E6" s="294"/>
      <c r="F6" s="293"/>
      <c r="G6" s="295" t="e">
        <f ca="1">SUM(Tabulka[05 h_vram])/2</f>
        <v>#REF!</v>
      </c>
      <c r="H6" s="294" t="e">
        <f ca="1">SUM(Tabulka[06 h_naduv])/2</f>
        <v>#REF!</v>
      </c>
      <c r="I6" s="294" t="e">
        <f ca="1">SUM(Tabulka[07 h_nadzk])/2</f>
        <v>#REF!</v>
      </c>
      <c r="J6" s="293" t="e">
        <f ca="1">SUM(Tabulka[08 h_oon])/2</f>
        <v>#REF!</v>
      </c>
      <c r="K6" s="295" t="e">
        <f ca="1">SUM(Tabulka[09 m_kl])/2</f>
        <v>#REF!</v>
      </c>
      <c r="L6" s="294" t="e">
        <f ca="1">SUM(Tabulka[10 m_gr])/2</f>
        <v>#REF!</v>
      </c>
      <c r="M6" s="294" t="e">
        <f ca="1">SUM(Tabulka[11 m_jo])/2</f>
        <v>#REF!</v>
      </c>
      <c r="N6" s="294" t="e">
        <f ca="1">SUM(Tabulka[12 m_oc])/2</f>
        <v>#REF!</v>
      </c>
      <c r="O6" s="293" t="e">
        <f ca="1">SUM(Tabulka[13 m_sk])/2</f>
        <v>#REF!</v>
      </c>
      <c r="P6" s="292" t="e">
        <f ca="1">SUM(Tabulka[14_vzsk])/2</f>
        <v>#REF!</v>
      </c>
      <c r="Q6" s="292" t="e">
        <f ca="1">SUM(Tabulka[15_vzpl])/2</f>
        <v>#REF!</v>
      </c>
      <c r="R6" s="291" t="e">
        <f ca="1">IF(Q6=0,0,P6/Q6)</f>
        <v>#REF!</v>
      </c>
      <c r="S6" s="290" t="e">
        <f ca="1">Q6-P6</f>
        <v>#REF!</v>
      </c>
    </row>
    <row r="7" spans="1:19" hidden="1" x14ac:dyDescent="0.25">
      <c r="A7" s="289" t="s">
        <v>200</v>
      </c>
      <c r="B7" s="288" t="s">
        <v>199</v>
      </c>
      <c r="C7" s="287" t="s">
        <v>198</v>
      </c>
      <c r="D7" s="286" t="s">
        <v>197</v>
      </c>
      <c r="E7" s="285" t="s">
        <v>196</v>
      </c>
      <c r="F7" s="284" t="s">
        <v>195</v>
      </c>
      <c r="G7" s="283" t="s">
        <v>194</v>
      </c>
      <c r="H7" s="281" t="s">
        <v>193</v>
      </c>
      <c r="I7" s="281" t="s">
        <v>192</v>
      </c>
      <c r="J7" s="280" t="s">
        <v>191</v>
      </c>
      <c r="K7" s="282" t="s">
        <v>190</v>
      </c>
      <c r="L7" s="281" t="s">
        <v>189</v>
      </c>
      <c r="M7" s="281" t="s">
        <v>188</v>
      </c>
      <c r="N7" s="280" t="s">
        <v>187</v>
      </c>
      <c r="O7" s="279" t="s">
        <v>186</v>
      </c>
      <c r="P7" s="278" t="s">
        <v>185</v>
      </c>
      <c r="Q7" s="277" t="s">
        <v>184</v>
      </c>
      <c r="R7" s="276" t="s">
        <v>183</v>
      </c>
      <c r="S7" s="275" t="s">
        <v>182</v>
      </c>
    </row>
    <row r="8" spans="1:19" x14ac:dyDescent="0.25">
      <c r="A8" s="272" t="s">
        <v>181</v>
      </c>
      <c r="B8" s="271"/>
      <c r="C8" s="265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4" t="e">
        <f ca="1">IF(Tabulka[[#This Row],[15_vzpl]]=0,"",Tabulka[[#This Row],[14_vzsk]]/Tabulka[[#This Row],[15_vzpl]])</f>
        <v>#REF!</v>
      </c>
      <c r="S8" s="273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4" t="s">
        <v>179</v>
      </c>
    </row>
    <row r="13" spans="1:19" x14ac:dyDescent="0.25">
      <c r="A13" s="235" t="s">
        <v>166</v>
      </c>
    </row>
    <row r="14" spans="1:19" x14ac:dyDescent="0.25">
      <c r="A14" s="23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06" t="s">
        <v>543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124</v>
      </c>
      <c r="B3" s="221">
        <f>SUBTOTAL(9,B6:B1048576)/4</f>
        <v>1809336.3499999999</v>
      </c>
      <c r="C3" s="222">
        <f t="shared" ref="C3:Z3" si="0">SUBTOTAL(9,C6:C1048576)</f>
        <v>4</v>
      </c>
      <c r="D3" s="222"/>
      <c r="E3" s="222">
        <f>SUBTOTAL(9,E6:E1048576)/4</f>
        <v>3599768.33</v>
      </c>
      <c r="F3" s="222"/>
      <c r="G3" s="222">
        <f t="shared" si="0"/>
        <v>4</v>
      </c>
      <c r="H3" s="222">
        <f>SUBTOTAL(9,H6:H1048576)/4</f>
        <v>5815648.4400000004</v>
      </c>
      <c r="I3" s="225">
        <f>IF(B3&lt;&gt;0,H3/B3,"")</f>
        <v>3.2142439629867607</v>
      </c>
      <c r="J3" s="223">
        <f>IF(E3&lt;&gt;0,H3/E3,"")</f>
        <v>1.6155618658937423</v>
      </c>
      <c r="K3" s="224">
        <f t="shared" si="0"/>
        <v>0</v>
      </c>
      <c r="L3" s="224"/>
      <c r="M3" s="222">
        <f t="shared" si="0"/>
        <v>0</v>
      </c>
      <c r="N3" s="222">
        <f t="shared" si="0"/>
        <v>2242.6800000000003</v>
      </c>
      <c r="O3" s="222"/>
      <c r="P3" s="222">
        <f t="shared" si="0"/>
        <v>2</v>
      </c>
      <c r="Q3" s="222">
        <f t="shared" si="0"/>
        <v>75.08</v>
      </c>
      <c r="R3" s="225" t="str">
        <f>IF(K3&lt;&gt;0,Q3/K3,"")</f>
        <v/>
      </c>
      <c r="S3" s="225">
        <f>IF(N3&lt;&gt;0,Q3/N3,"")</f>
        <v>3.3477803342429585E-2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7"/>
      <c r="B5" s="518">
        <v>2018</v>
      </c>
      <c r="C5" s="519"/>
      <c r="D5" s="519"/>
      <c r="E5" s="519">
        <v>2019</v>
      </c>
      <c r="F5" s="519"/>
      <c r="G5" s="519"/>
      <c r="H5" s="519">
        <v>2020</v>
      </c>
      <c r="I5" s="520" t="s">
        <v>234</v>
      </c>
      <c r="J5" s="521" t="s">
        <v>2</v>
      </c>
      <c r="K5" s="518">
        <v>2015</v>
      </c>
      <c r="L5" s="519"/>
      <c r="M5" s="519"/>
      <c r="N5" s="519">
        <v>2019</v>
      </c>
      <c r="O5" s="519"/>
      <c r="P5" s="519"/>
      <c r="Q5" s="519">
        <v>2020</v>
      </c>
      <c r="R5" s="520" t="s">
        <v>234</v>
      </c>
      <c r="S5" s="521" t="s">
        <v>2</v>
      </c>
      <c r="T5" s="518">
        <v>2015</v>
      </c>
      <c r="U5" s="519"/>
      <c r="V5" s="519"/>
      <c r="W5" s="519">
        <v>2019</v>
      </c>
      <c r="X5" s="519"/>
      <c r="Y5" s="519"/>
      <c r="Z5" s="519">
        <v>2020</v>
      </c>
      <c r="AA5" s="520" t="s">
        <v>234</v>
      </c>
      <c r="AB5" s="521" t="s">
        <v>2</v>
      </c>
    </row>
    <row r="6" spans="1:28" ht="14.45" customHeight="1" x14ac:dyDescent="0.25">
      <c r="A6" s="522" t="s">
        <v>541</v>
      </c>
      <c r="B6" s="523">
        <v>1809336.3499999999</v>
      </c>
      <c r="C6" s="524">
        <v>1</v>
      </c>
      <c r="D6" s="524">
        <v>0.50262577592041868</v>
      </c>
      <c r="E6" s="523">
        <v>3599768.33</v>
      </c>
      <c r="F6" s="524">
        <v>1.9895517657620709</v>
      </c>
      <c r="G6" s="524">
        <v>1</v>
      </c>
      <c r="H6" s="523">
        <v>5815648.4400000004</v>
      </c>
      <c r="I6" s="524">
        <v>3.2142439629867607</v>
      </c>
      <c r="J6" s="524">
        <v>1.6155618658937423</v>
      </c>
      <c r="K6" s="523"/>
      <c r="L6" s="524"/>
      <c r="M6" s="524"/>
      <c r="N6" s="523">
        <v>1121.3400000000001</v>
      </c>
      <c r="O6" s="524"/>
      <c r="P6" s="524">
        <v>1</v>
      </c>
      <c r="Q6" s="523">
        <v>37.54</v>
      </c>
      <c r="R6" s="524"/>
      <c r="S6" s="524">
        <v>3.3477803342429585E-2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5" customHeight="1" thickBot="1" x14ac:dyDescent="0.3">
      <c r="A7" s="529" t="s">
        <v>542</v>
      </c>
      <c r="B7" s="526">
        <v>1809336.3499999999</v>
      </c>
      <c r="C7" s="527">
        <v>1</v>
      </c>
      <c r="D7" s="527">
        <v>0.50262577592041868</v>
      </c>
      <c r="E7" s="526">
        <v>3599768.33</v>
      </c>
      <c r="F7" s="527">
        <v>1.9895517657620709</v>
      </c>
      <c r="G7" s="527">
        <v>1</v>
      </c>
      <c r="H7" s="526">
        <v>5815648.4400000004</v>
      </c>
      <c r="I7" s="527">
        <v>3.2142439629867607</v>
      </c>
      <c r="J7" s="527">
        <v>1.6155618658937423</v>
      </c>
      <c r="K7" s="526"/>
      <c r="L7" s="527"/>
      <c r="M7" s="527"/>
      <c r="N7" s="526">
        <v>1121.3400000000001</v>
      </c>
      <c r="O7" s="527"/>
      <c r="P7" s="527">
        <v>1</v>
      </c>
      <c r="Q7" s="526">
        <v>37.54</v>
      </c>
      <c r="R7" s="527"/>
      <c r="S7" s="527">
        <v>3.3477803342429585E-2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5" customHeight="1" thickBot="1" x14ac:dyDescent="0.25"/>
    <row r="9" spans="1:28" ht="14.45" customHeight="1" x14ac:dyDescent="0.25">
      <c r="A9" s="522" t="s">
        <v>378</v>
      </c>
      <c r="B9" s="523">
        <v>1809336.3499999999</v>
      </c>
      <c r="C9" s="524">
        <v>1</v>
      </c>
      <c r="D9" s="524">
        <v>0.50262577592041868</v>
      </c>
      <c r="E9" s="523">
        <v>3599768.33</v>
      </c>
      <c r="F9" s="524">
        <v>1.9895517657620709</v>
      </c>
      <c r="G9" s="524">
        <v>1</v>
      </c>
      <c r="H9" s="523">
        <v>5815648.4400000004</v>
      </c>
      <c r="I9" s="524">
        <v>3.2142439629867607</v>
      </c>
      <c r="J9" s="525">
        <v>1.6155618658937423</v>
      </c>
    </row>
    <row r="10" spans="1:28" ht="14.45" customHeight="1" thickBot="1" x14ac:dyDescent="0.3">
      <c r="A10" s="529" t="s">
        <v>544</v>
      </c>
      <c r="B10" s="526">
        <v>1809336.3499999999</v>
      </c>
      <c r="C10" s="527">
        <v>1</v>
      </c>
      <c r="D10" s="527">
        <v>0.50262577592041868</v>
      </c>
      <c r="E10" s="526">
        <v>3599768.33</v>
      </c>
      <c r="F10" s="527">
        <v>1.9895517657620709</v>
      </c>
      <c r="G10" s="527">
        <v>1</v>
      </c>
      <c r="H10" s="526">
        <v>5815648.4400000004</v>
      </c>
      <c r="I10" s="527">
        <v>3.2142439629867607</v>
      </c>
      <c r="J10" s="528">
        <v>1.6155618658937423</v>
      </c>
    </row>
    <row r="11" spans="1:28" ht="14.45" customHeight="1" x14ac:dyDescent="0.2">
      <c r="A11" s="437" t="s">
        <v>209</v>
      </c>
    </row>
    <row r="12" spans="1:28" ht="14.45" customHeight="1" x14ac:dyDescent="0.2">
      <c r="A12" s="438" t="s">
        <v>297</v>
      </c>
    </row>
    <row r="13" spans="1:28" ht="14.45" customHeight="1" x14ac:dyDescent="0.2">
      <c r="A13" s="437" t="s">
        <v>545</v>
      </c>
    </row>
    <row r="14" spans="1:28" ht="14.45" customHeight="1" x14ac:dyDescent="0.2">
      <c r="A14" s="437" t="s">
        <v>546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E135549-2681-4909-87EF-57C3201C8C6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558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1" t="s">
        <v>124</v>
      </c>
      <c r="B3" s="248">
        <f t="shared" ref="B3:G3" si="0">SUBTOTAL(9,B6:B1048576)</f>
        <v>2363</v>
      </c>
      <c r="C3" s="249">
        <f t="shared" si="0"/>
        <v>4340</v>
      </c>
      <c r="D3" s="260">
        <f t="shared" si="0"/>
        <v>7824</v>
      </c>
      <c r="E3" s="224">
        <f t="shared" si="0"/>
        <v>1809336.3499999999</v>
      </c>
      <c r="F3" s="222">
        <f t="shared" si="0"/>
        <v>3599768.33</v>
      </c>
      <c r="G3" s="250">
        <f t="shared" si="0"/>
        <v>5815648.4399999995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7"/>
      <c r="B5" s="518">
        <v>2018</v>
      </c>
      <c r="C5" s="519">
        <v>2019</v>
      </c>
      <c r="D5" s="530">
        <v>2020</v>
      </c>
      <c r="E5" s="518">
        <v>2018</v>
      </c>
      <c r="F5" s="519">
        <v>2019</v>
      </c>
      <c r="G5" s="530">
        <v>2020</v>
      </c>
    </row>
    <row r="6" spans="1:7" ht="14.45" customHeight="1" x14ac:dyDescent="0.2">
      <c r="A6" s="502" t="s">
        <v>547</v>
      </c>
      <c r="B6" s="116">
        <v>19</v>
      </c>
      <c r="C6" s="116">
        <v>65</v>
      </c>
      <c r="D6" s="116">
        <v>111</v>
      </c>
      <c r="E6" s="531">
        <v>747</v>
      </c>
      <c r="F6" s="531">
        <v>3717</v>
      </c>
      <c r="G6" s="532">
        <v>24059</v>
      </c>
    </row>
    <row r="7" spans="1:7" ht="14.45" customHeight="1" x14ac:dyDescent="0.2">
      <c r="A7" s="537" t="s">
        <v>548</v>
      </c>
      <c r="B7" s="497"/>
      <c r="C7" s="497">
        <v>1</v>
      </c>
      <c r="D7" s="497"/>
      <c r="E7" s="533"/>
      <c r="F7" s="533">
        <v>38</v>
      </c>
      <c r="G7" s="534"/>
    </row>
    <row r="8" spans="1:7" ht="14.45" customHeight="1" x14ac:dyDescent="0.2">
      <c r="A8" s="537" t="s">
        <v>549</v>
      </c>
      <c r="B8" s="497">
        <v>15</v>
      </c>
      <c r="C8" s="497"/>
      <c r="D8" s="497"/>
      <c r="E8" s="533">
        <v>599</v>
      </c>
      <c r="F8" s="533"/>
      <c r="G8" s="534"/>
    </row>
    <row r="9" spans="1:7" ht="14.45" customHeight="1" x14ac:dyDescent="0.2">
      <c r="A9" s="537" t="s">
        <v>550</v>
      </c>
      <c r="B9" s="497"/>
      <c r="C9" s="497">
        <v>337</v>
      </c>
      <c r="D9" s="497">
        <v>300</v>
      </c>
      <c r="E9" s="533"/>
      <c r="F9" s="533">
        <v>74370</v>
      </c>
      <c r="G9" s="534">
        <v>67235.55</v>
      </c>
    </row>
    <row r="10" spans="1:7" ht="14.45" customHeight="1" x14ac:dyDescent="0.2">
      <c r="A10" s="537" t="s">
        <v>551</v>
      </c>
      <c r="B10" s="497"/>
      <c r="C10" s="497"/>
      <c r="D10" s="497">
        <v>1</v>
      </c>
      <c r="E10" s="533"/>
      <c r="F10" s="533"/>
      <c r="G10" s="534">
        <v>153</v>
      </c>
    </row>
    <row r="11" spans="1:7" ht="14.45" customHeight="1" x14ac:dyDescent="0.2">
      <c r="A11" s="537" t="s">
        <v>552</v>
      </c>
      <c r="B11" s="497">
        <v>8</v>
      </c>
      <c r="C11" s="497">
        <v>1</v>
      </c>
      <c r="D11" s="497"/>
      <c r="E11" s="533">
        <v>20948</v>
      </c>
      <c r="F11" s="533">
        <v>151</v>
      </c>
      <c r="G11" s="534"/>
    </row>
    <row r="12" spans="1:7" ht="14.45" customHeight="1" x14ac:dyDescent="0.2">
      <c r="A12" s="537" t="s">
        <v>553</v>
      </c>
      <c r="B12" s="497"/>
      <c r="C12" s="497">
        <v>1</v>
      </c>
      <c r="D12" s="497"/>
      <c r="E12" s="533"/>
      <c r="F12" s="533">
        <v>61</v>
      </c>
      <c r="G12" s="534"/>
    </row>
    <row r="13" spans="1:7" ht="14.45" customHeight="1" x14ac:dyDescent="0.2">
      <c r="A13" s="537" t="s">
        <v>554</v>
      </c>
      <c r="B13" s="497">
        <v>4</v>
      </c>
      <c r="C13" s="497">
        <v>1</v>
      </c>
      <c r="D13" s="497"/>
      <c r="E13" s="533">
        <v>148</v>
      </c>
      <c r="F13" s="533">
        <v>38</v>
      </c>
      <c r="G13" s="534"/>
    </row>
    <row r="14" spans="1:7" ht="14.45" customHeight="1" x14ac:dyDescent="0.2">
      <c r="A14" s="537" t="s">
        <v>555</v>
      </c>
      <c r="B14" s="497"/>
      <c r="C14" s="497">
        <v>1</v>
      </c>
      <c r="D14" s="497"/>
      <c r="E14" s="533"/>
      <c r="F14" s="533">
        <v>38</v>
      </c>
      <c r="G14" s="534"/>
    </row>
    <row r="15" spans="1:7" ht="14.45" customHeight="1" x14ac:dyDescent="0.2">
      <c r="A15" s="537" t="s">
        <v>556</v>
      </c>
      <c r="B15" s="497">
        <v>2317</v>
      </c>
      <c r="C15" s="497">
        <v>3932</v>
      </c>
      <c r="D15" s="497">
        <v>7412</v>
      </c>
      <c r="E15" s="533">
        <v>1786894.3499999999</v>
      </c>
      <c r="F15" s="533">
        <v>3521317.33</v>
      </c>
      <c r="G15" s="534">
        <v>5724200.8899999997</v>
      </c>
    </row>
    <row r="16" spans="1:7" ht="14.45" customHeight="1" thickBot="1" x14ac:dyDescent="0.25">
      <c r="A16" s="538" t="s">
        <v>557</v>
      </c>
      <c r="B16" s="489"/>
      <c r="C16" s="489">
        <v>1</v>
      </c>
      <c r="D16" s="489"/>
      <c r="E16" s="535"/>
      <c r="F16" s="535">
        <v>38</v>
      </c>
      <c r="G16" s="536"/>
    </row>
    <row r="17" spans="1:1" ht="14.45" customHeight="1" x14ac:dyDescent="0.2">
      <c r="A17" s="437" t="s">
        <v>209</v>
      </c>
    </row>
    <row r="18" spans="1:1" ht="14.45" customHeight="1" x14ac:dyDescent="0.2">
      <c r="A18" s="438" t="s">
        <v>297</v>
      </c>
    </row>
    <row r="19" spans="1:1" ht="14.45" customHeight="1" x14ac:dyDescent="0.2">
      <c r="A19" s="437" t="s">
        <v>545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355FAF7-ACA3-4259-8279-58CB954AAF8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05" t="s">
        <v>595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2" t="s">
        <v>235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124</v>
      </c>
      <c r="G3" s="102">
        <f t="shared" ref="G3:P3" si="0">SUBTOTAL(9,G6:G1048576)</f>
        <v>2363</v>
      </c>
      <c r="H3" s="103">
        <f t="shared" si="0"/>
        <v>1809336.35</v>
      </c>
      <c r="I3" s="74"/>
      <c r="J3" s="74"/>
      <c r="K3" s="103">
        <f t="shared" si="0"/>
        <v>4342</v>
      </c>
      <c r="L3" s="103">
        <f t="shared" si="0"/>
        <v>3600889.67</v>
      </c>
      <c r="M3" s="74"/>
      <c r="N3" s="74"/>
      <c r="O3" s="103">
        <f t="shared" si="0"/>
        <v>7824.1</v>
      </c>
      <c r="P3" s="103">
        <f t="shared" si="0"/>
        <v>5815685.9800000004</v>
      </c>
      <c r="Q3" s="75">
        <f>IF(L3=0,0,P3/L3)</f>
        <v>1.6150691948303988</v>
      </c>
      <c r="R3" s="104">
        <f>IF(O3=0,0,P3/O3)</f>
        <v>743.30414744187829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2018</v>
      </c>
      <c r="H4" s="419"/>
      <c r="I4" s="101"/>
      <c r="J4" s="101"/>
      <c r="K4" s="418">
        <v>2019</v>
      </c>
      <c r="L4" s="419"/>
      <c r="M4" s="101"/>
      <c r="N4" s="101"/>
      <c r="O4" s="418">
        <v>2020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9"/>
      <c r="B5" s="539"/>
      <c r="C5" s="540"/>
      <c r="D5" s="541"/>
      <c r="E5" s="542"/>
      <c r="F5" s="543"/>
      <c r="G5" s="544" t="s">
        <v>70</v>
      </c>
      <c r="H5" s="545" t="s">
        <v>13</v>
      </c>
      <c r="I5" s="546"/>
      <c r="J5" s="546"/>
      <c r="K5" s="544" t="s">
        <v>70</v>
      </c>
      <c r="L5" s="545" t="s">
        <v>13</v>
      </c>
      <c r="M5" s="546"/>
      <c r="N5" s="546"/>
      <c r="O5" s="544" t="s">
        <v>70</v>
      </c>
      <c r="P5" s="545" t="s">
        <v>13</v>
      </c>
      <c r="Q5" s="547"/>
      <c r="R5" s="548"/>
    </row>
    <row r="6" spans="1:18" ht="14.45" customHeight="1" x14ac:dyDescent="0.2">
      <c r="A6" s="458" t="s">
        <v>559</v>
      </c>
      <c r="B6" s="459" t="s">
        <v>560</v>
      </c>
      <c r="C6" s="459" t="s">
        <v>378</v>
      </c>
      <c r="D6" s="459" t="s">
        <v>561</v>
      </c>
      <c r="E6" s="459" t="s">
        <v>562</v>
      </c>
      <c r="F6" s="459"/>
      <c r="G6" s="116"/>
      <c r="H6" s="116"/>
      <c r="I6" s="459"/>
      <c r="J6" s="459"/>
      <c r="K6" s="116">
        <v>1</v>
      </c>
      <c r="L6" s="116">
        <v>2.44</v>
      </c>
      <c r="M6" s="459">
        <v>1</v>
      </c>
      <c r="N6" s="459">
        <v>2.44</v>
      </c>
      <c r="O6" s="116"/>
      <c r="P6" s="116"/>
      <c r="Q6" s="464"/>
      <c r="R6" s="488"/>
    </row>
    <row r="7" spans="1:18" ht="14.45" customHeight="1" x14ac:dyDescent="0.2">
      <c r="A7" s="465" t="s">
        <v>559</v>
      </c>
      <c r="B7" s="466" t="s">
        <v>560</v>
      </c>
      <c r="C7" s="466" t="s">
        <v>378</v>
      </c>
      <c r="D7" s="466" t="s">
        <v>561</v>
      </c>
      <c r="E7" s="466" t="s">
        <v>563</v>
      </c>
      <c r="F7" s="466" t="s">
        <v>564</v>
      </c>
      <c r="G7" s="497"/>
      <c r="H7" s="497"/>
      <c r="I7" s="466"/>
      <c r="J7" s="466"/>
      <c r="K7" s="497">
        <v>1</v>
      </c>
      <c r="L7" s="497">
        <v>1118.9000000000001</v>
      </c>
      <c r="M7" s="466">
        <v>1</v>
      </c>
      <c r="N7" s="466">
        <v>1118.9000000000001</v>
      </c>
      <c r="O7" s="497"/>
      <c r="P7" s="497"/>
      <c r="Q7" s="471"/>
      <c r="R7" s="498"/>
    </row>
    <row r="8" spans="1:18" ht="14.45" customHeight="1" x14ac:dyDescent="0.2">
      <c r="A8" s="465" t="s">
        <v>559</v>
      </c>
      <c r="B8" s="466" t="s">
        <v>560</v>
      </c>
      <c r="C8" s="466" t="s">
        <v>378</v>
      </c>
      <c r="D8" s="466" t="s">
        <v>561</v>
      </c>
      <c r="E8" s="466" t="s">
        <v>565</v>
      </c>
      <c r="F8" s="466" t="s">
        <v>566</v>
      </c>
      <c r="G8" s="497"/>
      <c r="H8" s="497"/>
      <c r="I8" s="466"/>
      <c r="J8" s="466"/>
      <c r="K8" s="497"/>
      <c r="L8" s="497"/>
      <c r="M8" s="466"/>
      <c r="N8" s="466"/>
      <c r="O8" s="497">
        <v>0.1</v>
      </c>
      <c r="P8" s="497">
        <v>37.54</v>
      </c>
      <c r="Q8" s="471"/>
      <c r="R8" s="498">
        <v>375.4</v>
      </c>
    </row>
    <row r="9" spans="1:18" ht="14.45" customHeight="1" x14ac:dyDescent="0.2">
      <c r="A9" s="465" t="s">
        <v>559</v>
      </c>
      <c r="B9" s="466" t="s">
        <v>560</v>
      </c>
      <c r="C9" s="466" t="s">
        <v>378</v>
      </c>
      <c r="D9" s="466" t="s">
        <v>561</v>
      </c>
      <c r="E9" s="466" t="s">
        <v>567</v>
      </c>
      <c r="F9" s="466" t="s">
        <v>568</v>
      </c>
      <c r="G9" s="497"/>
      <c r="H9" s="497"/>
      <c r="I9" s="466"/>
      <c r="J9" s="466"/>
      <c r="K9" s="497">
        <v>0</v>
      </c>
      <c r="L9" s="497">
        <v>0</v>
      </c>
      <c r="M9" s="466"/>
      <c r="N9" s="466"/>
      <c r="O9" s="497"/>
      <c r="P9" s="497"/>
      <c r="Q9" s="471"/>
      <c r="R9" s="498"/>
    </row>
    <row r="10" spans="1:18" ht="14.45" customHeight="1" x14ac:dyDescent="0.2">
      <c r="A10" s="465" t="s">
        <v>559</v>
      </c>
      <c r="B10" s="466" t="s">
        <v>560</v>
      </c>
      <c r="C10" s="466" t="s">
        <v>378</v>
      </c>
      <c r="D10" s="466" t="s">
        <v>569</v>
      </c>
      <c r="E10" s="466" t="s">
        <v>570</v>
      </c>
      <c r="F10" s="466" t="s">
        <v>571</v>
      </c>
      <c r="G10" s="497"/>
      <c r="H10" s="497"/>
      <c r="I10" s="466"/>
      <c r="J10" s="466"/>
      <c r="K10" s="497">
        <v>1</v>
      </c>
      <c r="L10" s="497">
        <v>151</v>
      </c>
      <c r="M10" s="466">
        <v>1</v>
      </c>
      <c r="N10" s="466">
        <v>151</v>
      </c>
      <c r="O10" s="497">
        <v>1</v>
      </c>
      <c r="P10" s="497">
        <v>153</v>
      </c>
      <c r="Q10" s="471">
        <v>1.0132450331125828</v>
      </c>
      <c r="R10" s="498">
        <v>153</v>
      </c>
    </row>
    <row r="11" spans="1:18" ht="14.45" customHeight="1" x14ac:dyDescent="0.2">
      <c r="A11" s="465" t="s">
        <v>559</v>
      </c>
      <c r="B11" s="466" t="s">
        <v>560</v>
      </c>
      <c r="C11" s="466" t="s">
        <v>378</v>
      </c>
      <c r="D11" s="466" t="s">
        <v>569</v>
      </c>
      <c r="E11" s="466" t="s">
        <v>572</v>
      </c>
      <c r="F11" s="466" t="s">
        <v>573</v>
      </c>
      <c r="G11" s="497">
        <v>213</v>
      </c>
      <c r="H11" s="497">
        <v>7881</v>
      </c>
      <c r="I11" s="466">
        <v>0.81331269349845203</v>
      </c>
      <c r="J11" s="466">
        <v>37</v>
      </c>
      <c r="K11" s="497">
        <v>255</v>
      </c>
      <c r="L11" s="497">
        <v>9690</v>
      </c>
      <c r="M11" s="466">
        <v>1</v>
      </c>
      <c r="N11" s="466">
        <v>38</v>
      </c>
      <c r="O11" s="497">
        <v>419</v>
      </c>
      <c r="P11" s="497">
        <v>15922</v>
      </c>
      <c r="Q11" s="471">
        <v>1.6431372549019607</v>
      </c>
      <c r="R11" s="498">
        <v>38</v>
      </c>
    </row>
    <row r="12" spans="1:18" ht="14.45" customHeight="1" x14ac:dyDescent="0.2">
      <c r="A12" s="465" t="s">
        <v>559</v>
      </c>
      <c r="B12" s="466" t="s">
        <v>560</v>
      </c>
      <c r="C12" s="466" t="s">
        <v>378</v>
      </c>
      <c r="D12" s="466" t="s">
        <v>569</v>
      </c>
      <c r="E12" s="466" t="s">
        <v>574</v>
      </c>
      <c r="F12" s="466" t="s">
        <v>575</v>
      </c>
      <c r="G12" s="497"/>
      <c r="H12" s="497"/>
      <c r="I12" s="466"/>
      <c r="J12" s="466"/>
      <c r="K12" s="497">
        <v>0</v>
      </c>
      <c r="L12" s="497">
        <v>0</v>
      </c>
      <c r="M12" s="466"/>
      <c r="N12" s="466"/>
      <c r="O12" s="497"/>
      <c r="P12" s="497"/>
      <c r="Q12" s="471"/>
      <c r="R12" s="498"/>
    </row>
    <row r="13" spans="1:18" ht="14.45" customHeight="1" x14ac:dyDescent="0.2">
      <c r="A13" s="465" t="s">
        <v>559</v>
      </c>
      <c r="B13" s="466" t="s">
        <v>560</v>
      </c>
      <c r="C13" s="466" t="s">
        <v>378</v>
      </c>
      <c r="D13" s="466" t="s">
        <v>569</v>
      </c>
      <c r="E13" s="466" t="s">
        <v>576</v>
      </c>
      <c r="F13" s="466" t="s">
        <v>577</v>
      </c>
      <c r="G13" s="497">
        <v>130</v>
      </c>
      <c r="H13" s="497">
        <v>61230</v>
      </c>
      <c r="I13" s="466">
        <v>0.34083697939280583</v>
      </c>
      <c r="J13" s="466">
        <v>471</v>
      </c>
      <c r="K13" s="497">
        <v>379</v>
      </c>
      <c r="L13" s="497">
        <v>179646</v>
      </c>
      <c r="M13" s="466">
        <v>1</v>
      </c>
      <c r="N13" s="466">
        <v>474</v>
      </c>
      <c r="O13" s="497">
        <v>485</v>
      </c>
      <c r="P13" s="497">
        <v>231345</v>
      </c>
      <c r="Q13" s="471">
        <v>1.2877826391904077</v>
      </c>
      <c r="R13" s="498">
        <v>477</v>
      </c>
    </row>
    <row r="14" spans="1:18" ht="14.45" customHeight="1" x14ac:dyDescent="0.2">
      <c r="A14" s="465" t="s">
        <v>559</v>
      </c>
      <c r="B14" s="466" t="s">
        <v>560</v>
      </c>
      <c r="C14" s="466" t="s">
        <v>378</v>
      </c>
      <c r="D14" s="466" t="s">
        <v>569</v>
      </c>
      <c r="E14" s="466" t="s">
        <v>578</v>
      </c>
      <c r="F14" s="466" t="s">
        <v>579</v>
      </c>
      <c r="G14" s="497">
        <v>115</v>
      </c>
      <c r="H14" s="497">
        <v>3833.3500000000004</v>
      </c>
      <c r="I14" s="466">
        <v>0.34431297733921479</v>
      </c>
      <c r="J14" s="466">
        <v>33.333478260869569</v>
      </c>
      <c r="K14" s="497">
        <v>334</v>
      </c>
      <c r="L14" s="497">
        <v>11133.33</v>
      </c>
      <c r="M14" s="466">
        <v>1</v>
      </c>
      <c r="N14" s="466">
        <v>33.333323353293416</v>
      </c>
      <c r="O14" s="497">
        <v>497</v>
      </c>
      <c r="P14" s="497">
        <v>19194.440000000002</v>
      </c>
      <c r="Q14" s="471">
        <v>1.7240520131892256</v>
      </c>
      <c r="R14" s="498">
        <v>38.620603621730389</v>
      </c>
    </row>
    <row r="15" spans="1:18" ht="14.45" customHeight="1" x14ac:dyDescent="0.2">
      <c r="A15" s="465" t="s">
        <v>559</v>
      </c>
      <c r="B15" s="466" t="s">
        <v>560</v>
      </c>
      <c r="C15" s="466" t="s">
        <v>378</v>
      </c>
      <c r="D15" s="466" t="s">
        <v>569</v>
      </c>
      <c r="E15" s="466" t="s">
        <v>580</v>
      </c>
      <c r="F15" s="466" t="s">
        <v>581</v>
      </c>
      <c r="G15" s="497">
        <v>38</v>
      </c>
      <c r="H15" s="497">
        <v>1406</v>
      </c>
      <c r="I15" s="466">
        <v>0.86046511627906974</v>
      </c>
      <c r="J15" s="466">
        <v>37</v>
      </c>
      <c r="K15" s="497">
        <v>43</v>
      </c>
      <c r="L15" s="497">
        <v>1634</v>
      </c>
      <c r="M15" s="466">
        <v>1</v>
      </c>
      <c r="N15" s="466">
        <v>38</v>
      </c>
      <c r="O15" s="497">
        <v>59</v>
      </c>
      <c r="P15" s="497">
        <v>2242</v>
      </c>
      <c r="Q15" s="471">
        <v>1.3720930232558139</v>
      </c>
      <c r="R15" s="498">
        <v>38</v>
      </c>
    </row>
    <row r="16" spans="1:18" ht="14.45" customHeight="1" x14ac:dyDescent="0.2">
      <c r="A16" s="465" t="s">
        <v>559</v>
      </c>
      <c r="B16" s="466" t="s">
        <v>560</v>
      </c>
      <c r="C16" s="466" t="s">
        <v>378</v>
      </c>
      <c r="D16" s="466" t="s">
        <v>569</v>
      </c>
      <c r="E16" s="466" t="s">
        <v>582</v>
      </c>
      <c r="F16" s="466" t="s">
        <v>583</v>
      </c>
      <c r="G16" s="497"/>
      <c r="H16" s="497"/>
      <c r="I16" s="466"/>
      <c r="J16" s="466"/>
      <c r="K16" s="497">
        <v>7</v>
      </c>
      <c r="L16" s="497">
        <v>938</v>
      </c>
      <c r="M16" s="466">
        <v>1</v>
      </c>
      <c r="N16" s="466">
        <v>134</v>
      </c>
      <c r="O16" s="497">
        <v>13</v>
      </c>
      <c r="P16" s="497">
        <v>1755</v>
      </c>
      <c r="Q16" s="471">
        <v>1.8710021321961621</v>
      </c>
      <c r="R16" s="498">
        <v>135</v>
      </c>
    </row>
    <row r="17" spans="1:18" ht="14.45" customHeight="1" x14ac:dyDescent="0.2">
      <c r="A17" s="465" t="s">
        <v>559</v>
      </c>
      <c r="B17" s="466" t="s">
        <v>560</v>
      </c>
      <c r="C17" s="466" t="s">
        <v>378</v>
      </c>
      <c r="D17" s="466" t="s">
        <v>569</v>
      </c>
      <c r="E17" s="466" t="s">
        <v>584</v>
      </c>
      <c r="F17" s="466" t="s">
        <v>585</v>
      </c>
      <c r="G17" s="497">
        <v>27</v>
      </c>
      <c r="H17" s="497">
        <v>6372</v>
      </c>
      <c r="I17" s="466">
        <v>1.7924050632911392</v>
      </c>
      <c r="J17" s="466">
        <v>236</v>
      </c>
      <c r="K17" s="497">
        <v>15</v>
      </c>
      <c r="L17" s="497">
        <v>3555</v>
      </c>
      <c r="M17" s="466">
        <v>1</v>
      </c>
      <c r="N17" s="466">
        <v>237</v>
      </c>
      <c r="O17" s="497">
        <v>19</v>
      </c>
      <c r="P17" s="497">
        <v>4541</v>
      </c>
      <c r="Q17" s="471">
        <v>1.2773558368495077</v>
      </c>
      <c r="R17" s="498">
        <v>239</v>
      </c>
    </row>
    <row r="18" spans="1:18" ht="14.45" customHeight="1" x14ac:dyDescent="0.2">
      <c r="A18" s="465" t="s">
        <v>559</v>
      </c>
      <c r="B18" s="466" t="s">
        <v>560</v>
      </c>
      <c r="C18" s="466" t="s">
        <v>378</v>
      </c>
      <c r="D18" s="466" t="s">
        <v>569</v>
      </c>
      <c r="E18" s="466" t="s">
        <v>586</v>
      </c>
      <c r="F18" s="466" t="s">
        <v>587</v>
      </c>
      <c r="G18" s="497"/>
      <c r="H18" s="497"/>
      <c r="I18" s="466"/>
      <c r="J18" s="466"/>
      <c r="K18" s="497"/>
      <c r="L18" s="497"/>
      <c r="M18" s="466"/>
      <c r="N18" s="466"/>
      <c r="O18" s="497">
        <v>6</v>
      </c>
      <c r="P18" s="497">
        <v>456</v>
      </c>
      <c r="Q18" s="471"/>
      <c r="R18" s="498">
        <v>76</v>
      </c>
    </row>
    <row r="19" spans="1:18" ht="14.45" customHeight="1" x14ac:dyDescent="0.2">
      <c r="A19" s="465" t="s">
        <v>559</v>
      </c>
      <c r="B19" s="466" t="s">
        <v>560</v>
      </c>
      <c r="C19" s="466" t="s">
        <v>378</v>
      </c>
      <c r="D19" s="466" t="s">
        <v>569</v>
      </c>
      <c r="E19" s="466" t="s">
        <v>588</v>
      </c>
      <c r="F19" s="466" t="s">
        <v>589</v>
      </c>
      <c r="G19" s="497">
        <v>4</v>
      </c>
      <c r="H19" s="497">
        <v>236</v>
      </c>
      <c r="I19" s="466">
        <v>0.13340870548332392</v>
      </c>
      <c r="J19" s="466">
        <v>59</v>
      </c>
      <c r="K19" s="497">
        <v>29</v>
      </c>
      <c r="L19" s="497">
        <v>1769</v>
      </c>
      <c r="M19" s="466">
        <v>1</v>
      </c>
      <c r="N19" s="466">
        <v>61</v>
      </c>
      <c r="O19" s="497">
        <v>35</v>
      </c>
      <c r="P19" s="497">
        <v>2170</v>
      </c>
      <c r="Q19" s="471">
        <v>1.2266817410966648</v>
      </c>
      <c r="R19" s="498">
        <v>62</v>
      </c>
    </row>
    <row r="20" spans="1:18" ht="14.45" customHeight="1" x14ac:dyDescent="0.2">
      <c r="A20" s="465" t="s">
        <v>559</v>
      </c>
      <c r="B20" s="466" t="s">
        <v>560</v>
      </c>
      <c r="C20" s="466" t="s">
        <v>378</v>
      </c>
      <c r="D20" s="466" t="s">
        <v>569</v>
      </c>
      <c r="E20" s="466" t="s">
        <v>590</v>
      </c>
      <c r="F20" s="466" t="s">
        <v>591</v>
      </c>
      <c r="G20" s="497">
        <v>1469</v>
      </c>
      <c r="H20" s="497">
        <v>384878</v>
      </c>
      <c r="I20" s="466">
        <v>0.57971586424625099</v>
      </c>
      <c r="J20" s="466">
        <v>262</v>
      </c>
      <c r="K20" s="497">
        <v>2534</v>
      </c>
      <c r="L20" s="497">
        <v>663908</v>
      </c>
      <c r="M20" s="466">
        <v>1</v>
      </c>
      <c r="N20" s="466">
        <v>262</v>
      </c>
      <c r="O20" s="497">
        <v>5162</v>
      </c>
      <c r="P20" s="497">
        <v>1352444</v>
      </c>
      <c r="Q20" s="471">
        <v>2.0370955011838991</v>
      </c>
      <c r="R20" s="498">
        <v>262</v>
      </c>
    </row>
    <row r="21" spans="1:18" ht="14.45" customHeight="1" x14ac:dyDescent="0.2">
      <c r="A21" s="465" t="s">
        <v>559</v>
      </c>
      <c r="B21" s="466" t="s">
        <v>560</v>
      </c>
      <c r="C21" s="466" t="s">
        <v>378</v>
      </c>
      <c r="D21" s="466" t="s">
        <v>569</v>
      </c>
      <c r="E21" s="466" t="s">
        <v>592</v>
      </c>
      <c r="F21" s="466" t="s">
        <v>593</v>
      </c>
      <c r="G21" s="497">
        <v>350</v>
      </c>
      <c r="H21" s="497">
        <v>1255100</v>
      </c>
      <c r="I21" s="466">
        <v>0.49715909090909088</v>
      </c>
      <c r="J21" s="466">
        <v>3586</v>
      </c>
      <c r="K21" s="497">
        <v>704</v>
      </c>
      <c r="L21" s="497">
        <v>2524544</v>
      </c>
      <c r="M21" s="466">
        <v>1</v>
      </c>
      <c r="N21" s="466">
        <v>3586</v>
      </c>
      <c r="O21" s="497">
        <v>1041</v>
      </c>
      <c r="P21" s="497">
        <v>3733026</v>
      </c>
      <c r="Q21" s="471">
        <v>1.4786931818181819</v>
      </c>
      <c r="R21" s="498">
        <v>3586</v>
      </c>
    </row>
    <row r="22" spans="1:18" ht="14.45" customHeight="1" thickBot="1" x14ac:dyDescent="0.25">
      <c r="A22" s="473" t="s">
        <v>559</v>
      </c>
      <c r="B22" s="474" t="s">
        <v>560</v>
      </c>
      <c r="C22" s="474" t="s">
        <v>378</v>
      </c>
      <c r="D22" s="474" t="s">
        <v>569</v>
      </c>
      <c r="E22" s="474" t="s">
        <v>594</v>
      </c>
      <c r="F22" s="474" t="s">
        <v>593</v>
      </c>
      <c r="G22" s="489">
        <v>17</v>
      </c>
      <c r="H22" s="489">
        <v>88400</v>
      </c>
      <c r="I22" s="474">
        <v>0.4358974358974359</v>
      </c>
      <c r="J22" s="474">
        <v>5200</v>
      </c>
      <c r="K22" s="489">
        <v>39</v>
      </c>
      <c r="L22" s="489">
        <v>202800</v>
      </c>
      <c r="M22" s="474">
        <v>1</v>
      </c>
      <c r="N22" s="474">
        <v>5200</v>
      </c>
      <c r="O22" s="489">
        <v>87</v>
      </c>
      <c r="P22" s="489">
        <v>452400</v>
      </c>
      <c r="Q22" s="479">
        <v>2.2307692307692308</v>
      </c>
      <c r="R22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E64291D-EBD8-4D7E-BFC4-9AAEDBE1BC35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05" t="s">
        <v>596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2" t="s">
        <v>235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124</v>
      </c>
      <c r="H3" s="102">
        <f t="shared" ref="H3:Q3" si="0">SUBTOTAL(9,H6:H1048576)</f>
        <v>2363</v>
      </c>
      <c r="I3" s="103">
        <f t="shared" si="0"/>
        <v>1809336.35</v>
      </c>
      <c r="J3" s="74"/>
      <c r="K3" s="74"/>
      <c r="L3" s="103">
        <f t="shared" si="0"/>
        <v>4342</v>
      </c>
      <c r="M3" s="103">
        <f t="shared" si="0"/>
        <v>3600889.67</v>
      </c>
      <c r="N3" s="74"/>
      <c r="O3" s="74"/>
      <c r="P3" s="103">
        <f t="shared" si="0"/>
        <v>7824.1</v>
      </c>
      <c r="Q3" s="103">
        <f t="shared" si="0"/>
        <v>5815685.9799999995</v>
      </c>
      <c r="R3" s="75">
        <f>IF(M3=0,0,Q3/M3)</f>
        <v>1.6150691948303986</v>
      </c>
      <c r="S3" s="104">
        <f>IF(P3=0,0,Q3/P3)</f>
        <v>743.30414744187817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5" t="s">
        <v>131</v>
      </c>
      <c r="E4" s="416" t="s">
        <v>94</v>
      </c>
      <c r="F4" s="421" t="s">
        <v>69</v>
      </c>
      <c r="G4" s="417" t="s">
        <v>68</v>
      </c>
      <c r="H4" s="418">
        <v>2018</v>
      </c>
      <c r="I4" s="419"/>
      <c r="J4" s="101"/>
      <c r="K4" s="101"/>
      <c r="L4" s="418">
        <v>2019</v>
      </c>
      <c r="M4" s="419"/>
      <c r="N4" s="101"/>
      <c r="O4" s="101"/>
      <c r="P4" s="418">
        <v>2020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9"/>
      <c r="B5" s="539"/>
      <c r="C5" s="540"/>
      <c r="D5" s="549"/>
      <c r="E5" s="541"/>
      <c r="F5" s="542"/>
      <c r="G5" s="543"/>
      <c r="H5" s="544" t="s">
        <v>70</v>
      </c>
      <c r="I5" s="545" t="s">
        <v>13</v>
      </c>
      <c r="J5" s="546"/>
      <c r="K5" s="546"/>
      <c r="L5" s="544" t="s">
        <v>70</v>
      </c>
      <c r="M5" s="545" t="s">
        <v>13</v>
      </c>
      <c r="N5" s="546"/>
      <c r="O5" s="546"/>
      <c r="P5" s="544" t="s">
        <v>70</v>
      </c>
      <c r="Q5" s="545" t="s">
        <v>13</v>
      </c>
      <c r="R5" s="547"/>
      <c r="S5" s="548"/>
    </row>
    <row r="6" spans="1:19" ht="14.45" customHeight="1" x14ac:dyDescent="0.2">
      <c r="A6" s="458" t="s">
        <v>559</v>
      </c>
      <c r="B6" s="459" t="s">
        <v>560</v>
      </c>
      <c r="C6" s="459" t="s">
        <v>378</v>
      </c>
      <c r="D6" s="459" t="s">
        <v>547</v>
      </c>
      <c r="E6" s="459" t="s">
        <v>561</v>
      </c>
      <c r="F6" s="459" t="s">
        <v>567</v>
      </c>
      <c r="G6" s="459" t="s">
        <v>568</v>
      </c>
      <c r="H6" s="116"/>
      <c r="I6" s="116"/>
      <c r="J6" s="459"/>
      <c r="K6" s="459"/>
      <c r="L6" s="116">
        <v>0</v>
      </c>
      <c r="M6" s="116">
        <v>0</v>
      </c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559</v>
      </c>
      <c r="B7" s="466" t="s">
        <v>560</v>
      </c>
      <c r="C7" s="466" t="s">
        <v>378</v>
      </c>
      <c r="D7" s="466" t="s">
        <v>547</v>
      </c>
      <c r="E7" s="466" t="s">
        <v>569</v>
      </c>
      <c r="F7" s="466" t="s">
        <v>574</v>
      </c>
      <c r="G7" s="466" t="s">
        <v>575</v>
      </c>
      <c r="H7" s="497"/>
      <c r="I7" s="497"/>
      <c r="J7" s="466"/>
      <c r="K7" s="466"/>
      <c r="L7" s="497">
        <v>0</v>
      </c>
      <c r="M7" s="497">
        <v>0</v>
      </c>
      <c r="N7" s="466"/>
      <c r="O7" s="466"/>
      <c r="P7" s="497"/>
      <c r="Q7" s="497"/>
      <c r="R7" s="471"/>
      <c r="S7" s="498"/>
    </row>
    <row r="8" spans="1:19" ht="14.45" customHeight="1" x14ac:dyDescent="0.2">
      <c r="A8" s="465" t="s">
        <v>559</v>
      </c>
      <c r="B8" s="466" t="s">
        <v>560</v>
      </c>
      <c r="C8" s="466" t="s">
        <v>378</v>
      </c>
      <c r="D8" s="466" t="s">
        <v>547</v>
      </c>
      <c r="E8" s="466" t="s">
        <v>569</v>
      </c>
      <c r="F8" s="466" t="s">
        <v>580</v>
      </c>
      <c r="G8" s="466" t="s">
        <v>581</v>
      </c>
      <c r="H8" s="497">
        <v>17</v>
      </c>
      <c r="I8" s="497">
        <v>629</v>
      </c>
      <c r="J8" s="466">
        <v>0.50159489633173848</v>
      </c>
      <c r="K8" s="466">
        <v>37</v>
      </c>
      <c r="L8" s="497">
        <v>33</v>
      </c>
      <c r="M8" s="497">
        <v>1254</v>
      </c>
      <c r="N8" s="466">
        <v>1</v>
      </c>
      <c r="O8" s="466">
        <v>38</v>
      </c>
      <c r="P8" s="497">
        <v>58</v>
      </c>
      <c r="Q8" s="497">
        <v>2204</v>
      </c>
      <c r="R8" s="471">
        <v>1.7575757575757576</v>
      </c>
      <c r="S8" s="498">
        <v>38</v>
      </c>
    </row>
    <row r="9" spans="1:19" ht="14.45" customHeight="1" x14ac:dyDescent="0.2">
      <c r="A9" s="465" t="s">
        <v>559</v>
      </c>
      <c r="B9" s="466" t="s">
        <v>560</v>
      </c>
      <c r="C9" s="466" t="s">
        <v>378</v>
      </c>
      <c r="D9" s="466" t="s">
        <v>547</v>
      </c>
      <c r="E9" s="466" t="s">
        <v>569</v>
      </c>
      <c r="F9" s="466" t="s">
        <v>582</v>
      </c>
      <c r="G9" s="466" t="s">
        <v>583</v>
      </c>
      <c r="H9" s="497"/>
      <c r="I9" s="497"/>
      <c r="J9" s="466"/>
      <c r="K9" s="466"/>
      <c r="L9" s="497">
        <v>7</v>
      </c>
      <c r="M9" s="497">
        <v>938</v>
      </c>
      <c r="N9" s="466">
        <v>1</v>
      </c>
      <c r="O9" s="466">
        <v>134</v>
      </c>
      <c r="P9" s="497">
        <v>13</v>
      </c>
      <c r="Q9" s="497">
        <v>1755</v>
      </c>
      <c r="R9" s="471">
        <v>1.8710021321961621</v>
      </c>
      <c r="S9" s="498">
        <v>135</v>
      </c>
    </row>
    <row r="10" spans="1:19" ht="14.45" customHeight="1" x14ac:dyDescent="0.2">
      <c r="A10" s="465" t="s">
        <v>559</v>
      </c>
      <c r="B10" s="466" t="s">
        <v>560</v>
      </c>
      <c r="C10" s="466" t="s">
        <v>378</v>
      </c>
      <c r="D10" s="466" t="s">
        <v>547</v>
      </c>
      <c r="E10" s="466" t="s">
        <v>569</v>
      </c>
      <c r="F10" s="466" t="s">
        <v>588</v>
      </c>
      <c r="G10" s="466" t="s">
        <v>589</v>
      </c>
      <c r="H10" s="497">
        <v>2</v>
      </c>
      <c r="I10" s="497">
        <v>118</v>
      </c>
      <c r="J10" s="466">
        <v>7.7377049180327867E-2</v>
      </c>
      <c r="K10" s="466">
        <v>59</v>
      </c>
      <c r="L10" s="497">
        <v>25</v>
      </c>
      <c r="M10" s="497">
        <v>1525</v>
      </c>
      <c r="N10" s="466">
        <v>1</v>
      </c>
      <c r="O10" s="466">
        <v>61</v>
      </c>
      <c r="P10" s="497">
        <v>35</v>
      </c>
      <c r="Q10" s="497">
        <v>2170</v>
      </c>
      <c r="R10" s="471">
        <v>1.4229508196721312</v>
      </c>
      <c r="S10" s="498">
        <v>62</v>
      </c>
    </row>
    <row r="11" spans="1:19" ht="14.45" customHeight="1" x14ac:dyDescent="0.2">
      <c r="A11" s="465" t="s">
        <v>559</v>
      </c>
      <c r="B11" s="466" t="s">
        <v>560</v>
      </c>
      <c r="C11" s="466" t="s">
        <v>378</v>
      </c>
      <c r="D11" s="466" t="s">
        <v>547</v>
      </c>
      <c r="E11" s="466" t="s">
        <v>569</v>
      </c>
      <c r="F11" s="466" t="s">
        <v>592</v>
      </c>
      <c r="G11" s="466" t="s">
        <v>593</v>
      </c>
      <c r="H11" s="497"/>
      <c r="I11" s="497"/>
      <c r="J11" s="466"/>
      <c r="K11" s="466"/>
      <c r="L11" s="497"/>
      <c r="M11" s="497"/>
      <c r="N11" s="466"/>
      <c r="O11" s="466"/>
      <c r="P11" s="497">
        <v>5</v>
      </c>
      <c r="Q11" s="497">
        <v>17930</v>
      </c>
      <c r="R11" s="471"/>
      <c r="S11" s="498">
        <v>3586</v>
      </c>
    </row>
    <row r="12" spans="1:19" ht="14.45" customHeight="1" x14ac:dyDescent="0.2">
      <c r="A12" s="465" t="s">
        <v>559</v>
      </c>
      <c r="B12" s="466" t="s">
        <v>560</v>
      </c>
      <c r="C12" s="466" t="s">
        <v>378</v>
      </c>
      <c r="D12" s="466" t="s">
        <v>549</v>
      </c>
      <c r="E12" s="466" t="s">
        <v>569</v>
      </c>
      <c r="F12" s="466" t="s">
        <v>580</v>
      </c>
      <c r="G12" s="466" t="s">
        <v>581</v>
      </c>
      <c r="H12" s="497">
        <v>13</v>
      </c>
      <c r="I12" s="497">
        <v>481</v>
      </c>
      <c r="J12" s="466"/>
      <c r="K12" s="466">
        <v>37</v>
      </c>
      <c r="L12" s="497"/>
      <c r="M12" s="497"/>
      <c r="N12" s="466"/>
      <c r="O12" s="466"/>
      <c r="P12" s="497"/>
      <c r="Q12" s="497"/>
      <c r="R12" s="471"/>
      <c r="S12" s="498"/>
    </row>
    <row r="13" spans="1:19" ht="14.45" customHeight="1" x14ac:dyDescent="0.2">
      <c r="A13" s="465" t="s">
        <v>559</v>
      </c>
      <c r="B13" s="466" t="s">
        <v>560</v>
      </c>
      <c r="C13" s="466" t="s">
        <v>378</v>
      </c>
      <c r="D13" s="466" t="s">
        <v>549</v>
      </c>
      <c r="E13" s="466" t="s">
        <v>569</v>
      </c>
      <c r="F13" s="466" t="s">
        <v>588</v>
      </c>
      <c r="G13" s="466" t="s">
        <v>589</v>
      </c>
      <c r="H13" s="497">
        <v>2</v>
      </c>
      <c r="I13" s="497">
        <v>118</v>
      </c>
      <c r="J13" s="466"/>
      <c r="K13" s="466">
        <v>59</v>
      </c>
      <c r="L13" s="497"/>
      <c r="M13" s="497"/>
      <c r="N13" s="466"/>
      <c r="O13" s="466"/>
      <c r="P13" s="497"/>
      <c r="Q13" s="497"/>
      <c r="R13" s="471"/>
      <c r="S13" s="498"/>
    </row>
    <row r="14" spans="1:19" ht="14.45" customHeight="1" x14ac:dyDescent="0.2">
      <c r="A14" s="465" t="s">
        <v>559</v>
      </c>
      <c r="B14" s="466" t="s">
        <v>560</v>
      </c>
      <c r="C14" s="466" t="s">
        <v>378</v>
      </c>
      <c r="D14" s="466" t="s">
        <v>550</v>
      </c>
      <c r="E14" s="466" t="s">
        <v>569</v>
      </c>
      <c r="F14" s="466" t="s">
        <v>572</v>
      </c>
      <c r="G14" s="466" t="s">
        <v>573</v>
      </c>
      <c r="H14" s="497"/>
      <c r="I14" s="497"/>
      <c r="J14" s="466"/>
      <c r="K14" s="466"/>
      <c r="L14" s="497">
        <v>74</v>
      </c>
      <c r="M14" s="497">
        <v>2812</v>
      </c>
      <c r="N14" s="466">
        <v>1</v>
      </c>
      <c r="O14" s="466">
        <v>38</v>
      </c>
      <c r="P14" s="497">
        <v>39</v>
      </c>
      <c r="Q14" s="497">
        <v>1482</v>
      </c>
      <c r="R14" s="471">
        <v>0.52702702702702697</v>
      </c>
      <c r="S14" s="498">
        <v>38</v>
      </c>
    </row>
    <row r="15" spans="1:19" ht="14.45" customHeight="1" x14ac:dyDescent="0.2">
      <c r="A15" s="465" t="s">
        <v>559</v>
      </c>
      <c r="B15" s="466" t="s">
        <v>560</v>
      </c>
      <c r="C15" s="466" t="s">
        <v>378</v>
      </c>
      <c r="D15" s="466" t="s">
        <v>550</v>
      </c>
      <c r="E15" s="466" t="s">
        <v>569</v>
      </c>
      <c r="F15" s="466" t="s">
        <v>576</v>
      </c>
      <c r="G15" s="466" t="s">
        <v>577</v>
      </c>
      <c r="H15" s="497"/>
      <c r="I15" s="497"/>
      <c r="J15" s="466"/>
      <c r="K15" s="466"/>
      <c r="L15" s="497">
        <v>141</v>
      </c>
      <c r="M15" s="497">
        <v>66834</v>
      </c>
      <c r="N15" s="466">
        <v>1</v>
      </c>
      <c r="O15" s="466">
        <v>474</v>
      </c>
      <c r="P15" s="497">
        <v>125</v>
      </c>
      <c r="Q15" s="497">
        <v>59625</v>
      </c>
      <c r="R15" s="471">
        <v>0.89213573929437118</v>
      </c>
      <c r="S15" s="498">
        <v>477</v>
      </c>
    </row>
    <row r="16" spans="1:19" ht="14.45" customHeight="1" x14ac:dyDescent="0.2">
      <c r="A16" s="465" t="s">
        <v>559</v>
      </c>
      <c r="B16" s="466" t="s">
        <v>560</v>
      </c>
      <c r="C16" s="466" t="s">
        <v>378</v>
      </c>
      <c r="D16" s="466" t="s">
        <v>550</v>
      </c>
      <c r="E16" s="466" t="s">
        <v>569</v>
      </c>
      <c r="F16" s="466" t="s">
        <v>578</v>
      </c>
      <c r="G16" s="466" t="s">
        <v>579</v>
      </c>
      <c r="H16" s="497"/>
      <c r="I16" s="497"/>
      <c r="J16" s="466"/>
      <c r="K16" s="466"/>
      <c r="L16" s="497">
        <v>114</v>
      </c>
      <c r="M16" s="497">
        <v>3800</v>
      </c>
      <c r="N16" s="466">
        <v>1</v>
      </c>
      <c r="O16" s="466">
        <v>33.333333333333336</v>
      </c>
      <c r="P16" s="497">
        <v>130</v>
      </c>
      <c r="Q16" s="497">
        <v>4895.55</v>
      </c>
      <c r="R16" s="471">
        <v>1.2883026315789474</v>
      </c>
      <c r="S16" s="498">
        <v>37.658076923076926</v>
      </c>
    </row>
    <row r="17" spans="1:19" ht="14.45" customHeight="1" x14ac:dyDescent="0.2">
      <c r="A17" s="465" t="s">
        <v>559</v>
      </c>
      <c r="B17" s="466" t="s">
        <v>560</v>
      </c>
      <c r="C17" s="466" t="s">
        <v>378</v>
      </c>
      <c r="D17" s="466" t="s">
        <v>550</v>
      </c>
      <c r="E17" s="466" t="s">
        <v>569</v>
      </c>
      <c r="F17" s="466" t="s">
        <v>580</v>
      </c>
      <c r="G17" s="466" t="s">
        <v>581</v>
      </c>
      <c r="H17" s="497"/>
      <c r="I17" s="497"/>
      <c r="J17" s="466"/>
      <c r="K17" s="466"/>
      <c r="L17" s="497">
        <v>4</v>
      </c>
      <c r="M17" s="497">
        <v>152</v>
      </c>
      <c r="N17" s="466">
        <v>1</v>
      </c>
      <c r="O17" s="466">
        <v>38</v>
      </c>
      <c r="P17" s="497">
        <v>1</v>
      </c>
      <c r="Q17" s="497">
        <v>38</v>
      </c>
      <c r="R17" s="471">
        <v>0.25</v>
      </c>
      <c r="S17" s="498">
        <v>38</v>
      </c>
    </row>
    <row r="18" spans="1:19" ht="14.45" customHeight="1" x14ac:dyDescent="0.2">
      <c r="A18" s="465" t="s">
        <v>559</v>
      </c>
      <c r="B18" s="466" t="s">
        <v>560</v>
      </c>
      <c r="C18" s="466" t="s">
        <v>378</v>
      </c>
      <c r="D18" s="466" t="s">
        <v>550</v>
      </c>
      <c r="E18" s="466" t="s">
        <v>569</v>
      </c>
      <c r="F18" s="466" t="s">
        <v>584</v>
      </c>
      <c r="G18" s="466" t="s">
        <v>585</v>
      </c>
      <c r="H18" s="497"/>
      <c r="I18" s="497"/>
      <c r="J18" s="466"/>
      <c r="K18" s="466"/>
      <c r="L18" s="497">
        <v>3</v>
      </c>
      <c r="M18" s="497">
        <v>711</v>
      </c>
      <c r="N18" s="466">
        <v>1</v>
      </c>
      <c r="O18" s="466">
        <v>237</v>
      </c>
      <c r="P18" s="497">
        <v>5</v>
      </c>
      <c r="Q18" s="497">
        <v>1195</v>
      </c>
      <c r="R18" s="471">
        <v>1.680731364275668</v>
      </c>
      <c r="S18" s="498">
        <v>239</v>
      </c>
    </row>
    <row r="19" spans="1:19" ht="14.45" customHeight="1" x14ac:dyDescent="0.2">
      <c r="A19" s="465" t="s">
        <v>559</v>
      </c>
      <c r="B19" s="466" t="s">
        <v>560</v>
      </c>
      <c r="C19" s="466" t="s">
        <v>378</v>
      </c>
      <c r="D19" s="466" t="s">
        <v>550</v>
      </c>
      <c r="E19" s="466" t="s">
        <v>569</v>
      </c>
      <c r="F19" s="466" t="s">
        <v>588</v>
      </c>
      <c r="G19" s="466" t="s">
        <v>589</v>
      </c>
      <c r="H19" s="497"/>
      <c r="I19" s="497"/>
      <c r="J19" s="466"/>
      <c r="K19" s="466"/>
      <c r="L19" s="497">
        <v>1</v>
      </c>
      <c r="M19" s="497">
        <v>61</v>
      </c>
      <c r="N19" s="466">
        <v>1</v>
      </c>
      <c r="O19" s="466">
        <v>61</v>
      </c>
      <c r="P19" s="497"/>
      <c r="Q19" s="497"/>
      <c r="R19" s="471"/>
      <c r="S19" s="498"/>
    </row>
    <row r="20" spans="1:19" ht="14.45" customHeight="1" x14ac:dyDescent="0.2">
      <c r="A20" s="465" t="s">
        <v>559</v>
      </c>
      <c r="B20" s="466" t="s">
        <v>560</v>
      </c>
      <c r="C20" s="466" t="s">
        <v>378</v>
      </c>
      <c r="D20" s="466" t="s">
        <v>552</v>
      </c>
      <c r="E20" s="466" t="s">
        <v>561</v>
      </c>
      <c r="F20" s="466" t="s">
        <v>562</v>
      </c>
      <c r="G20" s="466"/>
      <c r="H20" s="497"/>
      <c r="I20" s="497"/>
      <c r="J20" s="466"/>
      <c r="K20" s="466"/>
      <c r="L20" s="497">
        <v>1</v>
      </c>
      <c r="M20" s="497">
        <v>2.44</v>
      </c>
      <c r="N20" s="466">
        <v>1</v>
      </c>
      <c r="O20" s="466">
        <v>2.44</v>
      </c>
      <c r="P20" s="497"/>
      <c r="Q20" s="497"/>
      <c r="R20" s="471"/>
      <c r="S20" s="498"/>
    </row>
    <row r="21" spans="1:19" ht="14.45" customHeight="1" x14ac:dyDescent="0.2">
      <c r="A21" s="465" t="s">
        <v>559</v>
      </c>
      <c r="B21" s="466" t="s">
        <v>560</v>
      </c>
      <c r="C21" s="466" t="s">
        <v>378</v>
      </c>
      <c r="D21" s="466" t="s">
        <v>552</v>
      </c>
      <c r="E21" s="466" t="s">
        <v>561</v>
      </c>
      <c r="F21" s="466" t="s">
        <v>563</v>
      </c>
      <c r="G21" s="466" t="s">
        <v>564</v>
      </c>
      <c r="H21" s="497"/>
      <c r="I21" s="497"/>
      <c r="J21" s="466"/>
      <c r="K21" s="466"/>
      <c r="L21" s="497">
        <v>1</v>
      </c>
      <c r="M21" s="497">
        <v>1118.9000000000001</v>
      </c>
      <c r="N21" s="466">
        <v>1</v>
      </c>
      <c r="O21" s="466">
        <v>1118.9000000000001</v>
      </c>
      <c r="P21" s="497"/>
      <c r="Q21" s="497"/>
      <c r="R21" s="471"/>
      <c r="S21" s="498"/>
    </row>
    <row r="22" spans="1:19" ht="14.45" customHeight="1" x14ac:dyDescent="0.2">
      <c r="A22" s="465" t="s">
        <v>559</v>
      </c>
      <c r="B22" s="466" t="s">
        <v>560</v>
      </c>
      <c r="C22" s="466" t="s">
        <v>378</v>
      </c>
      <c r="D22" s="466" t="s">
        <v>552</v>
      </c>
      <c r="E22" s="466" t="s">
        <v>569</v>
      </c>
      <c r="F22" s="466" t="s">
        <v>570</v>
      </c>
      <c r="G22" s="466" t="s">
        <v>571</v>
      </c>
      <c r="H22" s="497"/>
      <c r="I22" s="497"/>
      <c r="J22" s="466"/>
      <c r="K22" s="466"/>
      <c r="L22" s="497">
        <v>1</v>
      </c>
      <c r="M22" s="497">
        <v>151</v>
      </c>
      <c r="N22" s="466">
        <v>1</v>
      </c>
      <c r="O22" s="466">
        <v>151</v>
      </c>
      <c r="P22" s="497"/>
      <c r="Q22" s="497"/>
      <c r="R22" s="471"/>
      <c r="S22" s="498"/>
    </row>
    <row r="23" spans="1:19" ht="14.45" customHeight="1" x14ac:dyDescent="0.2">
      <c r="A23" s="465" t="s">
        <v>559</v>
      </c>
      <c r="B23" s="466" t="s">
        <v>560</v>
      </c>
      <c r="C23" s="466" t="s">
        <v>378</v>
      </c>
      <c r="D23" s="466" t="s">
        <v>552</v>
      </c>
      <c r="E23" s="466" t="s">
        <v>569</v>
      </c>
      <c r="F23" s="466" t="s">
        <v>580</v>
      </c>
      <c r="G23" s="466" t="s">
        <v>581</v>
      </c>
      <c r="H23" s="497">
        <v>4</v>
      </c>
      <c r="I23" s="497">
        <v>148</v>
      </c>
      <c r="J23" s="466"/>
      <c r="K23" s="466">
        <v>37</v>
      </c>
      <c r="L23" s="497"/>
      <c r="M23" s="497"/>
      <c r="N23" s="466"/>
      <c r="O23" s="466"/>
      <c r="P23" s="497"/>
      <c r="Q23" s="497"/>
      <c r="R23" s="471"/>
      <c r="S23" s="498"/>
    </row>
    <row r="24" spans="1:19" ht="14.45" customHeight="1" x14ac:dyDescent="0.2">
      <c r="A24" s="465" t="s">
        <v>559</v>
      </c>
      <c r="B24" s="466" t="s">
        <v>560</v>
      </c>
      <c r="C24" s="466" t="s">
        <v>378</v>
      </c>
      <c r="D24" s="466" t="s">
        <v>552</v>
      </c>
      <c r="E24" s="466" t="s">
        <v>569</v>
      </c>
      <c r="F24" s="466" t="s">
        <v>594</v>
      </c>
      <c r="G24" s="466" t="s">
        <v>593</v>
      </c>
      <c r="H24" s="497">
        <v>4</v>
      </c>
      <c r="I24" s="497">
        <v>20800</v>
      </c>
      <c r="J24" s="466"/>
      <c r="K24" s="466">
        <v>5200</v>
      </c>
      <c r="L24" s="497"/>
      <c r="M24" s="497"/>
      <c r="N24" s="466"/>
      <c r="O24" s="466"/>
      <c r="P24" s="497"/>
      <c r="Q24" s="497"/>
      <c r="R24" s="471"/>
      <c r="S24" s="498"/>
    </row>
    <row r="25" spans="1:19" ht="14.45" customHeight="1" x14ac:dyDescent="0.2">
      <c r="A25" s="465" t="s">
        <v>559</v>
      </c>
      <c r="B25" s="466" t="s">
        <v>560</v>
      </c>
      <c r="C25" s="466" t="s">
        <v>378</v>
      </c>
      <c r="D25" s="466" t="s">
        <v>553</v>
      </c>
      <c r="E25" s="466" t="s">
        <v>569</v>
      </c>
      <c r="F25" s="466" t="s">
        <v>588</v>
      </c>
      <c r="G25" s="466" t="s">
        <v>589</v>
      </c>
      <c r="H25" s="497"/>
      <c r="I25" s="497"/>
      <c r="J25" s="466"/>
      <c r="K25" s="466"/>
      <c r="L25" s="497">
        <v>1</v>
      </c>
      <c r="M25" s="497">
        <v>61</v>
      </c>
      <c r="N25" s="466">
        <v>1</v>
      </c>
      <c r="O25" s="466">
        <v>61</v>
      </c>
      <c r="P25" s="497"/>
      <c r="Q25" s="497"/>
      <c r="R25" s="471"/>
      <c r="S25" s="498"/>
    </row>
    <row r="26" spans="1:19" ht="14.45" customHeight="1" x14ac:dyDescent="0.2">
      <c r="A26" s="465" t="s">
        <v>559</v>
      </c>
      <c r="B26" s="466" t="s">
        <v>560</v>
      </c>
      <c r="C26" s="466" t="s">
        <v>378</v>
      </c>
      <c r="D26" s="466" t="s">
        <v>555</v>
      </c>
      <c r="E26" s="466" t="s">
        <v>569</v>
      </c>
      <c r="F26" s="466" t="s">
        <v>580</v>
      </c>
      <c r="G26" s="466" t="s">
        <v>581</v>
      </c>
      <c r="H26" s="497"/>
      <c r="I26" s="497"/>
      <c r="J26" s="466"/>
      <c r="K26" s="466"/>
      <c r="L26" s="497">
        <v>1</v>
      </c>
      <c r="M26" s="497">
        <v>38</v>
      </c>
      <c r="N26" s="466">
        <v>1</v>
      </c>
      <c r="O26" s="466">
        <v>38</v>
      </c>
      <c r="P26" s="497"/>
      <c r="Q26" s="497"/>
      <c r="R26" s="471"/>
      <c r="S26" s="498"/>
    </row>
    <row r="27" spans="1:19" ht="14.45" customHeight="1" x14ac:dyDescent="0.2">
      <c r="A27" s="465" t="s">
        <v>559</v>
      </c>
      <c r="B27" s="466" t="s">
        <v>560</v>
      </c>
      <c r="C27" s="466" t="s">
        <v>378</v>
      </c>
      <c r="D27" s="466" t="s">
        <v>556</v>
      </c>
      <c r="E27" s="466" t="s">
        <v>569</v>
      </c>
      <c r="F27" s="466" t="s">
        <v>572</v>
      </c>
      <c r="G27" s="466" t="s">
        <v>573</v>
      </c>
      <c r="H27" s="497">
        <v>213</v>
      </c>
      <c r="I27" s="497">
        <v>7881</v>
      </c>
      <c r="J27" s="466">
        <v>1.1458272753707472</v>
      </c>
      <c r="K27" s="466">
        <v>37</v>
      </c>
      <c r="L27" s="497">
        <v>181</v>
      </c>
      <c r="M27" s="497">
        <v>6878</v>
      </c>
      <c r="N27" s="466">
        <v>1</v>
      </c>
      <c r="O27" s="466">
        <v>38</v>
      </c>
      <c r="P27" s="497">
        <v>380</v>
      </c>
      <c r="Q27" s="497">
        <v>14440</v>
      </c>
      <c r="R27" s="471">
        <v>2.0994475138121547</v>
      </c>
      <c r="S27" s="498">
        <v>38</v>
      </c>
    </row>
    <row r="28" spans="1:19" ht="14.45" customHeight="1" x14ac:dyDescent="0.2">
      <c r="A28" s="465" t="s">
        <v>559</v>
      </c>
      <c r="B28" s="466" t="s">
        <v>560</v>
      </c>
      <c r="C28" s="466" t="s">
        <v>378</v>
      </c>
      <c r="D28" s="466" t="s">
        <v>556</v>
      </c>
      <c r="E28" s="466" t="s">
        <v>569</v>
      </c>
      <c r="F28" s="466" t="s">
        <v>576</v>
      </c>
      <c r="G28" s="466" t="s">
        <v>577</v>
      </c>
      <c r="H28" s="497">
        <v>130</v>
      </c>
      <c r="I28" s="497">
        <v>61230</v>
      </c>
      <c r="J28" s="466">
        <v>0.54276140836081266</v>
      </c>
      <c r="K28" s="466">
        <v>471</v>
      </c>
      <c r="L28" s="497">
        <v>238</v>
      </c>
      <c r="M28" s="497">
        <v>112812</v>
      </c>
      <c r="N28" s="466">
        <v>1</v>
      </c>
      <c r="O28" s="466">
        <v>474</v>
      </c>
      <c r="P28" s="497">
        <v>360</v>
      </c>
      <c r="Q28" s="497">
        <v>171720</v>
      </c>
      <c r="R28" s="471">
        <v>1.5221784916498244</v>
      </c>
      <c r="S28" s="498">
        <v>477</v>
      </c>
    </row>
    <row r="29" spans="1:19" ht="14.45" customHeight="1" x14ac:dyDescent="0.2">
      <c r="A29" s="465" t="s">
        <v>559</v>
      </c>
      <c r="B29" s="466" t="s">
        <v>560</v>
      </c>
      <c r="C29" s="466" t="s">
        <v>378</v>
      </c>
      <c r="D29" s="466" t="s">
        <v>556</v>
      </c>
      <c r="E29" s="466" t="s">
        <v>569</v>
      </c>
      <c r="F29" s="466" t="s">
        <v>578</v>
      </c>
      <c r="G29" s="466" t="s">
        <v>579</v>
      </c>
      <c r="H29" s="497">
        <v>115</v>
      </c>
      <c r="I29" s="497">
        <v>3833.3500000000004</v>
      </c>
      <c r="J29" s="466">
        <v>0.52272978305899231</v>
      </c>
      <c r="K29" s="466">
        <v>33.333478260869569</v>
      </c>
      <c r="L29" s="497">
        <v>220</v>
      </c>
      <c r="M29" s="497">
        <v>7333.33</v>
      </c>
      <c r="N29" s="466">
        <v>1</v>
      </c>
      <c r="O29" s="466">
        <v>33.333318181818179</v>
      </c>
      <c r="P29" s="497">
        <v>367</v>
      </c>
      <c r="Q29" s="497">
        <v>14298.89</v>
      </c>
      <c r="R29" s="471">
        <v>1.9498495226588739</v>
      </c>
      <c r="S29" s="498">
        <v>38.961553133514983</v>
      </c>
    </row>
    <row r="30" spans="1:19" ht="14.45" customHeight="1" x14ac:dyDescent="0.2">
      <c r="A30" s="465" t="s">
        <v>559</v>
      </c>
      <c r="B30" s="466" t="s">
        <v>560</v>
      </c>
      <c r="C30" s="466" t="s">
        <v>378</v>
      </c>
      <c r="D30" s="466" t="s">
        <v>556</v>
      </c>
      <c r="E30" s="466" t="s">
        <v>569</v>
      </c>
      <c r="F30" s="466" t="s">
        <v>580</v>
      </c>
      <c r="G30" s="466" t="s">
        <v>581</v>
      </c>
      <c r="H30" s="497"/>
      <c r="I30" s="497"/>
      <c r="J30" s="466"/>
      <c r="K30" s="466"/>
      <c r="L30" s="497">
        <v>2</v>
      </c>
      <c r="M30" s="497">
        <v>76</v>
      </c>
      <c r="N30" s="466">
        <v>1</v>
      </c>
      <c r="O30" s="466">
        <v>38</v>
      </c>
      <c r="P30" s="497"/>
      <c r="Q30" s="497"/>
      <c r="R30" s="471"/>
      <c r="S30" s="498"/>
    </row>
    <row r="31" spans="1:19" ht="14.45" customHeight="1" x14ac:dyDescent="0.2">
      <c r="A31" s="465" t="s">
        <v>559</v>
      </c>
      <c r="B31" s="466" t="s">
        <v>560</v>
      </c>
      <c r="C31" s="466" t="s">
        <v>378</v>
      </c>
      <c r="D31" s="466" t="s">
        <v>556</v>
      </c>
      <c r="E31" s="466" t="s">
        <v>569</v>
      </c>
      <c r="F31" s="466" t="s">
        <v>584</v>
      </c>
      <c r="G31" s="466" t="s">
        <v>585</v>
      </c>
      <c r="H31" s="497">
        <v>27</v>
      </c>
      <c r="I31" s="497">
        <v>6372</v>
      </c>
      <c r="J31" s="466">
        <v>2.240506329113924</v>
      </c>
      <c r="K31" s="466">
        <v>236</v>
      </c>
      <c r="L31" s="497">
        <v>12</v>
      </c>
      <c r="M31" s="497">
        <v>2844</v>
      </c>
      <c r="N31" s="466">
        <v>1</v>
      </c>
      <c r="O31" s="466">
        <v>237</v>
      </c>
      <c r="P31" s="497">
        <v>14</v>
      </c>
      <c r="Q31" s="497">
        <v>3346</v>
      </c>
      <c r="R31" s="471">
        <v>1.1765119549929677</v>
      </c>
      <c r="S31" s="498">
        <v>239</v>
      </c>
    </row>
    <row r="32" spans="1:19" ht="14.45" customHeight="1" x14ac:dyDescent="0.2">
      <c r="A32" s="465" t="s">
        <v>559</v>
      </c>
      <c r="B32" s="466" t="s">
        <v>560</v>
      </c>
      <c r="C32" s="466" t="s">
        <v>378</v>
      </c>
      <c r="D32" s="466" t="s">
        <v>556</v>
      </c>
      <c r="E32" s="466" t="s">
        <v>569</v>
      </c>
      <c r="F32" s="466" t="s">
        <v>586</v>
      </c>
      <c r="G32" s="466" t="s">
        <v>587</v>
      </c>
      <c r="H32" s="497"/>
      <c r="I32" s="497"/>
      <c r="J32" s="466"/>
      <c r="K32" s="466"/>
      <c r="L32" s="497"/>
      <c r="M32" s="497"/>
      <c r="N32" s="466"/>
      <c r="O32" s="466"/>
      <c r="P32" s="497">
        <v>6</v>
      </c>
      <c r="Q32" s="497">
        <v>456</v>
      </c>
      <c r="R32" s="471"/>
      <c r="S32" s="498">
        <v>76</v>
      </c>
    </row>
    <row r="33" spans="1:19" ht="14.45" customHeight="1" x14ac:dyDescent="0.2">
      <c r="A33" s="465" t="s">
        <v>559</v>
      </c>
      <c r="B33" s="466" t="s">
        <v>560</v>
      </c>
      <c r="C33" s="466" t="s">
        <v>378</v>
      </c>
      <c r="D33" s="466" t="s">
        <v>556</v>
      </c>
      <c r="E33" s="466" t="s">
        <v>569</v>
      </c>
      <c r="F33" s="466" t="s">
        <v>588</v>
      </c>
      <c r="G33" s="466" t="s">
        <v>589</v>
      </c>
      <c r="H33" s="497"/>
      <c r="I33" s="497"/>
      <c r="J33" s="466"/>
      <c r="K33" s="466"/>
      <c r="L33" s="497">
        <v>2</v>
      </c>
      <c r="M33" s="497">
        <v>122</v>
      </c>
      <c r="N33" s="466">
        <v>1</v>
      </c>
      <c r="O33" s="466">
        <v>61</v>
      </c>
      <c r="P33" s="497"/>
      <c r="Q33" s="497"/>
      <c r="R33" s="471"/>
      <c r="S33" s="498"/>
    </row>
    <row r="34" spans="1:19" ht="14.45" customHeight="1" x14ac:dyDescent="0.2">
      <c r="A34" s="465" t="s">
        <v>559</v>
      </c>
      <c r="B34" s="466" t="s">
        <v>560</v>
      </c>
      <c r="C34" s="466" t="s">
        <v>378</v>
      </c>
      <c r="D34" s="466" t="s">
        <v>556</v>
      </c>
      <c r="E34" s="466" t="s">
        <v>569</v>
      </c>
      <c r="F34" s="466" t="s">
        <v>590</v>
      </c>
      <c r="G34" s="466" t="s">
        <v>591</v>
      </c>
      <c r="H34" s="497">
        <v>1469</v>
      </c>
      <c r="I34" s="497">
        <v>384878</v>
      </c>
      <c r="J34" s="466">
        <v>0.57971586424625099</v>
      </c>
      <c r="K34" s="466">
        <v>262</v>
      </c>
      <c r="L34" s="497">
        <v>2534</v>
      </c>
      <c r="M34" s="497">
        <v>663908</v>
      </c>
      <c r="N34" s="466">
        <v>1</v>
      </c>
      <c r="O34" s="466">
        <v>262</v>
      </c>
      <c r="P34" s="497">
        <v>5162</v>
      </c>
      <c r="Q34" s="497">
        <v>1352444</v>
      </c>
      <c r="R34" s="471">
        <v>2.0370955011838991</v>
      </c>
      <c r="S34" s="498">
        <v>262</v>
      </c>
    </row>
    <row r="35" spans="1:19" ht="14.45" customHeight="1" x14ac:dyDescent="0.2">
      <c r="A35" s="465" t="s">
        <v>559</v>
      </c>
      <c r="B35" s="466" t="s">
        <v>560</v>
      </c>
      <c r="C35" s="466" t="s">
        <v>378</v>
      </c>
      <c r="D35" s="466" t="s">
        <v>556</v>
      </c>
      <c r="E35" s="466" t="s">
        <v>569</v>
      </c>
      <c r="F35" s="466" t="s">
        <v>592</v>
      </c>
      <c r="G35" s="466" t="s">
        <v>593</v>
      </c>
      <c r="H35" s="497">
        <v>350</v>
      </c>
      <c r="I35" s="497">
        <v>1255100</v>
      </c>
      <c r="J35" s="466">
        <v>0.49715909090909088</v>
      </c>
      <c r="K35" s="466">
        <v>3586</v>
      </c>
      <c r="L35" s="497">
        <v>704</v>
      </c>
      <c r="M35" s="497">
        <v>2524544</v>
      </c>
      <c r="N35" s="466">
        <v>1</v>
      </c>
      <c r="O35" s="466">
        <v>3586</v>
      </c>
      <c r="P35" s="497">
        <v>1036</v>
      </c>
      <c r="Q35" s="497">
        <v>3715096</v>
      </c>
      <c r="R35" s="471">
        <v>1.4715909090909092</v>
      </c>
      <c r="S35" s="498">
        <v>3586</v>
      </c>
    </row>
    <row r="36" spans="1:19" ht="14.45" customHeight="1" x14ac:dyDescent="0.2">
      <c r="A36" s="465" t="s">
        <v>559</v>
      </c>
      <c r="B36" s="466" t="s">
        <v>560</v>
      </c>
      <c r="C36" s="466" t="s">
        <v>378</v>
      </c>
      <c r="D36" s="466" t="s">
        <v>556</v>
      </c>
      <c r="E36" s="466" t="s">
        <v>569</v>
      </c>
      <c r="F36" s="466" t="s">
        <v>594</v>
      </c>
      <c r="G36" s="466" t="s">
        <v>593</v>
      </c>
      <c r="H36" s="497">
        <v>13</v>
      </c>
      <c r="I36" s="497">
        <v>67600</v>
      </c>
      <c r="J36" s="466">
        <v>0.33333333333333331</v>
      </c>
      <c r="K36" s="466">
        <v>5200</v>
      </c>
      <c r="L36" s="497">
        <v>39</v>
      </c>
      <c r="M36" s="497">
        <v>202800</v>
      </c>
      <c r="N36" s="466">
        <v>1</v>
      </c>
      <c r="O36" s="466">
        <v>5200</v>
      </c>
      <c r="P36" s="497">
        <v>87</v>
      </c>
      <c r="Q36" s="497">
        <v>452400</v>
      </c>
      <c r="R36" s="471">
        <v>2.2307692307692308</v>
      </c>
      <c r="S36" s="498">
        <v>5200</v>
      </c>
    </row>
    <row r="37" spans="1:19" ht="14.45" customHeight="1" x14ac:dyDescent="0.2">
      <c r="A37" s="465" t="s">
        <v>559</v>
      </c>
      <c r="B37" s="466" t="s">
        <v>560</v>
      </c>
      <c r="C37" s="466" t="s">
        <v>378</v>
      </c>
      <c r="D37" s="466" t="s">
        <v>557</v>
      </c>
      <c r="E37" s="466" t="s">
        <v>569</v>
      </c>
      <c r="F37" s="466" t="s">
        <v>580</v>
      </c>
      <c r="G37" s="466" t="s">
        <v>581</v>
      </c>
      <c r="H37" s="497"/>
      <c r="I37" s="497"/>
      <c r="J37" s="466"/>
      <c r="K37" s="466"/>
      <c r="L37" s="497">
        <v>1</v>
      </c>
      <c r="M37" s="497">
        <v>38</v>
      </c>
      <c r="N37" s="466">
        <v>1</v>
      </c>
      <c r="O37" s="466">
        <v>38</v>
      </c>
      <c r="P37" s="497"/>
      <c r="Q37" s="497"/>
      <c r="R37" s="471"/>
      <c r="S37" s="498"/>
    </row>
    <row r="38" spans="1:19" ht="14.45" customHeight="1" x14ac:dyDescent="0.2">
      <c r="A38" s="465" t="s">
        <v>559</v>
      </c>
      <c r="B38" s="466" t="s">
        <v>560</v>
      </c>
      <c r="C38" s="466" t="s">
        <v>378</v>
      </c>
      <c r="D38" s="466" t="s">
        <v>548</v>
      </c>
      <c r="E38" s="466" t="s">
        <v>569</v>
      </c>
      <c r="F38" s="466" t="s">
        <v>580</v>
      </c>
      <c r="G38" s="466" t="s">
        <v>581</v>
      </c>
      <c r="H38" s="497"/>
      <c r="I38" s="497"/>
      <c r="J38" s="466"/>
      <c r="K38" s="466"/>
      <c r="L38" s="497">
        <v>1</v>
      </c>
      <c r="M38" s="497">
        <v>38</v>
      </c>
      <c r="N38" s="466">
        <v>1</v>
      </c>
      <c r="O38" s="466">
        <v>38</v>
      </c>
      <c r="P38" s="497"/>
      <c r="Q38" s="497"/>
      <c r="R38" s="471"/>
      <c r="S38" s="498"/>
    </row>
    <row r="39" spans="1:19" ht="14.45" customHeight="1" x14ac:dyDescent="0.2">
      <c r="A39" s="465" t="s">
        <v>559</v>
      </c>
      <c r="B39" s="466" t="s">
        <v>560</v>
      </c>
      <c r="C39" s="466" t="s">
        <v>378</v>
      </c>
      <c r="D39" s="466" t="s">
        <v>554</v>
      </c>
      <c r="E39" s="466" t="s">
        <v>569</v>
      </c>
      <c r="F39" s="466" t="s">
        <v>580</v>
      </c>
      <c r="G39" s="466" t="s">
        <v>581</v>
      </c>
      <c r="H39" s="497">
        <v>4</v>
      </c>
      <c r="I39" s="497">
        <v>148</v>
      </c>
      <c r="J39" s="466">
        <v>3.8947368421052633</v>
      </c>
      <c r="K39" s="466">
        <v>37</v>
      </c>
      <c r="L39" s="497">
        <v>1</v>
      </c>
      <c r="M39" s="497">
        <v>38</v>
      </c>
      <c r="N39" s="466">
        <v>1</v>
      </c>
      <c r="O39" s="466">
        <v>38</v>
      </c>
      <c r="P39" s="497"/>
      <c r="Q39" s="497"/>
      <c r="R39" s="471"/>
      <c r="S39" s="498"/>
    </row>
    <row r="40" spans="1:19" ht="14.45" customHeight="1" x14ac:dyDescent="0.2">
      <c r="A40" s="465" t="s">
        <v>559</v>
      </c>
      <c r="B40" s="466" t="s">
        <v>560</v>
      </c>
      <c r="C40" s="466" t="s">
        <v>378</v>
      </c>
      <c r="D40" s="466" t="s">
        <v>551</v>
      </c>
      <c r="E40" s="466" t="s">
        <v>561</v>
      </c>
      <c r="F40" s="466" t="s">
        <v>565</v>
      </c>
      <c r="G40" s="466" t="s">
        <v>566</v>
      </c>
      <c r="H40" s="497"/>
      <c r="I40" s="497"/>
      <c r="J40" s="466"/>
      <c r="K40" s="466"/>
      <c r="L40" s="497"/>
      <c r="M40" s="497"/>
      <c r="N40" s="466"/>
      <c r="O40" s="466"/>
      <c r="P40" s="497">
        <v>0.1</v>
      </c>
      <c r="Q40" s="497">
        <v>37.54</v>
      </c>
      <c r="R40" s="471"/>
      <c r="S40" s="498">
        <v>375.4</v>
      </c>
    </row>
    <row r="41" spans="1:19" ht="14.45" customHeight="1" thickBot="1" x14ac:dyDescent="0.25">
      <c r="A41" s="473" t="s">
        <v>559</v>
      </c>
      <c r="B41" s="474" t="s">
        <v>560</v>
      </c>
      <c r="C41" s="474" t="s">
        <v>378</v>
      </c>
      <c r="D41" s="474" t="s">
        <v>551</v>
      </c>
      <c r="E41" s="474" t="s">
        <v>569</v>
      </c>
      <c r="F41" s="474" t="s">
        <v>570</v>
      </c>
      <c r="G41" s="474" t="s">
        <v>571</v>
      </c>
      <c r="H41" s="489"/>
      <c r="I41" s="489"/>
      <c r="J41" s="474"/>
      <c r="K41" s="474"/>
      <c r="L41" s="489"/>
      <c r="M41" s="489"/>
      <c r="N41" s="474"/>
      <c r="O41" s="474"/>
      <c r="P41" s="489">
        <v>1</v>
      </c>
      <c r="Q41" s="489">
        <v>153</v>
      </c>
      <c r="R41" s="479"/>
      <c r="S41" s="490">
        <v>153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2D56831-1CE6-41A9-A4F3-94B0D1A2ACB2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2" t="s">
        <v>235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124</v>
      </c>
      <c r="B3" s="221">
        <f>SUBTOTAL(9,B6:B1048576)</f>
        <v>4049.33</v>
      </c>
      <c r="C3" s="222">
        <f t="shared" ref="C3:R3" si="0">SUBTOTAL(9,C6:C1048576)</f>
        <v>3.8255370497805461</v>
      </c>
      <c r="D3" s="222">
        <f t="shared" si="0"/>
        <v>20000</v>
      </c>
      <c r="E3" s="222">
        <f t="shared" si="0"/>
        <v>8</v>
      </c>
      <c r="F3" s="222">
        <f t="shared" si="0"/>
        <v>21095</v>
      </c>
      <c r="G3" s="225">
        <f>IF(D3&lt;&gt;0,F3/D3,"")</f>
        <v>1.0547500000000001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7"/>
      <c r="B5" s="518">
        <v>2018</v>
      </c>
      <c r="C5" s="519"/>
      <c r="D5" s="519">
        <v>2019</v>
      </c>
      <c r="E5" s="519"/>
      <c r="F5" s="519">
        <v>2020</v>
      </c>
      <c r="G5" s="550" t="s">
        <v>2</v>
      </c>
      <c r="H5" s="518">
        <v>2018</v>
      </c>
      <c r="I5" s="519"/>
      <c r="J5" s="519">
        <v>2019</v>
      </c>
      <c r="K5" s="519"/>
      <c r="L5" s="519">
        <v>2020</v>
      </c>
      <c r="M5" s="550" t="s">
        <v>2</v>
      </c>
      <c r="N5" s="518">
        <v>2018</v>
      </c>
      <c r="O5" s="519"/>
      <c r="P5" s="519">
        <v>2019</v>
      </c>
      <c r="Q5" s="519"/>
      <c r="R5" s="519">
        <v>2020</v>
      </c>
      <c r="S5" s="550" t="s">
        <v>2</v>
      </c>
    </row>
    <row r="6" spans="1:19" ht="14.45" customHeight="1" x14ac:dyDescent="0.2">
      <c r="A6" s="502" t="s">
        <v>597</v>
      </c>
      <c r="B6" s="531">
        <v>546</v>
      </c>
      <c r="C6" s="459"/>
      <c r="D6" s="531"/>
      <c r="E6" s="459"/>
      <c r="F6" s="531">
        <v>315</v>
      </c>
      <c r="G6" s="464"/>
      <c r="H6" s="531"/>
      <c r="I6" s="459"/>
      <c r="J6" s="531"/>
      <c r="K6" s="459"/>
      <c r="L6" s="531"/>
      <c r="M6" s="464"/>
      <c r="N6" s="531"/>
      <c r="O6" s="459"/>
      <c r="P6" s="531"/>
      <c r="Q6" s="459"/>
      <c r="R6" s="531"/>
      <c r="S6" s="122"/>
    </row>
    <row r="7" spans="1:19" ht="14.45" customHeight="1" x14ac:dyDescent="0.2">
      <c r="A7" s="537" t="s">
        <v>598</v>
      </c>
      <c r="B7" s="533">
        <v>1086.33</v>
      </c>
      <c r="C7" s="466">
        <v>0.13519975108898569</v>
      </c>
      <c r="D7" s="533">
        <v>8035</v>
      </c>
      <c r="E7" s="466">
        <v>1</v>
      </c>
      <c r="F7" s="533">
        <v>6168</v>
      </c>
      <c r="G7" s="471">
        <v>0.76764156813939022</v>
      </c>
      <c r="H7" s="533"/>
      <c r="I7" s="466"/>
      <c r="J7" s="533"/>
      <c r="K7" s="466"/>
      <c r="L7" s="533"/>
      <c r="M7" s="471"/>
      <c r="N7" s="533"/>
      <c r="O7" s="466"/>
      <c r="P7" s="533"/>
      <c r="Q7" s="466"/>
      <c r="R7" s="533"/>
      <c r="S7" s="472"/>
    </row>
    <row r="8" spans="1:19" ht="14.45" customHeight="1" x14ac:dyDescent="0.2">
      <c r="A8" s="537" t="s">
        <v>599</v>
      </c>
      <c r="B8" s="533">
        <v>582</v>
      </c>
      <c r="C8" s="466">
        <v>1.13671875</v>
      </c>
      <c r="D8" s="533">
        <v>512</v>
      </c>
      <c r="E8" s="466">
        <v>1</v>
      </c>
      <c r="F8" s="533">
        <v>477</v>
      </c>
      <c r="G8" s="471">
        <v>0.931640625</v>
      </c>
      <c r="H8" s="533"/>
      <c r="I8" s="466"/>
      <c r="J8" s="533"/>
      <c r="K8" s="466"/>
      <c r="L8" s="533"/>
      <c r="M8" s="471"/>
      <c r="N8" s="533"/>
      <c r="O8" s="466"/>
      <c r="P8" s="533"/>
      <c r="Q8" s="466"/>
      <c r="R8" s="533"/>
      <c r="S8" s="472"/>
    </row>
    <row r="9" spans="1:19" ht="14.45" customHeight="1" x14ac:dyDescent="0.2">
      <c r="A9" s="537" t="s">
        <v>600</v>
      </c>
      <c r="B9" s="533">
        <v>310</v>
      </c>
      <c r="C9" s="466">
        <v>5.2694203637599864E-2</v>
      </c>
      <c r="D9" s="533">
        <v>5883</v>
      </c>
      <c r="E9" s="466">
        <v>1</v>
      </c>
      <c r="F9" s="533">
        <v>7592</v>
      </c>
      <c r="G9" s="471">
        <v>1.2904980452150263</v>
      </c>
      <c r="H9" s="533"/>
      <c r="I9" s="466"/>
      <c r="J9" s="533"/>
      <c r="K9" s="466"/>
      <c r="L9" s="533"/>
      <c r="M9" s="471"/>
      <c r="N9" s="533"/>
      <c r="O9" s="466"/>
      <c r="P9" s="533"/>
      <c r="Q9" s="466"/>
      <c r="R9" s="533"/>
      <c r="S9" s="472"/>
    </row>
    <row r="10" spans="1:19" ht="14.45" customHeight="1" x14ac:dyDescent="0.2">
      <c r="A10" s="537" t="s">
        <v>601</v>
      </c>
      <c r="B10" s="533"/>
      <c r="C10" s="466"/>
      <c r="D10" s="533">
        <v>38</v>
      </c>
      <c r="E10" s="466">
        <v>1</v>
      </c>
      <c r="F10" s="533"/>
      <c r="G10" s="471"/>
      <c r="H10" s="533"/>
      <c r="I10" s="466"/>
      <c r="J10" s="533"/>
      <c r="K10" s="466"/>
      <c r="L10" s="533"/>
      <c r="M10" s="471"/>
      <c r="N10" s="533"/>
      <c r="O10" s="466"/>
      <c r="P10" s="533"/>
      <c r="Q10" s="466"/>
      <c r="R10" s="533"/>
      <c r="S10" s="472"/>
    </row>
    <row r="11" spans="1:19" ht="14.45" customHeight="1" x14ac:dyDescent="0.2">
      <c r="A11" s="537" t="s">
        <v>602</v>
      </c>
      <c r="B11" s="533"/>
      <c r="C11" s="466"/>
      <c r="D11" s="533"/>
      <c r="E11" s="466"/>
      <c r="F11" s="533">
        <v>277</v>
      </c>
      <c r="G11" s="471"/>
      <c r="H11" s="533"/>
      <c r="I11" s="466"/>
      <c r="J11" s="533"/>
      <c r="K11" s="466"/>
      <c r="L11" s="533"/>
      <c r="M11" s="471"/>
      <c r="N11" s="533"/>
      <c r="O11" s="466"/>
      <c r="P11" s="533"/>
      <c r="Q11" s="466"/>
      <c r="R11" s="533"/>
      <c r="S11" s="472"/>
    </row>
    <row r="12" spans="1:19" ht="14.45" customHeight="1" x14ac:dyDescent="0.2">
      <c r="A12" s="537" t="s">
        <v>603</v>
      </c>
      <c r="B12" s="533"/>
      <c r="C12" s="466"/>
      <c r="D12" s="533"/>
      <c r="E12" s="466"/>
      <c r="F12" s="533">
        <v>716</v>
      </c>
      <c r="G12" s="471"/>
      <c r="H12" s="533"/>
      <c r="I12" s="466"/>
      <c r="J12" s="533"/>
      <c r="K12" s="466"/>
      <c r="L12" s="533"/>
      <c r="M12" s="471"/>
      <c r="N12" s="533"/>
      <c r="O12" s="466"/>
      <c r="P12" s="533"/>
      <c r="Q12" s="466"/>
      <c r="R12" s="533"/>
      <c r="S12" s="472"/>
    </row>
    <row r="13" spans="1:19" ht="14.45" customHeight="1" x14ac:dyDescent="0.2">
      <c r="A13" s="537" t="s">
        <v>604</v>
      </c>
      <c r="B13" s="533">
        <v>236</v>
      </c>
      <c r="C13" s="466">
        <v>1.2421052631578948</v>
      </c>
      <c r="D13" s="533">
        <v>190</v>
      </c>
      <c r="E13" s="466">
        <v>1</v>
      </c>
      <c r="F13" s="533"/>
      <c r="G13" s="471"/>
      <c r="H13" s="533"/>
      <c r="I13" s="466"/>
      <c r="J13" s="533"/>
      <c r="K13" s="466"/>
      <c r="L13" s="533"/>
      <c r="M13" s="471"/>
      <c r="N13" s="533"/>
      <c r="O13" s="466"/>
      <c r="P13" s="533"/>
      <c r="Q13" s="466"/>
      <c r="R13" s="533"/>
      <c r="S13" s="472"/>
    </row>
    <row r="14" spans="1:19" ht="14.45" customHeight="1" x14ac:dyDescent="0.2">
      <c r="A14" s="537" t="s">
        <v>605</v>
      </c>
      <c r="B14" s="533">
        <v>1215</v>
      </c>
      <c r="C14" s="466">
        <v>1.2487153134635149</v>
      </c>
      <c r="D14" s="533">
        <v>973</v>
      </c>
      <c r="E14" s="466">
        <v>1</v>
      </c>
      <c r="F14" s="533">
        <v>2975</v>
      </c>
      <c r="G14" s="471">
        <v>3.0575539568345325</v>
      </c>
      <c r="H14" s="533"/>
      <c r="I14" s="466"/>
      <c r="J14" s="533"/>
      <c r="K14" s="466"/>
      <c r="L14" s="533"/>
      <c r="M14" s="471"/>
      <c r="N14" s="533"/>
      <c r="O14" s="466"/>
      <c r="P14" s="533"/>
      <c r="Q14" s="466"/>
      <c r="R14" s="533"/>
      <c r="S14" s="472"/>
    </row>
    <row r="15" spans="1:19" ht="14.45" customHeight="1" x14ac:dyDescent="0.2">
      <c r="A15" s="537" t="s">
        <v>606</v>
      </c>
      <c r="B15" s="533">
        <v>37</v>
      </c>
      <c r="C15" s="466"/>
      <c r="D15" s="533"/>
      <c r="E15" s="466"/>
      <c r="F15" s="533">
        <v>477</v>
      </c>
      <c r="G15" s="471"/>
      <c r="H15" s="533"/>
      <c r="I15" s="466"/>
      <c r="J15" s="533"/>
      <c r="K15" s="466"/>
      <c r="L15" s="533"/>
      <c r="M15" s="471"/>
      <c r="N15" s="533"/>
      <c r="O15" s="466"/>
      <c r="P15" s="533"/>
      <c r="Q15" s="466"/>
      <c r="R15" s="533"/>
      <c r="S15" s="472"/>
    </row>
    <row r="16" spans="1:19" ht="14.45" customHeight="1" x14ac:dyDescent="0.2">
      <c r="A16" s="537" t="s">
        <v>607</v>
      </c>
      <c r="B16" s="533"/>
      <c r="C16" s="466"/>
      <c r="D16" s="533"/>
      <c r="E16" s="466"/>
      <c r="F16" s="533">
        <v>38</v>
      </c>
      <c r="G16" s="471"/>
      <c r="H16" s="533"/>
      <c r="I16" s="466"/>
      <c r="J16" s="533"/>
      <c r="K16" s="466"/>
      <c r="L16" s="533"/>
      <c r="M16" s="471"/>
      <c r="N16" s="533"/>
      <c r="O16" s="466"/>
      <c r="P16" s="533"/>
      <c r="Q16" s="466"/>
      <c r="R16" s="533"/>
      <c r="S16" s="472"/>
    </row>
    <row r="17" spans="1:19" ht="14.45" customHeight="1" x14ac:dyDescent="0.2">
      <c r="A17" s="537" t="s">
        <v>608</v>
      </c>
      <c r="B17" s="533">
        <v>37</v>
      </c>
      <c r="C17" s="466">
        <v>1.0103768432550519E-2</v>
      </c>
      <c r="D17" s="533">
        <v>3662</v>
      </c>
      <c r="E17" s="466">
        <v>1</v>
      </c>
      <c r="F17" s="533">
        <v>2060</v>
      </c>
      <c r="G17" s="471">
        <v>0.56253413435281263</v>
      </c>
      <c r="H17" s="533"/>
      <c r="I17" s="466"/>
      <c r="J17" s="533"/>
      <c r="K17" s="466"/>
      <c r="L17" s="533"/>
      <c r="M17" s="471"/>
      <c r="N17" s="533"/>
      <c r="O17" s="466"/>
      <c r="P17" s="533"/>
      <c r="Q17" s="466"/>
      <c r="R17" s="533"/>
      <c r="S17" s="472"/>
    </row>
    <row r="18" spans="1:19" ht="14.45" customHeight="1" thickBot="1" x14ac:dyDescent="0.25">
      <c r="A18" s="538" t="s">
        <v>609</v>
      </c>
      <c r="B18" s="535"/>
      <c r="C18" s="474"/>
      <c r="D18" s="535">
        <v>707</v>
      </c>
      <c r="E18" s="474">
        <v>1</v>
      </c>
      <c r="F18" s="535"/>
      <c r="G18" s="479"/>
      <c r="H18" s="535"/>
      <c r="I18" s="474"/>
      <c r="J18" s="535"/>
      <c r="K18" s="474"/>
      <c r="L18" s="535"/>
      <c r="M18" s="479"/>
      <c r="N18" s="535"/>
      <c r="O18" s="474"/>
      <c r="P18" s="535"/>
      <c r="Q18" s="474"/>
      <c r="R18" s="535"/>
      <c r="S18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C89C903-1336-4F3A-8045-13B25534B93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2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2150.0058599999993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7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0.76859992197995275</v>
      </c>
      <c r="E9" s="165">
        <f t="shared" si="0"/>
        <v>1.2809998699665879</v>
      </c>
    </row>
    <row r="10" spans="1:5" ht="14.45" customHeight="1" x14ac:dyDescent="0.25">
      <c r="A10" s="247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1</v>
      </c>
      <c r="E10" s="165">
        <f t="shared" si="0"/>
        <v>1.25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1952.5632399999993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3599.7683299999999</v>
      </c>
      <c r="D16" s="183">
        <f ca="1">IF(ISERROR(VLOOKUP("Výnosy celkem",INDIRECT("HI!$A:$G"),5,0)),0,VLOOKUP("Výnosy celkem",INDIRECT("HI!$A:$G"),5,0))</f>
        <v>5815.6484400000008</v>
      </c>
      <c r="E16" s="184">
        <f t="shared" ref="E16:E21" ca="1" si="1">IF(C16=0,0,D16/C16)</f>
        <v>1.6155618658937425</v>
      </c>
    </row>
    <row r="17" spans="1:5" ht="14.45" customHeight="1" x14ac:dyDescent="0.2">
      <c r="A17" s="185" t="str">
        <f>HYPERLINK("#HI!A1","Ambulance (body za výkony + Kč za ZUM a ZULP)")</f>
        <v>Ambulance (body za výkony + Kč za ZUM a ZULP)</v>
      </c>
      <c r="B17" s="163"/>
      <c r="C17" s="164">
        <f ca="1">IF(ISERROR(VLOOKUP("Ambulance *",INDIRECT("HI!$A:$G"),6,0)),0,VLOOKUP("Ambulance *",INDIRECT("HI!$A:$G"),6,0))</f>
        <v>3599.7683299999999</v>
      </c>
      <c r="D17" s="164">
        <f ca="1">IF(ISERROR(VLOOKUP("Ambulance *",INDIRECT("HI!$A:$G"),5,0)),0,VLOOKUP("Ambulance *",INDIRECT("HI!$A:$G"),5,0))</f>
        <v>5815.6484400000008</v>
      </c>
      <c r="E17" s="165">
        <f t="shared" ca="1" si="1"/>
        <v>1.6155618658937425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119</v>
      </c>
      <c r="C18" s="169">
        <v>1</v>
      </c>
      <c r="D18" s="169">
        <f>IF(ISERROR(VLOOKUP("Celkem:",'ZV Vykáz.-A'!$A:$AB,10,0)),"",VLOOKUP("Celkem:",'ZV Vykáz.-A'!$A:$AB,10,0))</f>
        <v>1.6155618658937423</v>
      </c>
      <c r="E18" s="165">
        <f t="shared" si="1"/>
        <v>1.6155618658937423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119</v>
      </c>
      <c r="C19" s="169">
        <v>1</v>
      </c>
      <c r="D19" s="246">
        <f>IF(ISERROR(VLOOKUP("Specializovaná ambulantní péče",'ZV Vykáz.-A'!$A:$AB,10,0)),"",VLOOKUP("Specializovaná ambulantní péče",'ZV Vykáz.-A'!$A:$AB,10,0))</f>
        <v>1.6155618658937423</v>
      </c>
      <c r="E19" s="165">
        <f t="shared" si="1"/>
        <v>1.6155618658937423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119</v>
      </c>
      <c r="C20" s="169">
        <v>1</v>
      </c>
      <c r="D20" s="246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6" t="str">
        <f>HYPERLINK("#'ZV Vykáz.-H'!A1","Zdravotní výkony vykázané u hospitalizovaných pacientů (max. 85 %)")</f>
        <v>Zdravotní výkony vykázané u hospitalizovaných pacientů (max. 85 %)</v>
      </c>
      <c r="B21" s="254" t="s">
        <v>121</v>
      </c>
      <c r="C21" s="169">
        <v>0.85</v>
      </c>
      <c r="D21" s="169">
        <f>IF(ISERROR(VLOOKUP("Celkem:",'ZV Vykáz.-H'!$A:$S,7,0)),"",VLOOKUP("Celkem:",'ZV Vykáz.-H'!$A:$S,7,0))</f>
        <v>1.0547500000000001</v>
      </c>
      <c r="E21" s="165">
        <f t="shared" si="1"/>
        <v>1.2408823529411765</v>
      </c>
    </row>
    <row r="22" spans="1:5" ht="14.45" customHeight="1" x14ac:dyDescent="0.2">
      <c r="A22" s="187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8" t="s">
        <v>147</v>
      </c>
      <c r="B23" s="174"/>
      <c r="C23" s="175"/>
      <c r="D23" s="175"/>
      <c r="E23" s="176"/>
    </row>
    <row r="24" spans="1:5" ht="14.45" customHeight="1" thickBot="1" x14ac:dyDescent="0.25">
      <c r="A24" s="189"/>
      <c r="B24" s="190"/>
      <c r="C24" s="191"/>
      <c r="D24" s="191"/>
      <c r="E24" s="192"/>
    </row>
    <row r="25" spans="1:5" ht="14.45" customHeight="1" thickBot="1" x14ac:dyDescent="0.25">
      <c r="A25" s="193" t="s">
        <v>148</v>
      </c>
      <c r="B25" s="194"/>
      <c r="C25" s="195"/>
      <c r="D25" s="195"/>
      <c r="E25" s="196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6FE9E41-BB61-4E22-A295-32771CDBB223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05" t="s">
        <v>625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2" t="s">
        <v>235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124</v>
      </c>
      <c r="F3" s="102">
        <f t="shared" ref="F3:O3" si="0">SUBTOTAL(9,F6:F1048576)</f>
        <v>24</v>
      </c>
      <c r="G3" s="103">
        <f t="shared" si="0"/>
        <v>4049.33</v>
      </c>
      <c r="H3" s="103"/>
      <c r="I3" s="103"/>
      <c r="J3" s="103">
        <f t="shared" si="0"/>
        <v>33</v>
      </c>
      <c r="K3" s="103">
        <f t="shared" si="0"/>
        <v>20000</v>
      </c>
      <c r="L3" s="103"/>
      <c r="M3" s="103"/>
      <c r="N3" s="103">
        <f t="shared" si="0"/>
        <v>76</v>
      </c>
      <c r="O3" s="103">
        <f t="shared" si="0"/>
        <v>21095</v>
      </c>
      <c r="P3" s="75">
        <f>IF(K3=0,0,O3/K3)</f>
        <v>1.0547500000000001</v>
      </c>
      <c r="Q3" s="104">
        <f>IF(N3=0,0,O3/N3)</f>
        <v>277.56578947368422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2018</v>
      </c>
      <c r="G4" s="424"/>
      <c r="H4" s="105"/>
      <c r="I4" s="105"/>
      <c r="J4" s="423">
        <v>2019</v>
      </c>
      <c r="K4" s="424"/>
      <c r="L4" s="105"/>
      <c r="M4" s="105"/>
      <c r="N4" s="423">
        <v>2020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41"/>
      <c r="B5" s="539"/>
      <c r="C5" s="541"/>
      <c r="D5" s="551"/>
      <c r="E5" s="543"/>
      <c r="F5" s="552" t="s">
        <v>70</v>
      </c>
      <c r="G5" s="553" t="s">
        <v>13</v>
      </c>
      <c r="H5" s="554"/>
      <c r="I5" s="554"/>
      <c r="J5" s="552" t="s">
        <v>70</v>
      </c>
      <c r="K5" s="553" t="s">
        <v>13</v>
      </c>
      <c r="L5" s="554"/>
      <c r="M5" s="554"/>
      <c r="N5" s="552" t="s">
        <v>70</v>
      </c>
      <c r="O5" s="553" t="s">
        <v>13</v>
      </c>
      <c r="P5" s="555"/>
      <c r="Q5" s="548"/>
    </row>
    <row r="6" spans="1:17" ht="14.45" customHeight="1" x14ac:dyDescent="0.2">
      <c r="A6" s="458" t="s">
        <v>610</v>
      </c>
      <c r="B6" s="459" t="s">
        <v>560</v>
      </c>
      <c r="C6" s="459" t="s">
        <v>569</v>
      </c>
      <c r="D6" s="459" t="s">
        <v>572</v>
      </c>
      <c r="E6" s="459" t="s">
        <v>573</v>
      </c>
      <c r="F6" s="116">
        <v>2</v>
      </c>
      <c r="G6" s="116">
        <v>74</v>
      </c>
      <c r="H6" s="116"/>
      <c r="I6" s="116">
        <v>37</v>
      </c>
      <c r="J6" s="116"/>
      <c r="K6" s="116"/>
      <c r="L6" s="116"/>
      <c r="M6" s="116"/>
      <c r="N6" s="116">
        <v>2</v>
      </c>
      <c r="O6" s="116">
        <v>76</v>
      </c>
      <c r="P6" s="464"/>
      <c r="Q6" s="488">
        <v>38</v>
      </c>
    </row>
    <row r="7" spans="1:17" ht="14.45" customHeight="1" x14ac:dyDescent="0.2">
      <c r="A7" s="465" t="s">
        <v>610</v>
      </c>
      <c r="B7" s="466" t="s">
        <v>560</v>
      </c>
      <c r="C7" s="466" t="s">
        <v>569</v>
      </c>
      <c r="D7" s="466" t="s">
        <v>584</v>
      </c>
      <c r="E7" s="466" t="s">
        <v>585</v>
      </c>
      <c r="F7" s="497">
        <v>2</v>
      </c>
      <c r="G7" s="497">
        <v>472</v>
      </c>
      <c r="H7" s="497"/>
      <c r="I7" s="497">
        <v>236</v>
      </c>
      <c r="J7" s="497"/>
      <c r="K7" s="497"/>
      <c r="L7" s="497"/>
      <c r="M7" s="497"/>
      <c r="N7" s="497">
        <v>1</v>
      </c>
      <c r="O7" s="497">
        <v>239</v>
      </c>
      <c r="P7" s="471"/>
      <c r="Q7" s="498">
        <v>239</v>
      </c>
    </row>
    <row r="8" spans="1:17" ht="14.45" customHeight="1" x14ac:dyDescent="0.2">
      <c r="A8" s="465" t="s">
        <v>611</v>
      </c>
      <c r="B8" s="466" t="s">
        <v>560</v>
      </c>
      <c r="C8" s="466" t="s">
        <v>569</v>
      </c>
      <c r="D8" s="466" t="s">
        <v>572</v>
      </c>
      <c r="E8" s="466" t="s">
        <v>573</v>
      </c>
      <c r="F8" s="497">
        <v>3</v>
      </c>
      <c r="G8" s="497">
        <v>111</v>
      </c>
      <c r="H8" s="497">
        <v>0.73026315789473684</v>
      </c>
      <c r="I8" s="497">
        <v>37</v>
      </c>
      <c r="J8" s="497">
        <v>4</v>
      </c>
      <c r="K8" s="497">
        <v>152</v>
      </c>
      <c r="L8" s="497">
        <v>1</v>
      </c>
      <c r="M8" s="497">
        <v>38</v>
      </c>
      <c r="N8" s="497">
        <v>24</v>
      </c>
      <c r="O8" s="497">
        <v>912</v>
      </c>
      <c r="P8" s="471">
        <v>6</v>
      </c>
      <c r="Q8" s="498">
        <v>38</v>
      </c>
    </row>
    <row r="9" spans="1:17" ht="14.45" customHeight="1" x14ac:dyDescent="0.2">
      <c r="A9" s="465" t="s">
        <v>611</v>
      </c>
      <c r="B9" s="466" t="s">
        <v>560</v>
      </c>
      <c r="C9" s="466" t="s">
        <v>569</v>
      </c>
      <c r="D9" s="466" t="s">
        <v>576</v>
      </c>
      <c r="E9" s="466" t="s">
        <v>577</v>
      </c>
      <c r="F9" s="497">
        <v>2</v>
      </c>
      <c r="G9" s="497">
        <v>942</v>
      </c>
      <c r="H9" s="497">
        <v>1.9873417721518987</v>
      </c>
      <c r="I9" s="497">
        <v>471</v>
      </c>
      <c r="J9" s="497">
        <v>1</v>
      </c>
      <c r="K9" s="497">
        <v>474</v>
      </c>
      <c r="L9" s="497">
        <v>1</v>
      </c>
      <c r="M9" s="497">
        <v>474</v>
      </c>
      <c r="N9" s="497">
        <v>3</v>
      </c>
      <c r="O9" s="497">
        <v>1431</v>
      </c>
      <c r="P9" s="471">
        <v>3.018987341772152</v>
      </c>
      <c r="Q9" s="498">
        <v>477</v>
      </c>
    </row>
    <row r="10" spans="1:17" ht="14.45" customHeight="1" x14ac:dyDescent="0.2">
      <c r="A10" s="465" t="s">
        <v>611</v>
      </c>
      <c r="B10" s="466" t="s">
        <v>560</v>
      </c>
      <c r="C10" s="466" t="s">
        <v>569</v>
      </c>
      <c r="D10" s="466" t="s">
        <v>578</v>
      </c>
      <c r="E10" s="466" t="s">
        <v>579</v>
      </c>
      <c r="F10" s="497">
        <v>1</v>
      </c>
      <c r="G10" s="497">
        <v>33.33</v>
      </c>
      <c r="H10" s="497"/>
      <c r="I10" s="497">
        <v>33.33</v>
      </c>
      <c r="J10" s="497"/>
      <c r="K10" s="497"/>
      <c r="L10" s="497"/>
      <c r="M10" s="497"/>
      <c r="N10" s="497"/>
      <c r="O10" s="497"/>
      <c r="P10" s="471"/>
      <c r="Q10" s="498"/>
    </row>
    <row r="11" spans="1:17" ht="14.45" customHeight="1" x14ac:dyDescent="0.2">
      <c r="A11" s="465" t="s">
        <v>611</v>
      </c>
      <c r="B11" s="466" t="s">
        <v>560</v>
      </c>
      <c r="C11" s="466" t="s">
        <v>569</v>
      </c>
      <c r="D11" s="466" t="s">
        <v>584</v>
      </c>
      <c r="E11" s="466" t="s">
        <v>585</v>
      </c>
      <c r="F11" s="497"/>
      <c r="G11" s="497"/>
      <c r="H11" s="497"/>
      <c r="I11" s="497"/>
      <c r="J11" s="497">
        <v>1</v>
      </c>
      <c r="K11" s="497">
        <v>237</v>
      </c>
      <c r="L11" s="497">
        <v>1</v>
      </c>
      <c r="M11" s="497">
        <v>237</v>
      </c>
      <c r="N11" s="497">
        <v>1</v>
      </c>
      <c r="O11" s="497">
        <v>239</v>
      </c>
      <c r="P11" s="471">
        <v>1.0084388185654007</v>
      </c>
      <c r="Q11" s="498">
        <v>239</v>
      </c>
    </row>
    <row r="12" spans="1:17" ht="14.45" customHeight="1" x14ac:dyDescent="0.2">
      <c r="A12" s="465" t="s">
        <v>611</v>
      </c>
      <c r="B12" s="466" t="s">
        <v>560</v>
      </c>
      <c r="C12" s="466" t="s">
        <v>569</v>
      </c>
      <c r="D12" s="466" t="s">
        <v>592</v>
      </c>
      <c r="E12" s="466" t="s">
        <v>593</v>
      </c>
      <c r="F12" s="497"/>
      <c r="G12" s="497"/>
      <c r="H12" s="497"/>
      <c r="I12" s="497"/>
      <c r="J12" s="497">
        <v>2</v>
      </c>
      <c r="K12" s="497">
        <v>7172</v>
      </c>
      <c r="L12" s="497">
        <v>1</v>
      </c>
      <c r="M12" s="497">
        <v>3586</v>
      </c>
      <c r="N12" s="497">
        <v>1</v>
      </c>
      <c r="O12" s="497">
        <v>3586</v>
      </c>
      <c r="P12" s="471">
        <v>0.5</v>
      </c>
      <c r="Q12" s="498">
        <v>3586</v>
      </c>
    </row>
    <row r="13" spans="1:17" ht="14.45" customHeight="1" x14ac:dyDescent="0.2">
      <c r="A13" s="465" t="s">
        <v>612</v>
      </c>
      <c r="B13" s="466" t="s">
        <v>560</v>
      </c>
      <c r="C13" s="466" t="s">
        <v>569</v>
      </c>
      <c r="D13" s="466" t="s">
        <v>572</v>
      </c>
      <c r="E13" s="466" t="s">
        <v>573</v>
      </c>
      <c r="F13" s="497">
        <v>3</v>
      </c>
      <c r="G13" s="497">
        <v>111</v>
      </c>
      <c r="H13" s="497">
        <v>2.9210526315789473</v>
      </c>
      <c r="I13" s="497">
        <v>37</v>
      </c>
      <c r="J13" s="497">
        <v>1</v>
      </c>
      <c r="K13" s="497">
        <v>38</v>
      </c>
      <c r="L13" s="497">
        <v>1</v>
      </c>
      <c r="M13" s="497">
        <v>38</v>
      </c>
      <c r="N13" s="497"/>
      <c r="O13" s="497"/>
      <c r="P13" s="471"/>
      <c r="Q13" s="498"/>
    </row>
    <row r="14" spans="1:17" ht="14.45" customHeight="1" x14ac:dyDescent="0.2">
      <c r="A14" s="465" t="s">
        <v>612</v>
      </c>
      <c r="B14" s="466" t="s">
        <v>560</v>
      </c>
      <c r="C14" s="466" t="s">
        <v>569</v>
      </c>
      <c r="D14" s="466" t="s">
        <v>576</v>
      </c>
      <c r="E14" s="466" t="s">
        <v>577</v>
      </c>
      <c r="F14" s="497">
        <v>1</v>
      </c>
      <c r="G14" s="497">
        <v>471</v>
      </c>
      <c r="H14" s="497">
        <v>0.99367088607594933</v>
      </c>
      <c r="I14" s="497">
        <v>471</v>
      </c>
      <c r="J14" s="497">
        <v>1</v>
      </c>
      <c r="K14" s="497">
        <v>474</v>
      </c>
      <c r="L14" s="497">
        <v>1</v>
      </c>
      <c r="M14" s="497">
        <v>474</v>
      </c>
      <c r="N14" s="497">
        <v>1</v>
      </c>
      <c r="O14" s="497">
        <v>477</v>
      </c>
      <c r="P14" s="471">
        <v>1.0063291139240507</v>
      </c>
      <c r="Q14" s="498">
        <v>477</v>
      </c>
    </row>
    <row r="15" spans="1:17" ht="14.45" customHeight="1" x14ac:dyDescent="0.2">
      <c r="A15" s="465" t="s">
        <v>613</v>
      </c>
      <c r="B15" s="466" t="s">
        <v>560</v>
      </c>
      <c r="C15" s="466" t="s">
        <v>569</v>
      </c>
      <c r="D15" s="466" t="s">
        <v>572</v>
      </c>
      <c r="E15" s="466" t="s">
        <v>573</v>
      </c>
      <c r="F15" s="497">
        <v>2</v>
      </c>
      <c r="G15" s="497">
        <v>74</v>
      </c>
      <c r="H15" s="497">
        <v>0.64912280701754388</v>
      </c>
      <c r="I15" s="497">
        <v>37</v>
      </c>
      <c r="J15" s="497">
        <v>3</v>
      </c>
      <c r="K15" s="497">
        <v>114</v>
      </c>
      <c r="L15" s="497">
        <v>1</v>
      </c>
      <c r="M15" s="497">
        <v>38</v>
      </c>
      <c r="N15" s="497">
        <v>5</v>
      </c>
      <c r="O15" s="497">
        <v>190</v>
      </c>
      <c r="P15" s="471">
        <v>1.6666666666666667</v>
      </c>
      <c r="Q15" s="498">
        <v>38</v>
      </c>
    </row>
    <row r="16" spans="1:17" ht="14.45" customHeight="1" x14ac:dyDescent="0.2">
      <c r="A16" s="465" t="s">
        <v>613</v>
      </c>
      <c r="B16" s="466" t="s">
        <v>560</v>
      </c>
      <c r="C16" s="466" t="s">
        <v>569</v>
      </c>
      <c r="D16" s="466" t="s">
        <v>576</v>
      </c>
      <c r="E16" s="466" t="s">
        <v>577</v>
      </c>
      <c r="F16" s="497"/>
      <c r="G16" s="497"/>
      <c r="H16" s="497"/>
      <c r="I16" s="497"/>
      <c r="J16" s="497">
        <v>3</v>
      </c>
      <c r="K16" s="497">
        <v>1422</v>
      </c>
      <c r="L16" s="497">
        <v>1</v>
      </c>
      <c r="M16" s="497">
        <v>474</v>
      </c>
      <c r="N16" s="497">
        <v>8</v>
      </c>
      <c r="O16" s="497">
        <v>3816</v>
      </c>
      <c r="P16" s="471">
        <v>2.6835443037974684</v>
      </c>
      <c r="Q16" s="498">
        <v>477</v>
      </c>
    </row>
    <row r="17" spans="1:17" ht="14.45" customHeight="1" x14ac:dyDescent="0.2">
      <c r="A17" s="465" t="s">
        <v>613</v>
      </c>
      <c r="B17" s="466" t="s">
        <v>560</v>
      </c>
      <c r="C17" s="466" t="s">
        <v>569</v>
      </c>
      <c r="D17" s="466" t="s">
        <v>584</v>
      </c>
      <c r="E17" s="466" t="s">
        <v>585</v>
      </c>
      <c r="F17" s="497">
        <v>1</v>
      </c>
      <c r="G17" s="497">
        <v>236</v>
      </c>
      <c r="H17" s="497">
        <v>0.99578059071729963</v>
      </c>
      <c r="I17" s="497">
        <v>236</v>
      </c>
      <c r="J17" s="497">
        <v>1</v>
      </c>
      <c r="K17" s="497">
        <v>237</v>
      </c>
      <c r="L17" s="497">
        <v>1</v>
      </c>
      <c r="M17" s="497">
        <v>237</v>
      </c>
      <c r="N17" s="497"/>
      <c r="O17" s="497"/>
      <c r="P17" s="471"/>
      <c r="Q17" s="498"/>
    </row>
    <row r="18" spans="1:17" ht="14.45" customHeight="1" x14ac:dyDescent="0.2">
      <c r="A18" s="465" t="s">
        <v>613</v>
      </c>
      <c r="B18" s="466" t="s">
        <v>560</v>
      </c>
      <c r="C18" s="466" t="s">
        <v>569</v>
      </c>
      <c r="D18" s="466" t="s">
        <v>590</v>
      </c>
      <c r="E18" s="466" t="s">
        <v>591</v>
      </c>
      <c r="F18" s="497"/>
      <c r="G18" s="497"/>
      <c r="H18" s="497"/>
      <c r="I18" s="497"/>
      <c r="J18" s="497">
        <v>2</v>
      </c>
      <c r="K18" s="497">
        <v>524</v>
      </c>
      <c r="L18" s="497">
        <v>1</v>
      </c>
      <c r="M18" s="497">
        <v>262</v>
      </c>
      <c r="N18" s="497"/>
      <c r="O18" s="497"/>
      <c r="P18" s="471"/>
      <c r="Q18" s="498"/>
    </row>
    <row r="19" spans="1:17" ht="14.45" customHeight="1" x14ac:dyDescent="0.2">
      <c r="A19" s="465" t="s">
        <v>613</v>
      </c>
      <c r="B19" s="466" t="s">
        <v>560</v>
      </c>
      <c r="C19" s="466" t="s">
        <v>569</v>
      </c>
      <c r="D19" s="466" t="s">
        <v>592</v>
      </c>
      <c r="E19" s="466" t="s">
        <v>593</v>
      </c>
      <c r="F19" s="497"/>
      <c r="G19" s="497"/>
      <c r="H19" s="497"/>
      <c r="I19" s="497"/>
      <c r="J19" s="497">
        <v>1</v>
      </c>
      <c r="K19" s="497">
        <v>3586</v>
      </c>
      <c r="L19" s="497">
        <v>1</v>
      </c>
      <c r="M19" s="497">
        <v>3586</v>
      </c>
      <c r="N19" s="497">
        <v>1</v>
      </c>
      <c r="O19" s="497">
        <v>3586</v>
      </c>
      <c r="P19" s="471">
        <v>1</v>
      </c>
      <c r="Q19" s="498">
        <v>3586</v>
      </c>
    </row>
    <row r="20" spans="1:17" ht="14.45" customHeight="1" x14ac:dyDescent="0.2">
      <c r="A20" s="465" t="s">
        <v>614</v>
      </c>
      <c r="B20" s="466" t="s">
        <v>560</v>
      </c>
      <c r="C20" s="466" t="s">
        <v>569</v>
      </c>
      <c r="D20" s="466" t="s">
        <v>572</v>
      </c>
      <c r="E20" s="466" t="s">
        <v>573</v>
      </c>
      <c r="F20" s="497"/>
      <c r="G20" s="497"/>
      <c r="H20" s="497"/>
      <c r="I20" s="497"/>
      <c r="J20" s="497">
        <v>1</v>
      </c>
      <c r="K20" s="497">
        <v>38</v>
      </c>
      <c r="L20" s="497">
        <v>1</v>
      </c>
      <c r="M20" s="497">
        <v>38</v>
      </c>
      <c r="N20" s="497"/>
      <c r="O20" s="497"/>
      <c r="P20" s="471"/>
      <c r="Q20" s="498"/>
    </row>
    <row r="21" spans="1:17" ht="14.45" customHeight="1" x14ac:dyDescent="0.2">
      <c r="A21" s="465" t="s">
        <v>615</v>
      </c>
      <c r="B21" s="466" t="s">
        <v>560</v>
      </c>
      <c r="C21" s="466" t="s">
        <v>569</v>
      </c>
      <c r="D21" s="466" t="s">
        <v>572</v>
      </c>
      <c r="E21" s="466" t="s">
        <v>573</v>
      </c>
      <c r="F21" s="497"/>
      <c r="G21" s="497"/>
      <c r="H21" s="497"/>
      <c r="I21" s="497"/>
      <c r="J21" s="497"/>
      <c r="K21" s="497"/>
      <c r="L21" s="497"/>
      <c r="M21" s="497"/>
      <c r="N21" s="497">
        <v>1</v>
      </c>
      <c r="O21" s="497">
        <v>38</v>
      </c>
      <c r="P21" s="471"/>
      <c r="Q21" s="498">
        <v>38</v>
      </c>
    </row>
    <row r="22" spans="1:17" ht="14.45" customHeight="1" x14ac:dyDescent="0.2">
      <c r="A22" s="465" t="s">
        <v>615</v>
      </c>
      <c r="B22" s="466" t="s">
        <v>560</v>
      </c>
      <c r="C22" s="466" t="s">
        <v>569</v>
      </c>
      <c r="D22" s="466" t="s">
        <v>584</v>
      </c>
      <c r="E22" s="466" t="s">
        <v>585</v>
      </c>
      <c r="F22" s="497"/>
      <c r="G22" s="497"/>
      <c r="H22" s="497"/>
      <c r="I22" s="497"/>
      <c r="J22" s="497"/>
      <c r="K22" s="497"/>
      <c r="L22" s="497"/>
      <c r="M22" s="497"/>
      <c r="N22" s="497">
        <v>1</v>
      </c>
      <c r="O22" s="497">
        <v>239</v>
      </c>
      <c r="P22" s="471"/>
      <c r="Q22" s="498">
        <v>239</v>
      </c>
    </row>
    <row r="23" spans="1:17" ht="14.45" customHeight="1" x14ac:dyDescent="0.2">
      <c r="A23" s="465" t="s">
        <v>616</v>
      </c>
      <c r="B23" s="466" t="s">
        <v>560</v>
      </c>
      <c r="C23" s="466" t="s">
        <v>569</v>
      </c>
      <c r="D23" s="466" t="s">
        <v>576</v>
      </c>
      <c r="E23" s="466" t="s">
        <v>577</v>
      </c>
      <c r="F23" s="497"/>
      <c r="G23" s="497"/>
      <c r="H23" s="497"/>
      <c r="I23" s="497"/>
      <c r="J23" s="497"/>
      <c r="K23" s="497"/>
      <c r="L23" s="497"/>
      <c r="M23" s="497"/>
      <c r="N23" s="497">
        <v>1</v>
      </c>
      <c r="O23" s="497">
        <v>477</v>
      </c>
      <c r="P23" s="471"/>
      <c r="Q23" s="498">
        <v>477</v>
      </c>
    </row>
    <row r="24" spans="1:17" ht="14.45" customHeight="1" x14ac:dyDescent="0.2">
      <c r="A24" s="465" t="s">
        <v>616</v>
      </c>
      <c r="B24" s="466" t="s">
        <v>560</v>
      </c>
      <c r="C24" s="466" t="s">
        <v>569</v>
      </c>
      <c r="D24" s="466" t="s">
        <v>584</v>
      </c>
      <c r="E24" s="466" t="s">
        <v>585</v>
      </c>
      <c r="F24" s="497"/>
      <c r="G24" s="497"/>
      <c r="H24" s="497"/>
      <c r="I24" s="497"/>
      <c r="J24" s="497"/>
      <c r="K24" s="497"/>
      <c r="L24" s="497"/>
      <c r="M24" s="497"/>
      <c r="N24" s="497">
        <v>1</v>
      </c>
      <c r="O24" s="497">
        <v>239</v>
      </c>
      <c r="P24" s="471"/>
      <c r="Q24" s="498">
        <v>239</v>
      </c>
    </row>
    <row r="25" spans="1:17" ht="14.45" customHeight="1" x14ac:dyDescent="0.2">
      <c r="A25" s="465" t="s">
        <v>617</v>
      </c>
      <c r="B25" s="466" t="s">
        <v>560</v>
      </c>
      <c r="C25" s="466" t="s">
        <v>569</v>
      </c>
      <c r="D25" s="466" t="s">
        <v>572</v>
      </c>
      <c r="E25" s="466" t="s">
        <v>573</v>
      </c>
      <c r="F25" s="497"/>
      <c r="G25" s="497"/>
      <c r="H25" s="497"/>
      <c r="I25" s="497"/>
      <c r="J25" s="497">
        <v>5</v>
      </c>
      <c r="K25" s="497">
        <v>190</v>
      </c>
      <c r="L25" s="497">
        <v>1</v>
      </c>
      <c r="M25" s="497">
        <v>38</v>
      </c>
      <c r="N25" s="497"/>
      <c r="O25" s="497"/>
      <c r="P25" s="471"/>
      <c r="Q25" s="498"/>
    </row>
    <row r="26" spans="1:17" ht="14.45" customHeight="1" x14ac:dyDescent="0.2">
      <c r="A26" s="465" t="s">
        <v>617</v>
      </c>
      <c r="B26" s="466" t="s">
        <v>560</v>
      </c>
      <c r="C26" s="466" t="s">
        <v>569</v>
      </c>
      <c r="D26" s="466" t="s">
        <v>584</v>
      </c>
      <c r="E26" s="466" t="s">
        <v>585</v>
      </c>
      <c r="F26" s="497">
        <v>1</v>
      </c>
      <c r="G26" s="497">
        <v>236</v>
      </c>
      <c r="H26" s="497"/>
      <c r="I26" s="497">
        <v>236</v>
      </c>
      <c r="J26" s="497"/>
      <c r="K26" s="497"/>
      <c r="L26" s="497"/>
      <c r="M26" s="497"/>
      <c r="N26" s="497"/>
      <c r="O26" s="497"/>
      <c r="P26" s="471"/>
      <c r="Q26" s="498"/>
    </row>
    <row r="27" spans="1:17" ht="14.45" customHeight="1" x14ac:dyDescent="0.2">
      <c r="A27" s="465" t="s">
        <v>618</v>
      </c>
      <c r="B27" s="466" t="s">
        <v>560</v>
      </c>
      <c r="C27" s="466" t="s">
        <v>569</v>
      </c>
      <c r="D27" s="466" t="s">
        <v>572</v>
      </c>
      <c r="E27" s="466" t="s">
        <v>573</v>
      </c>
      <c r="F27" s="497">
        <v>1</v>
      </c>
      <c r="G27" s="497">
        <v>37</v>
      </c>
      <c r="H27" s="497"/>
      <c r="I27" s="497">
        <v>37</v>
      </c>
      <c r="J27" s="497"/>
      <c r="K27" s="497"/>
      <c r="L27" s="497"/>
      <c r="M27" s="497"/>
      <c r="N27" s="497">
        <v>8</v>
      </c>
      <c r="O27" s="497">
        <v>304</v>
      </c>
      <c r="P27" s="471"/>
      <c r="Q27" s="498">
        <v>38</v>
      </c>
    </row>
    <row r="28" spans="1:17" ht="14.45" customHeight="1" x14ac:dyDescent="0.2">
      <c r="A28" s="465" t="s">
        <v>618</v>
      </c>
      <c r="B28" s="466" t="s">
        <v>560</v>
      </c>
      <c r="C28" s="466" t="s">
        <v>569</v>
      </c>
      <c r="D28" s="466" t="s">
        <v>576</v>
      </c>
      <c r="E28" s="466" t="s">
        <v>577</v>
      </c>
      <c r="F28" s="497">
        <v>2</v>
      </c>
      <c r="G28" s="497">
        <v>942</v>
      </c>
      <c r="H28" s="497">
        <v>1.9873417721518987</v>
      </c>
      <c r="I28" s="497">
        <v>471</v>
      </c>
      <c r="J28" s="497">
        <v>1</v>
      </c>
      <c r="K28" s="497">
        <v>474</v>
      </c>
      <c r="L28" s="497">
        <v>1</v>
      </c>
      <c r="M28" s="497">
        <v>474</v>
      </c>
      <c r="N28" s="497">
        <v>4</v>
      </c>
      <c r="O28" s="497">
        <v>1908</v>
      </c>
      <c r="P28" s="471">
        <v>4.0253164556962027</v>
      </c>
      <c r="Q28" s="498">
        <v>477</v>
      </c>
    </row>
    <row r="29" spans="1:17" ht="14.45" customHeight="1" x14ac:dyDescent="0.2">
      <c r="A29" s="465" t="s">
        <v>618</v>
      </c>
      <c r="B29" s="466" t="s">
        <v>560</v>
      </c>
      <c r="C29" s="466" t="s">
        <v>569</v>
      </c>
      <c r="D29" s="466" t="s">
        <v>584</v>
      </c>
      <c r="E29" s="466" t="s">
        <v>585</v>
      </c>
      <c r="F29" s="497">
        <v>1</v>
      </c>
      <c r="G29" s="497">
        <v>236</v>
      </c>
      <c r="H29" s="497">
        <v>0.99578059071729963</v>
      </c>
      <c r="I29" s="497">
        <v>236</v>
      </c>
      <c r="J29" s="497">
        <v>1</v>
      </c>
      <c r="K29" s="497">
        <v>237</v>
      </c>
      <c r="L29" s="497">
        <v>1</v>
      </c>
      <c r="M29" s="497">
        <v>237</v>
      </c>
      <c r="N29" s="497">
        <v>1</v>
      </c>
      <c r="O29" s="497">
        <v>239</v>
      </c>
      <c r="P29" s="471">
        <v>1.0084388185654007</v>
      </c>
      <c r="Q29" s="498">
        <v>239</v>
      </c>
    </row>
    <row r="30" spans="1:17" ht="14.45" customHeight="1" x14ac:dyDescent="0.2">
      <c r="A30" s="465" t="s">
        <v>618</v>
      </c>
      <c r="B30" s="466" t="s">
        <v>560</v>
      </c>
      <c r="C30" s="466" t="s">
        <v>569</v>
      </c>
      <c r="D30" s="466" t="s">
        <v>590</v>
      </c>
      <c r="E30" s="466" t="s">
        <v>591</v>
      </c>
      <c r="F30" s="497"/>
      <c r="G30" s="497"/>
      <c r="H30" s="497"/>
      <c r="I30" s="497"/>
      <c r="J30" s="497">
        <v>1</v>
      </c>
      <c r="K30" s="497">
        <v>262</v>
      </c>
      <c r="L30" s="497">
        <v>1</v>
      </c>
      <c r="M30" s="497">
        <v>262</v>
      </c>
      <c r="N30" s="497">
        <v>2</v>
      </c>
      <c r="O30" s="497">
        <v>524</v>
      </c>
      <c r="P30" s="471">
        <v>2</v>
      </c>
      <c r="Q30" s="498">
        <v>262</v>
      </c>
    </row>
    <row r="31" spans="1:17" ht="14.45" customHeight="1" x14ac:dyDescent="0.2">
      <c r="A31" s="465" t="s">
        <v>618</v>
      </c>
      <c r="B31" s="466" t="s">
        <v>560</v>
      </c>
      <c r="C31" s="466" t="s">
        <v>569</v>
      </c>
      <c r="D31" s="466" t="s">
        <v>592</v>
      </c>
      <c r="E31" s="466" t="s">
        <v>593</v>
      </c>
      <c r="F31" s="497"/>
      <c r="G31" s="497"/>
      <c r="H31" s="497"/>
      <c r="I31" s="497"/>
      <c r="J31" s="497">
        <v>0</v>
      </c>
      <c r="K31" s="497">
        <v>0</v>
      </c>
      <c r="L31" s="497"/>
      <c r="M31" s="497"/>
      <c r="N31" s="497">
        <v>0</v>
      </c>
      <c r="O31" s="497">
        <v>0</v>
      </c>
      <c r="P31" s="471"/>
      <c r="Q31" s="498"/>
    </row>
    <row r="32" spans="1:17" ht="14.45" customHeight="1" x14ac:dyDescent="0.2">
      <c r="A32" s="465" t="s">
        <v>619</v>
      </c>
      <c r="B32" s="466" t="s">
        <v>560</v>
      </c>
      <c r="C32" s="466" t="s">
        <v>569</v>
      </c>
      <c r="D32" s="466" t="s">
        <v>572</v>
      </c>
      <c r="E32" s="466" t="s">
        <v>573</v>
      </c>
      <c r="F32" s="497">
        <v>1</v>
      </c>
      <c r="G32" s="497">
        <v>37</v>
      </c>
      <c r="H32" s="497"/>
      <c r="I32" s="497">
        <v>37</v>
      </c>
      <c r="J32" s="497"/>
      <c r="K32" s="497"/>
      <c r="L32" s="497"/>
      <c r="M32" s="497"/>
      <c r="N32" s="497"/>
      <c r="O32" s="497"/>
      <c r="P32" s="471"/>
      <c r="Q32" s="498"/>
    </row>
    <row r="33" spans="1:17" ht="14.45" customHeight="1" x14ac:dyDescent="0.2">
      <c r="A33" s="465" t="s">
        <v>619</v>
      </c>
      <c r="B33" s="466" t="s">
        <v>560</v>
      </c>
      <c r="C33" s="466" t="s">
        <v>569</v>
      </c>
      <c r="D33" s="466" t="s">
        <v>576</v>
      </c>
      <c r="E33" s="466" t="s">
        <v>577</v>
      </c>
      <c r="F33" s="497"/>
      <c r="G33" s="497"/>
      <c r="H33" s="497"/>
      <c r="I33" s="497"/>
      <c r="J33" s="497"/>
      <c r="K33" s="497"/>
      <c r="L33" s="497"/>
      <c r="M33" s="497"/>
      <c r="N33" s="497">
        <v>1</v>
      </c>
      <c r="O33" s="497">
        <v>477</v>
      </c>
      <c r="P33" s="471"/>
      <c r="Q33" s="498">
        <v>477</v>
      </c>
    </row>
    <row r="34" spans="1:17" ht="14.45" customHeight="1" x14ac:dyDescent="0.2">
      <c r="A34" s="465" t="s">
        <v>620</v>
      </c>
      <c r="B34" s="466" t="s">
        <v>560</v>
      </c>
      <c r="C34" s="466" t="s">
        <v>569</v>
      </c>
      <c r="D34" s="466" t="s">
        <v>572</v>
      </c>
      <c r="E34" s="466" t="s">
        <v>573</v>
      </c>
      <c r="F34" s="497"/>
      <c r="G34" s="497"/>
      <c r="H34" s="497"/>
      <c r="I34" s="497"/>
      <c r="J34" s="497"/>
      <c r="K34" s="497"/>
      <c r="L34" s="497"/>
      <c r="M34" s="497"/>
      <c r="N34" s="497">
        <v>1</v>
      </c>
      <c r="O34" s="497">
        <v>38</v>
      </c>
      <c r="P34" s="471"/>
      <c r="Q34" s="498">
        <v>38</v>
      </c>
    </row>
    <row r="35" spans="1:17" ht="14.45" customHeight="1" x14ac:dyDescent="0.2">
      <c r="A35" s="465" t="s">
        <v>621</v>
      </c>
      <c r="B35" s="466" t="s">
        <v>560</v>
      </c>
      <c r="C35" s="466" t="s">
        <v>569</v>
      </c>
      <c r="D35" s="466" t="s">
        <v>572</v>
      </c>
      <c r="E35" s="466" t="s">
        <v>573</v>
      </c>
      <c r="F35" s="497">
        <v>1</v>
      </c>
      <c r="G35" s="497">
        <v>37</v>
      </c>
      <c r="H35" s="497">
        <v>0.48684210526315791</v>
      </c>
      <c r="I35" s="497">
        <v>37</v>
      </c>
      <c r="J35" s="497">
        <v>2</v>
      </c>
      <c r="K35" s="497">
        <v>76</v>
      </c>
      <c r="L35" s="497">
        <v>1</v>
      </c>
      <c r="M35" s="497">
        <v>38</v>
      </c>
      <c r="N35" s="497">
        <v>4</v>
      </c>
      <c r="O35" s="497">
        <v>152</v>
      </c>
      <c r="P35" s="471">
        <v>2</v>
      </c>
      <c r="Q35" s="498">
        <v>38</v>
      </c>
    </row>
    <row r="36" spans="1:17" ht="14.45" customHeight="1" x14ac:dyDescent="0.2">
      <c r="A36" s="465" t="s">
        <v>621</v>
      </c>
      <c r="B36" s="466" t="s">
        <v>560</v>
      </c>
      <c r="C36" s="466" t="s">
        <v>569</v>
      </c>
      <c r="D36" s="466" t="s">
        <v>576</v>
      </c>
      <c r="E36" s="466" t="s">
        <v>577</v>
      </c>
      <c r="F36" s="497"/>
      <c r="G36" s="497"/>
      <c r="H36" s="497"/>
      <c r="I36" s="497"/>
      <c r="J36" s="497"/>
      <c r="K36" s="497"/>
      <c r="L36" s="497"/>
      <c r="M36" s="497"/>
      <c r="N36" s="497">
        <v>4</v>
      </c>
      <c r="O36" s="497">
        <v>1908</v>
      </c>
      <c r="P36" s="471"/>
      <c r="Q36" s="498">
        <v>477</v>
      </c>
    </row>
    <row r="37" spans="1:17" ht="14.45" customHeight="1" x14ac:dyDescent="0.2">
      <c r="A37" s="465" t="s">
        <v>621</v>
      </c>
      <c r="B37" s="466" t="s">
        <v>560</v>
      </c>
      <c r="C37" s="466" t="s">
        <v>569</v>
      </c>
      <c r="D37" s="466" t="s">
        <v>590</v>
      </c>
      <c r="E37" s="466" t="s">
        <v>591</v>
      </c>
      <c r="F37" s="497"/>
      <c r="G37" s="497"/>
      <c r="H37" s="497"/>
      <c r="I37" s="497"/>
      <c r="J37" s="497"/>
      <c r="K37" s="497"/>
      <c r="L37" s="497"/>
      <c r="M37" s="497"/>
      <c r="N37" s="497">
        <v>0</v>
      </c>
      <c r="O37" s="497">
        <v>0</v>
      </c>
      <c r="P37" s="471"/>
      <c r="Q37" s="498"/>
    </row>
    <row r="38" spans="1:17" ht="14.45" customHeight="1" x14ac:dyDescent="0.2">
      <c r="A38" s="465" t="s">
        <v>621</v>
      </c>
      <c r="B38" s="466" t="s">
        <v>560</v>
      </c>
      <c r="C38" s="466" t="s">
        <v>569</v>
      </c>
      <c r="D38" s="466" t="s">
        <v>592</v>
      </c>
      <c r="E38" s="466" t="s">
        <v>593</v>
      </c>
      <c r="F38" s="497"/>
      <c r="G38" s="497"/>
      <c r="H38" s="497"/>
      <c r="I38" s="497"/>
      <c r="J38" s="497">
        <v>1</v>
      </c>
      <c r="K38" s="497">
        <v>3586</v>
      </c>
      <c r="L38" s="497">
        <v>1</v>
      </c>
      <c r="M38" s="497">
        <v>3586</v>
      </c>
      <c r="N38" s="497">
        <v>0</v>
      </c>
      <c r="O38" s="497">
        <v>0</v>
      </c>
      <c r="P38" s="471">
        <v>0</v>
      </c>
      <c r="Q38" s="498"/>
    </row>
    <row r="39" spans="1:17" ht="14.45" customHeight="1" thickBot="1" x14ac:dyDescent="0.25">
      <c r="A39" s="473" t="s">
        <v>622</v>
      </c>
      <c r="B39" s="474" t="s">
        <v>560</v>
      </c>
      <c r="C39" s="474" t="s">
        <v>569</v>
      </c>
      <c r="D39" s="474" t="s">
        <v>623</v>
      </c>
      <c r="E39" s="474" t="s">
        <v>624</v>
      </c>
      <c r="F39" s="489"/>
      <c r="G39" s="489"/>
      <c r="H39" s="489"/>
      <c r="I39" s="489"/>
      <c r="J39" s="489">
        <v>1</v>
      </c>
      <c r="K39" s="489">
        <v>707</v>
      </c>
      <c r="L39" s="489">
        <v>1</v>
      </c>
      <c r="M39" s="489">
        <v>707</v>
      </c>
      <c r="N39" s="489"/>
      <c r="O39" s="489"/>
      <c r="P39" s="479"/>
      <c r="Q39" s="4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AF9D352-6957-40A3-9AC6-56219225651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2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2018</v>
      </c>
      <c r="C3" s="40">
        <v>2019</v>
      </c>
      <c r="D3" s="7"/>
      <c r="E3" s="311">
        <v>2020</v>
      </c>
      <c r="F3" s="312"/>
      <c r="G3" s="312"/>
      <c r="H3" s="313"/>
      <c r="I3" s="314">
        <v>2017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7" t="s">
        <v>232</v>
      </c>
      <c r="J4" s="258" t="s">
        <v>233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1159.1311699999999</v>
      </c>
      <c r="C6" s="31">
        <v>1324.5575599999995</v>
      </c>
      <c r="D6" s="8"/>
      <c r="E6" s="118">
        <v>1952.5632399999993</v>
      </c>
      <c r="F6" s="30">
        <v>0</v>
      </c>
      <c r="G6" s="119">
        <f>E6-F6</f>
        <v>1952.5632399999993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76.049399999999878</v>
      </c>
      <c r="C8" s="33">
        <v>177.73135000000025</v>
      </c>
      <c r="D8" s="8"/>
      <c r="E8" s="120">
        <v>197.44262000000003</v>
      </c>
      <c r="F8" s="32">
        <v>0</v>
      </c>
      <c r="G8" s="121">
        <f>E8-F8</f>
        <v>197.44262000000003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1235.1805699999998</v>
      </c>
      <c r="C9" s="35">
        <v>1502.2889099999998</v>
      </c>
      <c r="D9" s="8"/>
      <c r="E9" s="3">
        <v>2150.0058599999993</v>
      </c>
      <c r="F9" s="34">
        <v>0</v>
      </c>
      <c r="G9" s="34">
        <f>E9-F9</f>
        <v>2150.0058599999993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1809.3363499999998</v>
      </c>
      <c r="C11" s="29">
        <f>IF(ISERROR(VLOOKUP("Celkem:",'ZV Vykáz.-A'!A:H,5,0)),0,VLOOKUP("Celkem:",'ZV Vykáz.-A'!A:H,5,0)/1000)</f>
        <v>3599.7683299999999</v>
      </c>
      <c r="D11" s="8"/>
      <c r="E11" s="117">
        <f>IF(ISERROR(VLOOKUP("Celkem:",'ZV Vykáz.-A'!A:H,8,0)),0,VLOOKUP("Celkem:",'ZV Vykáz.-A'!A:H,8,0)/1000)</f>
        <v>5815.6484400000008</v>
      </c>
      <c r="F11" s="28">
        <f>C11</f>
        <v>3599.7683299999999</v>
      </c>
      <c r="G11" s="116">
        <f>E11-F11</f>
        <v>2215.880110000001</v>
      </c>
      <c r="H11" s="122">
        <f>IF(F11&lt;0.00000001,"",E11/F11)</f>
        <v>1.6155618658937425</v>
      </c>
      <c r="I11" s="116">
        <f>E11-B11</f>
        <v>4006.3120900000013</v>
      </c>
      <c r="J11" s="122">
        <f>IF(B11&lt;0.00000001,"",E11/B11)</f>
        <v>3.2142439629867612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1809.3363499999998</v>
      </c>
      <c r="C13" s="37">
        <f>SUM(C11:C12)</f>
        <v>3599.7683299999999</v>
      </c>
      <c r="D13" s="8"/>
      <c r="E13" s="5">
        <f>SUM(E11:E12)</f>
        <v>5815.6484400000008</v>
      </c>
      <c r="F13" s="36">
        <f>SUM(F11:F12)</f>
        <v>3599.7683299999999</v>
      </c>
      <c r="G13" s="36">
        <f>E13-F13</f>
        <v>2215.880110000001</v>
      </c>
      <c r="H13" s="126">
        <f>IF(F13&lt;0.00000001,"",E13/F13)</f>
        <v>1.6155618658937425</v>
      </c>
      <c r="I13" s="36">
        <f>SUM(I11:I12)</f>
        <v>4006.3120900000013</v>
      </c>
      <c r="J13" s="126">
        <f>IF(B13&lt;0.00000001,"",E13/B13)</f>
        <v>3.2142439629867612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1.4648355017436845</v>
      </c>
      <c r="C15" s="39">
        <f>IF(C9=0,"",C13/C9)</f>
        <v>2.3961891125189765</v>
      </c>
      <c r="D15" s="8"/>
      <c r="E15" s="6">
        <f>IF(E9=0,"",E13/E9)</f>
        <v>2.7049453902418681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5" t="s">
        <v>165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164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211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7AD8F6A2-87E5-4A66-92E6-2CBF5337933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2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5" customHeight="1" x14ac:dyDescent="0.2">
      <c r="A4" s="198" t="s">
        <v>79</v>
      </c>
      <c r="B4" s="201">
        <f>(B10+B8)/B6</f>
        <v>2.234722402286716</v>
      </c>
      <c r="C4" s="201">
        <f t="shared" ref="C4:M4" si="0">(C10+C8)/C6</f>
        <v>2.8304424080288766</v>
      </c>
      <c r="D4" s="201">
        <f t="shared" si="0"/>
        <v>2.7954019280897024</v>
      </c>
      <c r="E4" s="201">
        <f t="shared" si="0"/>
        <v>3.0603738189064549</v>
      </c>
      <c r="F4" s="201">
        <f t="shared" si="0"/>
        <v>3.0914411780911317</v>
      </c>
      <c r="G4" s="201">
        <f t="shared" si="0"/>
        <v>3.2077423820642958</v>
      </c>
      <c r="H4" s="201">
        <f t="shared" si="0"/>
        <v>3.4100888169176917</v>
      </c>
      <c r="I4" s="201">
        <f t="shared" si="0"/>
        <v>3.4303311926438158</v>
      </c>
      <c r="J4" s="201">
        <f t="shared" si="0"/>
        <v>3.4446602296419955</v>
      </c>
      <c r="K4" s="201">
        <f t="shared" si="0"/>
        <v>3.3868966395906859</v>
      </c>
      <c r="L4" s="201">
        <f t="shared" si="0"/>
        <v>3.3868966395906859</v>
      </c>
      <c r="M4" s="201">
        <f t="shared" si="0"/>
        <v>3.3868966395906859</v>
      </c>
    </row>
    <row r="5" spans="1:13" ht="14.45" customHeight="1" x14ac:dyDescent="0.2">
      <c r="A5" s="202" t="s">
        <v>52</v>
      </c>
      <c r="B5" s="201">
        <f>IF(ISERROR(VLOOKUP($A5,'Man Tab'!$A:$Q,COLUMN()+2,0)),0,VLOOKUP($A5,'Man Tab'!$A:$Q,COLUMN()+2,0))</f>
        <v>226.7706</v>
      </c>
      <c r="C5" s="201">
        <f>IF(ISERROR(VLOOKUP($A5,'Man Tab'!$A:$Q,COLUMN()+2,0)),0,VLOOKUP($A5,'Man Tab'!$A:$Q,COLUMN()+2,0))</f>
        <v>147.90298000000001</v>
      </c>
      <c r="D5" s="201">
        <f>IF(ISERROR(VLOOKUP($A5,'Man Tab'!$A:$Q,COLUMN()+2,0)),0,VLOOKUP($A5,'Man Tab'!$A:$Q,COLUMN()+2,0))</f>
        <v>227.62931</v>
      </c>
      <c r="E5" s="201">
        <f>IF(ISERROR(VLOOKUP($A5,'Man Tab'!$A:$Q,COLUMN()+2,0)),0,VLOOKUP($A5,'Man Tab'!$A:$Q,COLUMN()+2,0))</f>
        <v>139.30432999999999</v>
      </c>
      <c r="F5" s="201">
        <f>IF(ISERROR(VLOOKUP($A5,'Man Tab'!$A:$Q,COLUMN()+2,0)),0,VLOOKUP($A5,'Man Tab'!$A:$Q,COLUMN()+2,0))</f>
        <v>188.18231</v>
      </c>
      <c r="G5" s="201">
        <f>IF(ISERROR(VLOOKUP($A5,'Man Tab'!$A:$Q,COLUMN()+2,0)),0,VLOOKUP($A5,'Man Tab'!$A:$Q,COLUMN()+2,0))</f>
        <v>133.19857000000002</v>
      </c>
      <c r="H5" s="201">
        <f>IF(ISERROR(VLOOKUP($A5,'Man Tab'!$A:$Q,COLUMN()+2,0)),0,VLOOKUP($A5,'Man Tab'!$A:$Q,COLUMN()+2,0))</f>
        <v>100.93430000000001</v>
      </c>
      <c r="I5" s="201">
        <f>IF(ISERROR(VLOOKUP($A5,'Man Tab'!$A:$Q,COLUMN()+2,0)),0,VLOOKUP($A5,'Man Tab'!$A:$Q,COLUMN()+2,0))</f>
        <v>183.61538000000002</v>
      </c>
      <c r="J5" s="201">
        <f>IF(ISERROR(VLOOKUP($A5,'Man Tab'!$A:$Q,COLUMN()+2,0)),0,VLOOKUP($A5,'Man Tab'!$A:$Q,COLUMN()+2,0))</f>
        <v>166.78192999999999</v>
      </c>
      <c r="K5" s="201">
        <f>IF(ISERROR(VLOOKUP($A5,'Man Tab'!$A:$Q,COLUMN()+2,0)),0,VLOOKUP($A5,'Man Tab'!$A:$Q,COLUMN()+2,0))</f>
        <v>202.78272000000001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75</v>
      </c>
      <c r="B6" s="203">
        <f>B5</f>
        <v>226.7706</v>
      </c>
      <c r="C6" s="203">
        <f t="shared" ref="C6:M6" si="1">C5+B6</f>
        <v>374.67358000000002</v>
      </c>
      <c r="D6" s="203">
        <f t="shared" si="1"/>
        <v>602.30289000000005</v>
      </c>
      <c r="E6" s="203">
        <f t="shared" si="1"/>
        <v>741.6072200000001</v>
      </c>
      <c r="F6" s="203">
        <f t="shared" si="1"/>
        <v>929.78953000000013</v>
      </c>
      <c r="G6" s="203">
        <f t="shared" si="1"/>
        <v>1062.9881</v>
      </c>
      <c r="H6" s="203">
        <f t="shared" si="1"/>
        <v>1163.9223999999999</v>
      </c>
      <c r="I6" s="203">
        <f t="shared" si="1"/>
        <v>1347.5377799999999</v>
      </c>
      <c r="J6" s="203">
        <f t="shared" si="1"/>
        <v>1514.3197099999998</v>
      </c>
      <c r="K6" s="203">
        <f t="shared" si="1"/>
        <v>1717.1024299999997</v>
      </c>
      <c r="L6" s="203">
        <f t="shared" si="1"/>
        <v>1717.1024299999997</v>
      </c>
      <c r="M6" s="203">
        <f t="shared" si="1"/>
        <v>1717.1024299999997</v>
      </c>
    </row>
    <row r="7" spans="1:13" ht="14.45" customHeight="1" x14ac:dyDescent="0.2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101</v>
      </c>
      <c r="B9" s="202">
        <v>506769.33999999997</v>
      </c>
      <c r="C9" s="202">
        <v>553722.65</v>
      </c>
      <c r="D9" s="202">
        <v>623186.66999999993</v>
      </c>
      <c r="E9" s="202">
        <v>585916.66</v>
      </c>
      <c r="F9" s="202">
        <v>604794.32000000007</v>
      </c>
      <c r="G9" s="202">
        <v>535402.34000000008</v>
      </c>
      <c r="H9" s="202">
        <v>559286.78</v>
      </c>
      <c r="I9" s="202">
        <v>653422.12000000011</v>
      </c>
      <c r="J9" s="202">
        <v>593815.99999999988</v>
      </c>
      <c r="K9" s="202">
        <v>599331.57000000007</v>
      </c>
      <c r="L9" s="202">
        <v>0</v>
      </c>
      <c r="M9" s="202">
        <v>0</v>
      </c>
    </row>
    <row r="10" spans="1:13" ht="14.45" customHeight="1" x14ac:dyDescent="0.2">
      <c r="A10" s="202" t="s">
        <v>77</v>
      </c>
      <c r="B10" s="203">
        <f>B9/1000</f>
        <v>506.76933999999994</v>
      </c>
      <c r="C10" s="203">
        <f t="shared" ref="C10:M10" si="3">C9/1000+B10</f>
        <v>1060.49199</v>
      </c>
      <c r="D10" s="203">
        <f t="shared" si="3"/>
        <v>1683.67866</v>
      </c>
      <c r="E10" s="203">
        <f t="shared" si="3"/>
        <v>2269.5953199999999</v>
      </c>
      <c r="F10" s="203">
        <f t="shared" si="3"/>
        <v>2874.3896399999999</v>
      </c>
      <c r="G10" s="203">
        <f t="shared" si="3"/>
        <v>3409.79198</v>
      </c>
      <c r="H10" s="203">
        <f t="shared" si="3"/>
        <v>3969.0787599999999</v>
      </c>
      <c r="I10" s="203">
        <f t="shared" si="3"/>
        <v>4622.5008799999996</v>
      </c>
      <c r="J10" s="203">
        <f t="shared" si="3"/>
        <v>5216.3168799999994</v>
      </c>
      <c r="K10" s="203">
        <f t="shared" si="3"/>
        <v>5815.6484499999997</v>
      </c>
      <c r="L10" s="203">
        <f t="shared" si="3"/>
        <v>5815.6484499999997</v>
      </c>
      <c r="M10" s="203">
        <f t="shared" si="3"/>
        <v>5815.6484499999997</v>
      </c>
    </row>
    <row r="11" spans="1:13" ht="14.45" customHeight="1" x14ac:dyDescent="0.2">
      <c r="A11" s="198"/>
      <c r="B11" s="198" t="s">
        <v>92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4A004959-F45F-4045-9406-7FFFF2BD142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4" customFormat="1" ht="14.45" customHeight="1" thickBot="1" x14ac:dyDescent="0.25">
      <c r="A2" s="232" t="s">
        <v>235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2020</v>
      </c>
      <c r="C4" s="138" t="s">
        <v>29</v>
      </c>
      <c r="D4" s="251" t="s">
        <v>212</v>
      </c>
      <c r="E4" s="251" t="s">
        <v>213</v>
      </c>
      <c r="F4" s="251" t="s">
        <v>214</v>
      </c>
      <c r="G4" s="251" t="s">
        <v>215</v>
      </c>
      <c r="H4" s="251" t="s">
        <v>216</v>
      </c>
      <c r="I4" s="251" t="s">
        <v>217</v>
      </c>
      <c r="J4" s="251" t="s">
        <v>218</v>
      </c>
      <c r="K4" s="251" t="s">
        <v>219</v>
      </c>
      <c r="L4" s="251" t="s">
        <v>220</v>
      </c>
      <c r="M4" s="251" t="s">
        <v>221</v>
      </c>
      <c r="N4" s="251" t="s">
        <v>222</v>
      </c>
      <c r="O4" s="251" t="s">
        <v>223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2295.9999997999998</v>
      </c>
      <c r="C9" s="52">
        <v>191.33333331666665</v>
      </c>
      <c r="D9" s="52">
        <v>217.1722</v>
      </c>
      <c r="E9" s="52">
        <v>114.19864</v>
      </c>
      <c r="F9" s="52">
        <v>217.64770000000001</v>
      </c>
      <c r="G9" s="52">
        <v>131.68396999999999</v>
      </c>
      <c r="H9" s="52">
        <v>166.28334000000001</v>
      </c>
      <c r="I9" s="52">
        <v>126.28488</v>
      </c>
      <c r="J9" s="52">
        <v>95.815539999999999</v>
      </c>
      <c r="K9" s="52">
        <v>176.24617999999998</v>
      </c>
      <c r="L9" s="52">
        <v>159.78903</v>
      </c>
      <c r="M9" s="52">
        <v>194.62505999999999</v>
      </c>
      <c r="N9" s="52">
        <v>0</v>
      </c>
      <c r="O9" s="52">
        <v>0</v>
      </c>
      <c r="P9" s="53">
        <v>1599.7465399999999</v>
      </c>
      <c r="Q9" s="95">
        <v>0.6967537195728879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0.42963999999999997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0.42963999999999997</v>
      </c>
      <c r="Q12" s="95" t="s">
        <v>236</v>
      </c>
    </row>
    <row r="13" spans="1:17" ht="14.45" customHeight="1" x14ac:dyDescent="0.2">
      <c r="A13" s="15" t="s">
        <v>40</v>
      </c>
      <c r="B13" s="51">
        <v>30</v>
      </c>
      <c r="C13" s="52">
        <v>2.5</v>
      </c>
      <c r="D13" s="52">
        <v>3.1314000000000002</v>
      </c>
      <c r="E13" s="52">
        <v>2.6595800000000001</v>
      </c>
      <c r="F13" s="52">
        <v>4.3466100000000001</v>
      </c>
      <c r="G13" s="52">
        <v>2.1877199999999997</v>
      </c>
      <c r="H13" s="52">
        <v>1.5013699999999999</v>
      </c>
      <c r="I13" s="52">
        <v>2.26145</v>
      </c>
      <c r="J13" s="52">
        <v>0.48575999999999997</v>
      </c>
      <c r="K13" s="52">
        <v>2.3846400000000001</v>
      </c>
      <c r="L13" s="52">
        <v>2.0019</v>
      </c>
      <c r="M13" s="52">
        <v>2.2521599999999999</v>
      </c>
      <c r="N13" s="52">
        <v>0</v>
      </c>
      <c r="O13" s="52">
        <v>0</v>
      </c>
      <c r="P13" s="53">
        <v>23.212589999999999</v>
      </c>
      <c r="Q13" s="95">
        <v>0.77375299999999991</v>
      </c>
    </row>
    <row r="14" spans="1:17" ht="14.45" customHeight="1" x14ac:dyDescent="0.2">
      <c r="A14" s="15" t="s">
        <v>41</v>
      </c>
      <c r="B14" s="51">
        <v>32.255018100000001</v>
      </c>
      <c r="C14" s="52">
        <v>2.6879181750000001</v>
      </c>
      <c r="D14" s="52">
        <v>3.9340000000000002</v>
      </c>
      <c r="E14" s="52">
        <v>3.0939999999999999</v>
      </c>
      <c r="F14" s="52">
        <v>3.1019999999999999</v>
      </c>
      <c r="G14" s="52">
        <v>2.4700000000000002</v>
      </c>
      <c r="H14" s="52">
        <v>2.2690000000000001</v>
      </c>
      <c r="I14" s="52">
        <v>1.871</v>
      </c>
      <c r="J14" s="52">
        <v>1.8520000000000001</v>
      </c>
      <c r="K14" s="52">
        <v>1.8819999999999999</v>
      </c>
      <c r="L14" s="52">
        <v>1.96</v>
      </c>
      <c r="M14" s="52">
        <v>2.7</v>
      </c>
      <c r="N14" s="52">
        <v>0</v>
      </c>
      <c r="O14" s="52">
        <v>0</v>
      </c>
      <c r="P14" s="53">
        <v>25.134000000000004</v>
      </c>
      <c r="Q14" s="95">
        <v>0.77922758939639236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11.779507600000001</v>
      </c>
      <c r="C17" s="52">
        <v>0.98162563333333341</v>
      </c>
      <c r="D17" s="52">
        <v>0</v>
      </c>
      <c r="E17" s="52">
        <v>13.77455</v>
      </c>
      <c r="F17" s="52">
        <v>0</v>
      </c>
      <c r="G17" s="52">
        <v>0</v>
      </c>
      <c r="H17" s="52">
        <v>0.2</v>
      </c>
      <c r="I17" s="52">
        <v>0.248</v>
      </c>
      <c r="J17" s="52">
        <v>0.248</v>
      </c>
      <c r="K17" s="52">
        <v>0.56955999999999996</v>
      </c>
      <c r="L17" s="52">
        <v>0.498</v>
      </c>
      <c r="M17" s="52">
        <v>0.67200000000000004</v>
      </c>
      <c r="N17" s="52">
        <v>0</v>
      </c>
      <c r="O17" s="52">
        <v>0</v>
      </c>
      <c r="P17" s="53">
        <v>16.210109999999997</v>
      </c>
      <c r="Q17" s="95">
        <v>1.3761279800863659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10.407629499999999</v>
      </c>
      <c r="C19" s="52">
        <v>0.86730245833333319</v>
      </c>
      <c r="D19" s="52">
        <v>0</v>
      </c>
      <c r="E19" s="52">
        <v>11.64321</v>
      </c>
      <c r="F19" s="52">
        <v>0</v>
      </c>
      <c r="G19" s="52">
        <v>0</v>
      </c>
      <c r="H19" s="52">
        <v>15.3956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27.038809999999998</v>
      </c>
      <c r="Q19" s="95">
        <v>2.5979796840385219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27.873686599999999</v>
      </c>
      <c r="C21" s="52">
        <v>2.3228072166666665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2.5329999999999999</v>
      </c>
      <c r="K21" s="52">
        <v>2.5329999999999999</v>
      </c>
      <c r="L21" s="52">
        <v>2.5329999999999999</v>
      </c>
      <c r="M21" s="52">
        <v>2.5329999999999999</v>
      </c>
      <c r="N21" s="52">
        <v>0</v>
      </c>
      <c r="O21" s="52">
        <v>0</v>
      </c>
      <c r="P21" s="53">
        <v>25.330000000000002</v>
      </c>
      <c r="Q21" s="95">
        <v>0.90874236922790119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2.4000000001933586E-4</v>
      </c>
      <c r="J24" s="52">
        <v>0</v>
      </c>
      <c r="K24" s="52">
        <v>0</v>
      </c>
      <c r="L24" s="52">
        <v>0</v>
      </c>
      <c r="M24" s="52">
        <v>5.0000000004501999E-4</v>
      </c>
      <c r="N24" s="52">
        <v>0</v>
      </c>
      <c r="O24" s="52">
        <v>0</v>
      </c>
      <c r="P24" s="53">
        <v>7.4000000006435585E-4</v>
      </c>
      <c r="Q24" s="95" t="s">
        <v>236</v>
      </c>
    </row>
    <row r="25" spans="1:17" ht="14.45" customHeight="1" x14ac:dyDescent="0.2">
      <c r="A25" s="17" t="s">
        <v>52</v>
      </c>
      <c r="B25" s="54">
        <v>2408.3158416000001</v>
      </c>
      <c r="C25" s="55">
        <v>200.6929868</v>
      </c>
      <c r="D25" s="55">
        <v>226.7706</v>
      </c>
      <c r="E25" s="55">
        <v>147.90298000000001</v>
      </c>
      <c r="F25" s="55">
        <v>227.62931</v>
      </c>
      <c r="G25" s="55">
        <v>139.30432999999999</v>
      </c>
      <c r="H25" s="55">
        <v>188.18231</v>
      </c>
      <c r="I25" s="55">
        <v>133.19857000000002</v>
      </c>
      <c r="J25" s="55">
        <v>100.93430000000001</v>
      </c>
      <c r="K25" s="55">
        <v>183.61538000000002</v>
      </c>
      <c r="L25" s="55">
        <v>166.78192999999999</v>
      </c>
      <c r="M25" s="55">
        <v>202.78272000000001</v>
      </c>
      <c r="N25" s="55">
        <v>0</v>
      </c>
      <c r="O25" s="55">
        <v>0</v>
      </c>
      <c r="P25" s="56">
        <v>1717.1024299999997</v>
      </c>
      <c r="Q25" s="96">
        <v>0.71298888639922631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236</v>
      </c>
    </row>
    <row r="27" spans="1:17" ht="14.45" customHeight="1" x14ac:dyDescent="0.2">
      <c r="A27" s="18" t="s">
        <v>54</v>
      </c>
      <c r="B27" s="54">
        <v>2408.3158416000001</v>
      </c>
      <c r="C27" s="55">
        <v>200.6929868</v>
      </c>
      <c r="D27" s="55">
        <v>226.7706</v>
      </c>
      <c r="E27" s="55">
        <v>147.90298000000001</v>
      </c>
      <c r="F27" s="55">
        <v>227.62931</v>
      </c>
      <c r="G27" s="55">
        <v>139.30432999999999</v>
      </c>
      <c r="H27" s="55">
        <v>188.18231</v>
      </c>
      <c r="I27" s="55">
        <v>133.19857000000002</v>
      </c>
      <c r="J27" s="55">
        <v>100.93430000000001</v>
      </c>
      <c r="K27" s="55">
        <v>183.61538000000002</v>
      </c>
      <c r="L27" s="55">
        <v>166.78192999999999</v>
      </c>
      <c r="M27" s="55">
        <v>202.78272000000001</v>
      </c>
      <c r="N27" s="55">
        <v>0</v>
      </c>
      <c r="O27" s="55">
        <v>0</v>
      </c>
      <c r="P27" s="56">
        <v>1717.1024299999997</v>
      </c>
      <c r="Q27" s="96">
        <v>0.71298888639922631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6E8811A-DD96-4121-8B0D-F1B8D706B47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2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228</v>
      </c>
      <c r="G4" s="329" t="s">
        <v>63</v>
      </c>
      <c r="H4" s="140" t="s">
        <v>136</v>
      </c>
      <c r="I4" s="327" t="s">
        <v>64</v>
      </c>
      <c r="J4" s="329" t="s">
        <v>230</v>
      </c>
      <c r="K4" s="330" t="s">
        <v>231</v>
      </c>
    </row>
    <row r="5" spans="1:13" ht="39" thickBot="1" x14ac:dyDescent="0.25">
      <c r="A5" s="78"/>
      <c r="B5" s="24" t="s">
        <v>224</v>
      </c>
      <c r="C5" s="25" t="s">
        <v>225</v>
      </c>
      <c r="D5" s="26" t="s">
        <v>226</v>
      </c>
      <c r="E5" s="26" t="s">
        <v>227</v>
      </c>
      <c r="F5" s="328"/>
      <c r="G5" s="328"/>
      <c r="H5" s="25" t="s">
        <v>229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-65.047508999999906</v>
      </c>
      <c r="C6" s="429">
        <v>3961.8016400000001</v>
      </c>
      <c r="D6" s="429">
        <v>4026.8491490000001</v>
      </c>
      <c r="E6" s="430">
        <v>-60.906277594734732</v>
      </c>
      <c r="F6" s="428">
        <v>-2408.3158416000001</v>
      </c>
      <c r="G6" s="429">
        <v>-2006.9298679999999</v>
      </c>
      <c r="H6" s="429">
        <v>602.82730000000004</v>
      </c>
      <c r="I6" s="429">
        <v>6678.6364299999996</v>
      </c>
      <c r="J6" s="429">
        <v>8685.5662979999997</v>
      </c>
      <c r="K6" s="431">
        <v>-2.7731563753543842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1614.3918230000002</v>
      </c>
      <c r="C7" s="429">
        <v>1614.68019</v>
      </c>
      <c r="D7" s="429">
        <v>0.28836699999988014</v>
      </c>
      <c r="E7" s="430">
        <v>1.0001786226837199</v>
      </c>
      <c r="F7" s="428">
        <v>2408.3158416000001</v>
      </c>
      <c r="G7" s="429">
        <v>2006.9298679999999</v>
      </c>
      <c r="H7" s="429">
        <v>202.78272000000001</v>
      </c>
      <c r="I7" s="429">
        <v>1717.1024299999999</v>
      </c>
      <c r="J7" s="429">
        <v>-289.82743800000003</v>
      </c>
      <c r="K7" s="431">
        <v>0.71298888639922642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1549.959803</v>
      </c>
      <c r="C8" s="429">
        <v>1488.94669</v>
      </c>
      <c r="D8" s="429">
        <v>-61.013112999999976</v>
      </c>
      <c r="E8" s="430">
        <v>0.9606356804338364</v>
      </c>
      <c r="F8" s="428">
        <v>2358.2550179</v>
      </c>
      <c r="G8" s="429">
        <v>1965.2125149166668</v>
      </c>
      <c r="H8" s="429">
        <v>199.57772</v>
      </c>
      <c r="I8" s="429">
        <v>1648.52351</v>
      </c>
      <c r="J8" s="429">
        <v>-316.68900491666682</v>
      </c>
      <c r="K8" s="431">
        <v>0.69904378342762608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1516.8548270000001</v>
      </c>
      <c r="C9" s="429">
        <v>1455.6236899999999</v>
      </c>
      <c r="D9" s="429">
        <v>-61.231137000000217</v>
      </c>
      <c r="E9" s="430">
        <v>0.95963282978035436</v>
      </c>
      <c r="F9" s="428">
        <v>2325.9999997999998</v>
      </c>
      <c r="G9" s="429">
        <v>1938.3333331666665</v>
      </c>
      <c r="H9" s="429">
        <v>196.87772000000001</v>
      </c>
      <c r="I9" s="429">
        <v>1623.38951</v>
      </c>
      <c r="J9" s="429">
        <v>-314.94382316666656</v>
      </c>
      <c r="K9" s="431">
        <v>0.69793186162492971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5.5000000000000003E-4</v>
      </c>
      <c r="D10" s="429">
        <v>5.5000000000000003E-4</v>
      </c>
      <c r="E10" s="430">
        <v>0</v>
      </c>
      <c r="F10" s="428">
        <v>0</v>
      </c>
      <c r="G10" s="429">
        <v>0</v>
      </c>
      <c r="H10" s="429">
        <v>5.0000000000000001E-4</v>
      </c>
      <c r="I10" s="429">
        <v>7.3999999999999999E-4</v>
      </c>
      <c r="J10" s="429">
        <v>7.3999999999999999E-4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5.5000000000000003E-4</v>
      </c>
      <c r="D11" s="429">
        <v>5.5000000000000003E-4</v>
      </c>
      <c r="E11" s="430">
        <v>0</v>
      </c>
      <c r="F11" s="428">
        <v>0</v>
      </c>
      <c r="G11" s="429">
        <v>0</v>
      </c>
      <c r="H11" s="429">
        <v>5.0000000000000001E-4</v>
      </c>
      <c r="I11" s="429">
        <v>7.3999999999999999E-4</v>
      </c>
      <c r="J11" s="429">
        <v>7.3999999999999999E-4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1496.5678479999999</v>
      </c>
      <c r="C12" s="429">
        <v>1428.40227</v>
      </c>
      <c r="D12" s="429">
        <v>-68.165577999999869</v>
      </c>
      <c r="E12" s="430">
        <v>0.9544520630380402</v>
      </c>
      <c r="F12" s="428">
        <v>2295.9999997999998</v>
      </c>
      <c r="G12" s="429">
        <v>1913.3333331666665</v>
      </c>
      <c r="H12" s="429">
        <v>194.62505999999999</v>
      </c>
      <c r="I12" s="429">
        <v>1599.7465400000001</v>
      </c>
      <c r="J12" s="429">
        <v>-313.58679316666644</v>
      </c>
      <c r="K12" s="431">
        <v>0.69675371957288801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190.171063</v>
      </c>
      <c r="C13" s="429">
        <v>174.00574</v>
      </c>
      <c r="D13" s="429">
        <v>-16.165323000000001</v>
      </c>
      <c r="E13" s="430">
        <v>0.91499588452108505</v>
      </c>
      <c r="F13" s="428">
        <v>190</v>
      </c>
      <c r="G13" s="429">
        <v>158.33333333333334</v>
      </c>
      <c r="H13" s="429">
        <v>14.033010000000001</v>
      </c>
      <c r="I13" s="429">
        <v>242.53563</v>
      </c>
      <c r="J13" s="429">
        <v>84.202296666666655</v>
      </c>
      <c r="K13" s="431">
        <v>1.2765033157894736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606.31943100000001</v>
      </c>
      <c r="C14" s="429">
        <v>655.62228000000005</v>
      </c>
      <c r="D14" s="429">
        <v>49.302849000000037</v>
      </c>
      <c r="E14" s="430">
        <v>1.0813149743835275</v>
      </c>
      <c r="F14" s="428">
        <v>1440</v>
      </c>
      <c r="G14" s="429">
        <v>1200</v>
      </c>
      <c r="H14" s="429">
        <v>80.953270000000003</v>
      </c>
      <c r="I14" s="429">
        <v>681.32119999999998</v>
      </c>
      <c r="J14" s="429">
        <v>-518.67880000000002</v>
      </c>
      <c r="K14" s="431">
        <v>0.47313972222222223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540.07479899999998</v>
      </c>
      <c r="C15" s="429">
        <v>491.80284999999998</v>
      </c>
      <c r="D15" s="429">
        <v>-48.271949000000006</v>
      </c>
      <c r="E15" s="430">
        <v>0.91061988248779591</v>
      </c>
      <c r="F15" s="428">
        <v>535.99999979999996</v>
      </c>
      <c r="G15" s="429">
        <v>446.66666649999996</v>
      </c>
      <c r="H15" s="429">
        <v>85.257429999999999</v>
      </c>
      <c r="I15" s="429">
        <v>540.31209000000001</v>
      </c>
      <c r="J15" s="429">
        <v>93.645423500000049</v>
      </c>
      <c r="K15" s="431">
        <v>1.0080449444059871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39.949075000000001</v>
      </c>
      <c r="C16" s="429">
        <v>31.524939999999997</v>
      </c>
      <c r="D16" s="429">
        <v>-8.4241350000000033</v>
      </c>
      <c r="E16" s="430">
        <v>0.78912815878715581</v>
      </c>
      <c r="F16" s="428">
        <v>34.999999799999998</v>
      </c>
      <c r="G16" s="429">
        <v>29.166666499999998</v>
      </c>
      <c r="H16" s="429">
        <v>7.1453500000000005</v>
      </c>
      <c r="I16" s="429">
        <v>42.872309999999999</v>
      </c>
      <c r="J16" s="429">
        <v>13.705643500000001</v>
      </c>
      <c r="K16" s="431">
        <v>1.2249231498567037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90.053479999999993</v>
      </c>
      <c r="C17" s="429">
        <v>70.8172</v>
      </c>
      <c r="D17" s="429">
        <v>-19.236279999999994</v>
      </c>
      <c r="E17" s="430">
        <v>0.78639048707501369</v>
      </c>
      <c r="F17" s="428">
        <v>90.000000199999988</v>
      </c>
      <c r="G17" s="429">
        <v>75.000000166666652</v>
      </c>
      <c r="H17" s="429">
        <v>7.2359999999999998</v>
      </c>
      <c r="I17" s="429">
        <v>83.446799999999996</v>
      </c>
      <c r="J17" s="429">
        <v>8.4467998333333441</v>
      </c>
      <c r="K17" s="431">
        <v>0.92718666460625199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30</v>
      </c>
      <c r="C18" s="429">
        <v>4.6292600000000004</v>
      </c>
      <c r="D18" s="429">
        <v>-25.370739999999998</v>
      </c>
      <c r="E18" s="430">
        <v>0.15430866666666668</v>
      </c>
      <c r="F18" s="428">
        <v>5</v>
      </c>
      <c r="G18" s="429">
        <v>4.166666666666667</v>
      </c>
      <c r="H18" s="429">
        <v>0</v>
      </c>
      <c r="I18" s="429">
        <v>9.2585099999999994</v>
      </c>
      <c r="J18" s="429">
        <v>5.0918433333333324</v>
      </c>
      <c r="K18" s="431">
        <v>1.851702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7.2762099999999998</v>
      </c>
      <c r="D19" s="429">
        <v>7.2762099999999998</v>
      </c>
      <c r="E19" s="430">
        <v>0</v>
      </c>
      <c r="F19" s="428">
        <v>0</v>
      </c>
      <c r="G19" s="429">
        <v>0</v>
      </c>
      <c r="H19" s="429">
        <v>0</v>
      </c>
      <c r="I19" s="429">
        <v>0</v>
      </c>
      <c r="J19" s="429">
        <v>0</v>
      </c>
      <c r="K19" s="431">
        <v>0</v>
      </c>
      <c r="L19" s="150"/>
      <c r="M19" s="427" t="str">
        <f t="shared" si="0"/>
        <v>X</v>
      </c>
    </row>
    <row r="20" spans="1:13" ht="14.45" customHeight="1" x14ac:dyDescent="0.2">
      <c r="A20" s="432" t="s">
        <v>251</v>
      </c>
      <c r="B20" s="428">
        <v>0</v>
      </c>
      <c r="C20" s="429">
        <v>7.2762099999999998</v>
      </c>
      <c r="D20" s="429">
        <v>7.2762099999999998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/>
      </c>
    </row>
    <row r="21" spans="1:13" ht="14.45" customHeight="1" x14ac:dyDescent="0.2">
      <c r="A21" s="432" t="s">
        <v>252</v>
      </c>
      <c r="B21" s="428">
        <v>0</v>
      </c>
      <c r="C21" s="429">
        <v>0</v>
      </c>
      <c r="D21" s="429">
        <v>0</v>
      </c>
      <c r="E21" s="430">
        <v>0</v>
      </c>
      <c r="F21" s="428">
        <v>0</v>
      </c>
      <c r="G21" s="429">
        <v>0</v>
      </c>
      <c r="H21" s="429">
        <v>0</v>
      </c>
      <c r="I21" s="429">
        <v>0.42963999999999997</v>
      </c>
      <c r="J21" s="429">
        <v>0.42963999999999997</v>
      </c>
      <c r="K21" s="431">
        <v>0</v>
      </c>
      <c r="L21" s="150"/>
      <c r="M21" s="427" t="str">
        <f t="shared" si="0"/>
        <v>X</v>
      </c>
    </row>
    <row r="22" spans="1:13" ht="14.45" customHeight="1" x14ac:dyDescent="0.2">
      <c r="A22" s="432" t="s">
        <v>253</v>
      </c>
      <c r="B22" s="428">
        <v>0</v>
      </c>
      <c r="C22" s="429">
        <v>0</v>
      </c>
      <c r="D22" s="429">
        <v>0</v>
      </c>
      <c r="E22" s="430">
        <v>0</v>
      </c>
      <c r="F22" s="428">
        <v>0</v>
      </c>
      <c r="G22" s="429">
        <v>0</v>
      </c>
      <c r="H22" s="429">
        <v>0</v>
      </c>
      <c r="I22" s="429">
        <v>0.42963999999999997</v>
      </c>
      <c r="J22" s="429">
        <v>0.42963999999999997</v>
      </c>
      <c r="K22" s="431">
        <v>0</v>
      </c>
      <c r="L22" s="150"/>
      <c r="M22" s="427" t="str">
        <f t="shared" si="0"/>
        <v/>
      </c>
    </row>
    <row r="23" spans="1:13" ht="14.45" customHeight="1" x14ac:dyDescent="0.2">
      <c r="A23" s="432" t="s">
        <v>254</v>
      </c>
      <c r="B23" s="428">
        <v>20.286978999999999</v>
      </c>
      <c r="C23" s="429">
        <v>19.944659999999999</v>
      </c>
      <c r="D23" s="429">
        <v>-0.34231899999999982</v>
      </c>
      <c r="E23" s="430">
        <v>0.98312617171832239</v>
      </c>
      <c r="F23" s="428">
        <v>30</v>
      </c>
      <c r="G23" s="429">
        <v>25</v>
      </c>
      <c r="H23" s="429">
        <v>2.2521599999999999</v>
      </c>
      <c r="I23" s="429">
        <v>23.212589999999999</v>
      </c>
      <c r="J23" s="429">
        <v>-1.7874100000000013</v>
      </c>
      <c r="K23" s="431">
        <v>0.77375299999999991</v>
      </c>
      <c r="L23" s="150"/>
      <c r="M23" s="427" t="str">
        <f t="shared" si="0"/>
        <v>X</v>
      </c>
    </row>
    <row r="24" spans="1:13" ht="14.45" customHeight="1" x14ac:dyDescent="0.2">
      <c r="A24" s="432" t="s">
        <v>255</v>
      </c>
      <c r="B24" s="428">
        <v>2</v>
      </c>
      <c r="C24" s="429">
        <v>0.44351999999999997</v>
      </c>
      <c r="D24" s="429">
        <v>-1.5564800000000001</v>
      </c>
      <c r="E24" s="430">
        <v>0.22175999999999998</v>
      </c>
      <c r="F24" s="428">
        <v>2</v>
      </c>
      <c r="G24" s="429">
        <v>1.6666666666666665</v>
      </c>
      <c r="H24" s="429">
        <v>0</v>
      </c>
      <c r="I24" s="429">
        <v>1.37774</v>
      </c>
      <c r="J24" s="429">
        <v>-0.28892666666666655</v>
      </c>
      <c r="K24" s="431">
        <v>0.68886999999999998</v>
      </c>
      <c r="L24" s="150"/>
      <c r="M24" s="427" t="str">
        <f t="shared" si="0"/>
        <v/>
      </c>
    </row>
    <row r="25" spans="1:13" ht="14.45" customHeight="1" x14ac:dyDescent="0.2">
      <c r="A25" s="432" t="s">
        <v>256</v>
      </c>
      <c r="B25" s="428">
        <v>18.286978999999999</v>
      </c>
      <c r="C25" s="429">
        <v>19.501139999999999</v>
      </c>
      <c r="D25" s="429">
        <v>1.2141610000000007</v>
      </c>
      <c r="E25" s="430">
        <v>1.0663948375508061</v>
      </c>
      <c r="F25" s="428">
        <v>28</v>
      </c>
      <c r="G25" s="429">
        <v>23.333333333333336</v>
      </c>
      <c r="H25" s="429">
        <v>2.2521599999999999</v>
      </c>
      <c r="I25" s="429">
        <v>21.834849999999999</v>
      </c>
      <c r="J25" s="429">
        <v>-1.4984833333333363</v>
      </c>
      <c r="K25" s="431">
        <v>0.77981607142857146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33.104976000000001</v>
      </c>
      <c r="C26" s="429">
        <v>33.323</v>
      </c>
      <c r="D26" s="429">
        <v>0.21802399999999977</v>
      </c>
      <c r="E26" s="430">
        <v>1.0065858377302555</v>
      </c>
      <c r="F26" s="428">
        <v>32.255018100000001</v>
      </c>
      <c r="G26" s="429">
        <v>26.879181750000001</v>
      </c>
      <c r="H26" s="429">
        <v>2.7</v>
      </c>
      <c r="I26" s="429">
        <v>25.134</v>
      </c>
      <c r="J26" s="429">
        <v>-1.7451817500000004</v>
      </c>
      <c r="K26" s="431">
        <v>0.77922758939639225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33.104976000000001</v>
      </c>
      <c r="C27" s="429">
        <v>33.323</v>
      </c>
      <c r="D27" s="429">
        <v>0.21802399999999977</v>
      </c>
      <c r="E27" s="430">
        <v>1.0065858377302555</v>
      </c>
      <c r="F27" s="428">
        <v>32.255018100000001</v>
      </c>
      <c r="G27" s="429">
        <v>26.879181750000001</v>
      </c>
      <c r="H27" s="429">
        <v>2.7</v>
      </c>
      <c r="I27" s="429">
        <v>25.134</v>
      </c>
      <c r="J27" s="429">
        <v>-1.7451817500000004</v>
      </c>
      <c r="K27" s="431">
        <v>0.77922758939639225</v>
      </c>
      <c r="L27" s="150"/>
      <c r="M27" s="427" t="str">
        <f t="shared" si="0"/>
        <v>X</v>
      </c>
    </row>
    <row r="28" spans="1:13" ht="14.45" customHeight="1" x14ac:dyDescent="0.2">
      <c r="A28" s="432" t="s">
        <v>259</v>
      </c>
      <c r="B28" s="428">
        <v>14.399049999999999</v>
      </c>
      <c r="C28" s="429">
        <v>15.314</v>
      </c>
      <c r="D28" s="429">
        <v>0.91495000000000104</v>
      </c>
      <c r="E28" s="430">
        <v>1.0635423864768858</v>
      </c>
      <c r="F28" s="428">
        <v>13.935348299999999</v>
      </c>
      <c r="G28" s="429">
        <v>11.61279025</v>
      </c>
      <c r="H28" s="429">
        <v>1.127</v>
      </c>
      <c r="I28" s="429">
        <v>11.247</v>
      </c>
      <c r="J28" s="429">
        <v>-0.36579024999999987</v>
      </c>
      <c r="K28" s="431">
        <v>0.80708424058550443</v>
      </c>
      <c r="L28" s="150"/>
      <c r="M28" s="427" t="str">
        <f t="shared" si="0"/>
        <v/>
      </c>
    </row>
    <row r="29" spans="1:13" ht="14.45" customHeight="1" x14ac:dyDescent="0.2">
      <c r="A29" s="432" t="s">
        <v>260</v>
      </c>
      <c r="B29" s="428">
        <v>18.705925999999998</v>
      </c>
      <c r="C29" s="429">
        <v>18.009</v>
      </c>
      <c r="D29" s="429">
        <v>-0.69692599999999771</v>
      </c>
      <c r="E29" s="430">
        <v>0.96274303661844929</v>
      </c>
      <c r="F29" s="428">
        <v>18.3196698</v>
      </c>
      <c r="G29" s="429">
        <v>15.266391500000001</v>
      </c>
      <c r="H29" s="429">
        <v>1.573</v>
      </c>
      <c r="I29" s="429">
        <v>13.887</v>
      </c>
      <c r="J29" s="429">
        <v>-1.3793915000000005</v>
      </c>
      <c r="K29" s="431">
        <v>0.75803768035164043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34.432019999999994</v>
      </c>
      <c r="C30" s="429">
        <v>22.737490000000001</v>
      </c>
      <c r="D30" s="429">
        <v>-11.694529999999993</v>
      </c>
      <c r="E30" s="430">
        <v>0.66035887525622972</v>
      </c>
      <c r="F30" s="428">
        <v>22.187137100000001</v>
      </c>
      <c r="G30" s="429">
        <v>18.489280916666669</v>
      </c>
      <c r="H30" s="429">
        <v>0.67200000000000004</v>
      </c>
      <c r="I30" s="429">
        <v>43.248919999999998</v>
      </c>
      <c r="J30" s="429">
        <v>24.75963908333333</v>
      </c>
      <c r="K30" s="431">
        <v>1.9492789811083826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26.318241999999998</v>
      </c>
      <c r="C31" s="429">
        <v>11.98132</v>
      </c>
      <c r="D31" s="429">
        <v>-14.336921999999998</v>
      </c>
      <c r="E31" s="430">
        <v>0.45524773273230035</v>
      </c>
      <c r="F31" s="428">
        <v>11.779507600000001</v>
      </c>
      <c r="G31" s="429">
        <v>9.8162563333333335</v>
      </c>
      <c r="H31" s="429">
        <v>0.67200000000000004</v>
      </c>
      <c r="I31" s="429">
        <v>16.21011</v>
      </c>
      <c r="J31" s="429">
        <v>6.3938536666666668</v>
      </c>
      <c r="K31" s="431">
        <v>1.3761279800863662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26.318241999999998</v>
      </c>
      <c r="C32" s="429">
        <v>11.98132</v>
      </c>
      <c r="D32" s="429">
        <v>-14.336921999999998</v>
      </c>
      <c r="E32" s="430">
        <v>0.45524773273230035</v>
      </c>
      <c r="F32" s="428">
        <v>11.779507600000001</v>
      </c>
      <c r="G32" s="429">
        <v>9.8162563333333335</v>
      </c>
      <c r="H32" s="429">
        <v>0.67200000000000004</v>
      </c>
      <c r="I32" s="429">
        <v>16.21011</v>
      </c>
      <c r="J32" s="429">
        <v>6.3938536666666668</v>
      </c>
      <c r="K32" s="431">
        <v>1.3761279800863662</v>
      </c>
      <c r="L32" s="150"/>
      <c r="M32" s="427" t="str">
        <f t="shared" si="0"/>
        <v>X</v>
      </c>
    </row>
    <row r="33" spans="1:13" ht="14.45" customHeight="1" x14ac:dyDescent="0.2">
      <c r="A33" s="432" t="s">
        <v>264</v>
      </c>
      <c r="B33" s="428">
        <v>25.881807999999999</v>
      </c>
      <c r="C33" s="429">
        <v>11.48532</v>
      </c>
      <c r="D33" s="429">
        <v>-14.396488</v>
      </c>
      <c r="E33" s="430">
        <v>0.44376034317231622</v>
      </c>
      <c r="F33" s="428">
        <v>11.758334000000001</v>
      </c>
      <c r="G33" s="429">
        <v>9.7986116666666678</v>
      </c>
      <c r="H33" s="429">
        <v>0</v>
      </c>
      <c r="I33" s="429">
        <v>14.344110000000001</v>
      </c>
      <c r="J33" s="429">
        <v>4.5454983333333328</v>
      </c>
      <c r="K33" s="431">
        <v>1.2199100654905704</v>
      </c>
      <c r="L33" s="150"/>
      <c r="M33" s="427" t="str">
        <f t="shared" si="0"/>
        <v/>
      </c>
    </row>
    <row r="34" spans="1:13" ht="14.45" customHeight="1" x14ac:dyDescent="0.2">
      <c r="A34" s="432" t="s">
        <v>265</v>
      </c>
      <c r="B34" s="428">
        <v>8.0299999999999989E-3</v>
      </c>
      <c r="C34" s="429">
        <v>0.496</v>
      </c>
      <c r="D34" s="429">
        <v>0.48797000000000001</v>
      </c>
      <c r="E34" s="430">
        <v>61.768368617683691</v>
      </c>
      <c r="F34" s="428">
        <v>2.1173600000000001E-2</v>
      </c>
      <c r="G34" s="429">
        <v>1.7644666666666666E-2</v>
      </c>
      <c r="H34" s="429">
        <v>0.67200000000000004</v>
      </c>
      <c r="I34" s="429">
        <v>1.8660000000000001</v>
      </c>
      <c r="J34" s="429">
        <v>1.8483553333333334</v>
      </c>
      <c r="K34" s="431">
        <v>88.128612989760839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0.27028199999999997</v>
      </c>
      <c r="C35" s="429">
        <v>0</v>
      </c>
      <c r="D35" s="429">
        <v>-0.27028199999999997</v>
      </c>
      <c r="E35" s="430">
        <v>0</v>
      </c>
      <c r="F35" s="428">
        <v>0</v>
      </c>
      <c r="G35" s="429">
        <v>0</v>
      </c>
      <c r="H35" s="429">
        <v>0</v>
      </c>
      <c r="I35" s="429">
        <v>0</v>
      </c>
      <c r="J35" s="429">
        <v>0</v>
      </c>
      <c r="K35" s="431">
        <v>0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0.11939799999999999</v>
      </c>
      <c r="C36" s="429">
        <v>0</v>
      </c>
      <c r="D36" s="429">
        <v>-0.11939799999999999</v>
      </c>
      <c r="E36" s="430">
        <v>0</v>
      </c>
      <c r="F36" s="428">
        <v>0</v>
      </c>
      <c r="G36" s="429">
        <v>0</v>
      </c>
      <c r="H36" s="429">
        <v>0</v>
      </c>
      <c r="I36" s="429">
        <v>0</v>
      </c>
      <c r="J36" s="429">
        <v>0</v>
      </c>
      <c r="K36" s="431">
        <v>0</v>
      </c>
      <c r="L36" s="150"/>
      <c r="M36" s="427" t="str">
        <f t="shared" si="0"/>
        <v/>
      </c>
    </row>
    <row r="37" spans="1:13" ht="14.45" customHeight="1" x14ac:dyDescent="0.2">
      <c r="A37" s="432" t="s">
        <v>268</v>
      </c>
      <c r="B37" s="428">
        <v>3.8723999999999995E-2</v>
      </c>
      <c r="C37" s="429">
        <v>0</v>
      </c>
      <c r="D37" s="429">
        <v>-3.8723999999999995E-2</v>
      </c>
      <c r="E37" s="430">
        <v>0</v>
      </c>
      <c r="F37" s="428">
        <v>0</v>
      </c>
      <c r="G37" s="429">
        <v>0</v>
      </c>
      <c r="H37" s="429">
        <v>0</v>
      </c>
      <c r="I37" s="429">
        <v>0</v>
      </c>
      <c r="J37" s="429">
        <v>0</v>
      </c>
      <c r="K37" s="431">
        <v>0</v>
      </c>
      <c r="L37" s="150"/>
      <c r="M37" s="427" t="str">
        <f t="shared" si="0"/>
        <v/>
      </c>
    </row>
    <row r="38" spans="1:13" ht="14.45" customHeight="1" x14ac:dyDescent="0.2">
      <c r="A38" s="432" t="s">
        <v>269</v>
      </c>
      <c r="B38" s="428">
        <v>8.1137779999999999</v>
      </c>
      <c r="C38" s="429">
        <v>10.756170000000001</v>
      </c>
      <c r="D38" s="429">
        <v>2.642392000000001</v>
      </c>
      <c r="E38" s="430">
        <v>1.3256672785476755</v>
      </c>
      <c r="F38" s="428">
        <v>10.407629499999999</v>
      </c>
      <c r="G38" s="429">
        <v>8.6730245833333317</v>
      </c>
      <c r="H38" s="429">
        <v>0</v>
      </c>
      <c r="I38" s="429">
        <v>27.038810000000002</v>
      </c>
      <c r="J38" s="429">
        <v>18.365785416666668</v>
      </c>
      <c r="K38" s="431">
        <v>2.5979796840385223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8.1137779999999999</v>
      </c>
      <c r="C39" s="429">
        <v>10.756170000000001</v>
      </c>
      <c r="D39" s="429">
        <v>2.642392000000001</v>
      </c>
      <c r="E39" s="430">
        <v>1.3256672785476755</v>
      </c>
      <c r="F39" s="428">
        <v>10.407629499999999</v>
      </c>
      <c r="G39" s="429">
        <v>8.6730245833333317</v>
      </c>
      <c r="H39" s="429">
        <v>0</v>
      </c>
      <c r="I39" s="429">
        <v>27.038810000000002</v>
      </c>
      <c r="J39" s="429">
        <v>18.365785416666668</v>
      </c>
      <c r="K39" s="431">
        <v>2.5979796840385223</v>
      </c>
      <c r="L39" s="150"/>
      <c r="M39" s="427" t="str">
        <f t="shared" si="0"/>
        <v>X</v>
      </c>
    </row>
    <row r="40" spans="1:13" ht="14.45" customHeight="1" x14ac:dyDescent="0.2">
      <c r="A40" s="432" t="s">
        <v>271</v>
      </c>
      <c r="B40" s="428">
        <v>8.1137779999999999</v>
      </c>
      <c r="C40" s="429">
        <v>10.756170000000001</v>
      </c>
      <c r="D40" s="429">
        <v>2.642392000000001</v>
      </c>
      <c r="E40" s="430">
        <v>1.3256672785476755</v>
      </c>
      <c r="F40" s="428">
        <v>10.407629499999999</v>
      </c>
      <c r="G40" s="429">
        <v>8.6730245833333317</v>
      </c>
      <c r="H40" s="429">
        <v>0</v>
      </c>
      <c r="I40" s="429">
        <v>27.038810000000002</v>
      </c>
      <c r="J40" s="429">
        <v>18.365785416666668</v>
      </c>
      <c r="K40" s="431">
        <v>2.5979796840385223</v>
      </c>
      <c r="L40" s="150"/>
      <c r="M40" s="427" t="str">
        <f t="shared" si="0"/>
        <v/>
      </c>
    </row>
    <row r="41" spans="1:13" ht="14.45" customHeight="1" x14ac:dyDescent="0.2">
      <c r="A41" s="432" t="s">
        <v>272</v>
      </c>
      <c r="B41" s="428">
        <v>30</v>
      </c>
      <c r="C41" s="429">
        <v>102.99601</v>
      </c>
      <c r="D41" s="429">
        <v>72.996009999999998</v>
      </c>
      <c r="E41" s="430">
        <v>3.4332003333333332</v>
      </c>
      <c r="F41" s="428">
        <v>27.873686599999999</v>
      </c>
      <c r="G41" s="429">
        <v>23.228072166666664</v>
      </c>
      <c r="H41" s="429">
        <v>2.5329999999999999</v>
      </c>
      <c r="I41" s="429">
        <v>25.33</v>
      </c>
      <c r="J41" s="429">
        <v>2.1019278333333347</v>
      </c>
      <c r="K41" s="431">
        <v>0.90874236922790108</v>
      </c>
      <c r="L41" s="150"/>
      <c r="M41" s="427" t="str">
        <f t="shared" si="0"/>
        <v/>
      </c>
    </row>
    <row r="42" spans="1:13" ht="14.45" customHeight="1" x14ac:dyDescent="0.2">
      <c r="A42" s="432" t="s">
        <v>273</v>
      </c>
      <c r="B42" s="428">
        <v>30</v>
      </c>
      <c r="C42" s="429">
        <v>30.396000000000001</v>
      </c>
      <c r="D42" s="429">
        <v>0.3960000000000008</v>
      </c>
      <c r="E42" s="430">
        <v>1.0132000000000001</v>
      </c>
      <c r="F42" s="428">
        <v>27.873686599999999</v>
      </c>
      <c r="G42" s="429">
        <v>23.228072166666664</v>
      </c>
      <c r="H42" s="429">
        <v>2.5329999999999999</v>
      </c>
      <c r="I42" s="429">
        <v>25.33</v>
      </c>
      <c r="J42" s="429">
        <v>2.1019278333333347</v>
      </c>
      <c r="K42" s="431">
        <v>0.90874236922790108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30</v>
      </c>
      <c r="C43" s="429">
        <v>30.396000000000001</v>
      </c>
      <c r="D43" s="429">
        <v>0.3960000000000008</v>
      </c>
      <c r="E43" s="430">
        <v>1.0132000000000001</v>
      </c>
      <c r="F43" s="428">
        <v>27.873686599999999</v>
      </c>
      <c r="G43" s="429">
        <v>23.228072166666664</v>
      </c>
      <c r="H43" s="429">
        <v>2.5329999999999999</v>
      </c>
      <c r="I43" s="429">
        <v>25.33</v>
      </c>
      <c r="J43" s="429">
        <v>2.1019278333333347</v>
      </c>
      <c r="K43" s="431">
        <v>0.90874236922790108</v>
      </c>
      <c r="L43" s="150"/>
      <c r="M43" s="427" t="str">
        <f t="shared" si="0"/>
        <v>X</v>
      </c>
    </row>
    <row r="44" spans="1:13" ht="14.45" customHeight="1" x14ac:dyDescent="0.2">
      <c r="A44" s="432" t="s">
        <v>275</v>
      </c>
      <c r="B44" s="428">
        <v>30</v>
      </c>
      <c r="C44" s="429">
        <v>30.396000000000001</v>
      </c>
      <c r="D44" s="429">
        <v>0.3960000000000008</v>
      </c>
      <c r="E44" s="430">
        <v>1.0132000000000001</v>
      </c>
      <c r="F44" s="428">
        <v>27.873686599999999</v>
      </c>
      <c r="G44" s="429">
        <v>23.228072166666664</v>
      </c>
      <c r="H44" s="429">
        <v>2.5329999999999999</v>
      </c>
      <c r="I44" s="429">
        <v>25.33</v>
      </c>
      <c r="J44" s="429">
        <v>2.1019278333333347</v>
      </c>
      <c r="K44" s="431">
        <v>0.90874236922790108</v>
      </c>
      <c r="L44" s="150"/>
      <c r="M44" s="427" t="str">
        <f t="shared" si="0"/>
        <v/>
      </c>
    </row>
    <row r="45" spans="1:13" ht="14.45" customHeight="1" x14ac:dyDescent="0.2">
      <c r="A45" s="432" t="s">
        <v>276</v>
      </c>
      <c r="B45" s="428">
        <v>0</v>
      </c>
      <c r="C45" s="429">
        <v>72.600009999999997</v>
      </c>
      <c r="D45" s="429">
        <v>72.600009999999997</v>
      </c>
      <c r="E45" s="430">
        <v>0</v>
      </c>
      <c r="F45" s="428">
        <v>0</v>
      </c>
      <c r="G45" s="429">
        <v>0</v>
      </c>
      <c r="H45" s="429">
        <v>0</v>
      </c>
      <c r="I45" s="429">
        <v>0</v>
      </c>
      <c r="J45" s="429">
        <v>0</v>
      </c>
      <c r="K45" s="431">
        <v>0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72.600009999999997</v>
      </c>
      <c r="D46" s="429">
        <v>72.600009999999997</v>
      </c>
      <c r="E46" s="430">
        <v>0</v>
      </c>
      <c r="F46" s="428">
        <v>0</v>
      </c>
      <c r="G46" s="429">
        <v>0</v>
      </c>
      <c r="H46" s="429">
        <v>0</v>
      </c>
      <c r="I46" s="429">
        <v>0</v>
      </c>
      <c r="J46" s="429">
        <v>0</v>
      </c>
      <c r="K46" s="431">
        <v>0</v>
      </c>
      <c r="L46" s="150"/>
      <c r="M46" s="427" t="str">
        <f t="shared" si="0"/>
        <v>X</v>
      </c>
    </row>
    <row r="47" spans="1:13" ht="14.45" customHeight="1" x14ac:dyDescent="0.2">
      <c r="A47" s="432" t="s">
        <v>278</v>
      </c>
      <c r="B47" s="428">
        <v>0</v>
      </c>
      <c r="C47" s="429">
        <v>72.600009999999997</v>
      </c>
      <c r="D47" s="429">
        <v>72.600009999999997</v>
      </c>
      <c r="E47" s="430">
        <v>0</v>
      </c>
      <c r="F47" s="428">
        <v>0</v>
      </c>
      <c r="G47" s="429">
        <v>0</v>
      </c>
      <c r="H47" s="429">
        <v>0</v>
      </c>
      <c r="I47" s="429">
        <v>0</v>
      </c>
      <c r="J47" s="429">
        <v>0</v>
      </c>
      <c r="K47" s="431">
        <v>0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1549.3443139999999</v>
      </c>
      <c r="C48" s="429">
        <v>5576.4818299999997</v>
      </c>
      <c r="D48" s="429">
        <v>4027.1375159999998</v>
      </c>
      <c r="E48" s="430">
        <v>3.5992527804248939</v>
      </c>
      <c r="F48" s="428">
        <v>0</v>
      </c>
      <c r="G48" s="429">
        <v>0</v>
      </c>
      <c r="H48" s="429">
        <v>805.61001999999996</v>
      </c>
      <c r="I48" s="429">
        <v>8395.7388599999995</v>
      </c>
      <c r="J48" s="429">
        <v>8395.7388599999995</v>
      </c>
      <c r="K48" s="431">
        <v>0</v>
      </c>
      <c r="L48" s="150"/>
      <c r="M48" s="427" t="str">
        <f t="shared" si="0"/>
        <v/>
      </c>
    </row>
    <row r="49" spans="1:13" ht="14.45" customHeight="1" x14ac:dyDescent="0.2">
      <c r="A49" s="432" t="s">
        <v>280</v>
      </c>
      <c r="B49" s="428">
        <v>1549.3443139999999</v>
      </c>
      <c r="C49" s="429">
        <v>5576.4818299999997</v>
      </c>
      <c r="D49" s="429">
        <v>4027.1375159999998</v>
      </c>
      <c r="E49" s="430">
        <v>3.5992527804248939</v>
      </c>
      <c r="F49" s="428">
        <v>0</v>
      </c>
      <c r="G49" s="429">
        <v>0</v>
      </c>
      <c r="H49" s="429">
        <v>805.61001999999996</v>
      </c>
      <c r="I49" s="429">
        <v>8395.7388599999995</v>
      </c>
      <c r="J49" s="429">
        <v>8395.7388599999995</v>
      </c>
      <c r="K49" s="431">
        <v>0</v>
      </c>
      <c r="L49" s="150"/>
      <c r="M49" s="427" t="str">
        <f t="shared" si="0"/>
        <v/>
      </c>
    </row>
    <row r="50" spans="1:13" ht="14.45" customHeight="1" x14ac:dyDescent="0.2">
      <c r="A50" s="432" t="s">
        <v>281</v>
      </c>
      <c r="B50" s="428">
        <v>1549.3443139999999</v>
      </c>
      <c r="C50" s="429">
        <v>5576.4818299999997</v>
      </c>
      <c r="D50" s="429">
        <v>4027.1375159999998</v>
      </c>
      <c r="E50" s="430">
        <v>3.5992527804248939</v>
      </c>
      <c r="F50" s="428">
        <v>0</v>
      </c>
      <c r="G50" s="429">
        <v>0</v>
      </c>
      <c r="H50" s="429">
        <v>805.61001999999996</v>
      </c>
      <c r="I50" s="429">
        <v>8395.7388599999995</v>
      </c>
      <c r="J50" s="429">
        <v>8395.7388599999995</v>
      </c>
      <c r="K50" s="431">
        <v>0</v>
      </c>
      <c r="L50" s="150"/>
      <c r="M50" s="427" t="str">
        <f t="shared" si="0"/>
        <v/>
      </c>
    </row>
    <row r="51" spans="1:13" ht="14.45" customHeight="1" x14ac:dyDescent="0.2">
      <c r="A51" s="432" t="s">
        <v>282</v>
      </c>
      <c r="B51" s="428">
        <v>49.871841000000003</v>
      </c>
      <c r="C51" s="429">
        <v>16.574529999999999</v>
      </c>
      <c r="D51" s="429">
        <v>-33.297311000000008</v>
      </c>
      <c r="E51" s="430">
        <v>0.33234245353003911</v>
      </c>
      <c r="F51" s="428">
        <v>0</v>
      </c>
      <c r="G51" s="429">
        <v>0</v>
      </c>
      <c r="H51" s="429">
        <v>4.4840000000000005E-2</v>
      </c>
      <c r="I51" s="429">
        <v>0.47726000000000002</v>
      </c>
      <c r="J51" s="429">
        <v>0.47726000000000002</v>
      </c>
      <c r="K51" s="431">
        <v>0</v>
      </c>
      <c r="L51" s="150"/>
      <c r="M51" s="427" t="str">
        <f t="shared" si="0"/>
        <v>X</v>
      </c>
    </row>
    <row r="52" spans="1:13" ht="14.45" customHeight="1" x14ac:dyDescent="0.2">
      <c r="A52" s="432" t="s">
        <v>283</v>
      </c>
      <c r="B52" s="428">
        <v>49.871841000000003</v>
      </c>
      <c r="C52" s="429">
        <v>16.574529999999999</v>
      </c>
      <c r="D52" s="429">
        <v>-33.297311000000008</v>
      </c>
      <c r="E52" s="430">
        <v>0.33234245353003911</v>
      </c>
      <c r="F52" s="428">
        <v>0</v>
      </c>
      <c r="G52" s="429">
        <v>0</v>
      </c>
      <c r="H52" s="429">
        <v>4.4840000000000005E-2</v>
      </c>
      <c r="I52" s="429">
        <v>0.47726000000000002</v>
      </c>
      <c r="J52" s="429">
        <v>0.47726000000000002</v>
      </c>
      <c r="K52" s="431">
        <v>0</v>
      </c>
      <c r="L52" s="150"/>
      <c r="M52" s="427" t="str">
        <f t="shared" si="0"/>
        <v/>
      </c>
    </row>
    <row r="53" spans="1:13" ht="14.45" customHeight="1" x14ac:dyDescent="0.2">
      <c r="A53" s="432" t="s">
        <v>284</v>
      </c>
      <c r="B53" s="428">
        <v>1499.472473</v>
      </c>
      <c r="C53" s="429">
        <v>5439.8020400000005</v>
      </c>
      <c r="D53" s="429">
        <v>3940.3295670000007</v>
      </c>
      <c r="E53" s="430">
        <v>3.6278105386733568</v>
      </c>
      <c r="F53" s="428">
        <v>0</v>
      </c>
      <c r="G53" s="429">
        <v>0</v>
      </c>
      <c r="H53" s="429">
        <v>801.4538</v>
      </c>
      <c r="I53" s="429">
        <v>8230.5292399999998</v>
      </c>
      <c r="J53" s="429">
        <v>8230.5292399999998</v>
      </c>
      <c r="K53" s="431">
        <v>0</v>
      </c>
      <c r="L53" s="150"/>
      <c r="M53" s="427" t="str">
        <f t="shared" si="0"/>
        <v>X</v>
      </c>
    </row>
    <row r="54" spans="1:13" ht="14.45" customHeight="1" x14ac:dyDescent="0.2">
      <c r="A54" s="432" t="s">
        <v>285</v>
      </c>
      <c r="B54" s="428">
        <v>1499.472473</v>
      </c>
      <c r="C54" s="429">
        <v>5439.8020400000005</v>
      </c>
      <c r="D54" s="429">
        <v>3940.3295670000007</v>
      </c>
      <c r="E54" s="430">
        <v>3.6278105386733568</v>
      </c>
      <c r="F54" s="428">
        <v>0</v>
      </c>
      <c r="G54" s="429">
        <v>0</v>
      </c>
      <c r="H54" s="429">
        <v>801.4538</v>
      </c>
      <c r="I54" s="429">
        <v>8230.5292399999998</v>
      </c>
      <c r="J54" s="429">
        <v>8230.5292399999998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120.10526</v>
      </c>
      <c r="D55" s="429">
        <v>120.10526</v>
      </c>
      <c r="E55" s="430">
        <v>0</v>
      </c>
      <c r="F55" s="428">
        <v>0</v>
      </c>
      <c r="G55" s="429">
        <v>0</v>
      </c>
      <c r="H55" s="429">
        <v>4.1113800000000005</v>
      </c>
      <c r="I55" s="429">
        <v>164.73236</v>
      </c>
      <c r="J55" s="429">
        <v>164.73236</v>
      </c>
      <c r="K55" s="431">
        <v>0</v>
      </c>
      <c r="L55" s="150"/>
      <c r="M55" s="427" t="str">
        <f t="shared" si="0"/>
        <v>X</v>
      </c>
    </row>
    <row r="56" spans="1:13" ht="14.45" customHeight="1" x14ac:dyDescent="0.2">
      <c r="A56" s="432" t="s">
        <v>287</v>
      </c>
      <c r="B56" s="428">
        <v>0</v>
      </c>
      <c r="C56" s="429">
        <v>120.10526</v>
      </c>
      <c r="D56" s="429">
        <v>120.10526</v>
      </c>
      <c r="E56" s="430">
        <v>0</v>
      </c>
      <c r="F56" s="428">
        <v>0</v>
      </c>
      <c r="G56" s="429">
        <v>0</v>
      </c>
      <c r="H56" s="429">
        <v>4.1113800000000005</v>
      </c>
      <c r="I56" s="429">
        <v>164.73236</v>
      </c>
      <c r="J56" s="429">
        <v>164.73236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/>
      <c r="B57" s="428"/>
      <c r="C57" s="429"/>
      <c r="D57" s="429"/>
      <c r="E57" s="430"/>
      <c r="F57" s="428"/>
      <c r="G57" s="429"/>
      <c r="H57" s="429"/>
      <c r="I57" s="429"/>
      <c r="J57" s="429"/>
      <c r="K57" s="431"/>
      <c r="L57" s="150"/>
      <c r="M57" s="427" t="str">
        <f t="shared" si="0"/>
        <v/>
      </c>
    </row>
    <row r="58" spans="1:13" ht="14.45" customHeight="1" x14ac:dyDescent="0.2">
      <c r="A58" s="432"/>
      <c r="B58" s="428"/>
      <c r="C58" s="429"/>
      <c r="D58" s="429"/>
      <c r="E58" s="430"/>
      <c r="F58" s="428"/>
      <c r="G58" s="429"/>
      <c r="H58" s="429"/>
      <c r="I58" s="429"/>
      <c r="J58" s="429"/>
      <c r="K58" s="431"/>
      <c r="L58" s="150"/>
      <c r="M58" s="427" t="str">
        <f t="shared" si="0"/>
        <v/>
      </c>
    </row>
    <row r="59" spans="1:13" ht="14.45" customHeight="1" x14ac:dyDescent="0.2">
      <c r="A59" s="432"/>
      <c r="B59" s="428"/>
      <c r="C59" s="429"/>
      <c r="D59" s="429"/>
      <c r="E59" s="430"/>
      <c r="F59" s="428"/>
      <c r="G59" s="429"/>
      <c r="H59" s="429"/>
      <c r="I59" s="429"/>
      <c r="J59" s="429"/>
      <c r="K59" s="431"/>
      <c r="L59" s="150"/>
      <c r="M59" s="427" t="str">
        <f t="shared" si="0"/>
        <v/>
      </c>
    </row>
    <row r="60" spans="1:13" ht="14.45" customHeight="1" x14ac:dyDescent="0.2">
      <c r="A60" s="432"/>
      <c r="B60" s="428"/>
      <c r="C60" s="429"/>
      <c r="D60" s="429"/>
      <c r="E60" s="430"/>
      <c r="F60" s="428"/>
      <c r="G60" s="429"/>
      <c r="H60" s="429"/>
      <c r="I60" s="429"/>
      <c r="J60" s="429"/>
      <c r="K60" s="431"/>
      <c r="L60" s="150"/>
      <c r="M60" s="427" t="str">
        <f t="shared" si="0"/>
        <v/>
      </c>
    </row>
    <row r="61" spans="1:13" ht="14.45" customHeight="1" x14ac:dyDescent="0.2">
      <c r="A61" s="432"/>
      <c r="B61" s="428"/>
      <c r="C61" s="429"/>
      <c r="D61" s="429"/>
      <c r="E61" s="430"/>
      <c r="F61" s="428"/>
      <c r="G61" s="429"/>
      <c r="H61" s="429"/>
      <c r="I61" s="429"/>
      <c r="J61" s="429"/>
      <c r="K61" s="431"/>
      <c r="L61" s="150"/>
      <c r="M61" s="427" t="str">
        <f t="shared" si="0"/>
        <v/>
      </c>
    </row>
    <row r="62" spans="1:13" ht="14.45" customHeight="1" x14ac:dyDescent="0.2">
      <c r="A62" s="432"/>
      <c r="B62" s="428"/>
      <c r="C62" s="429"/>
      <c r="D62" s="429"/>
      <c r="E62" s="430"/>
      <c r="F62" s="428"/>
      <c r="G62" s="429"/>
      <c r="H62" s="429"/>
      <c r="I62" s="429"/>
      <c r="J62" s="429"/>
      <c r="K62" s="431"/>
      <c r="L62" s="150"/>
      <c r="M62" s="427" t="str">
        <f t="shared" si="0"/>
        <v/>
      </c>
    </row>
    <row r="63" spans="1:13" ht="14.45" customHeight="1" x14ac:dyDescent="0.2">
      <c r="A63" s="432"/>
      <c r="B63" s="428"/>
      <c r="C63" s="429"/>
      <c r="D63" s="429"/>
      <c r="E63" s="430"/>
      <c r="F63" s="428"/>
      <c r="G63" s="429"/>
      <c r="H63" s="429"/>
      <c r="I63" s="429"/>
      <c r="J63" s="429"/>
      <c r="K63" s="431"/>
      <c r="L63" s="150"/>
      <c r="M63" s="427" t="str">
        <f t="shared" si="0"/>
        <v/>
      </c>
    </row>
    <row r="64" spans="1:13" ht="14.45" customHeight="1" x14ac:dyDescent="0.2">
      <c r="A64" s="432"/>
      <c r="B64" s="428"/>
      <c r="C64" s="429"/>
      <c r="D64" s="429"/>
      <c r="E64" s="430"/>
      <c r="F64" s="428"/>
      <c r="G64" s="429"/>
      <c r="H64" s="429"/>
      <c r="I64" s="429"/>
      <c r="J64" s="429"/>
      <c r="K64" s="431"/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20A30B5D-90FC-483B-BC3F-B0F73E9C252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2" t="s">
        <v>235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288</v>
      </c>
      <c r="C5" s="435">
        <v>31427.82</v>
      </c>
      <c r="D5" s="435">
        <v>45</v>
      </c>
      <c r="E5" s="435">
        <v>24155.42</v>
      </c>
      <c r="F5" s="436">
        <v>0.76859992197995275</v>
      </c>
      <c r="G5" s="435">
        <v>27</v>
      </c>
      <c r="H5" s="436">
        <v>0.6</v>
      </c>
      <c r="I5" s="435">
        <v>7272.4</v>
      </c>
      <c r="J5" s="436">
        <v>0.2314000780200472</v>
      </c>
      <c r="K5" s="435">
        <v>18</v>
      </c>
      <c r="L5" s="436">
        <v>0.4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289</v>
      </c>
      <c r="C6" s="435">
        <v>31427.82</v>
      </c>
      <c r="D6" s="435">
        <v>45</v>
      </c>
      <c r="E6" s="435">
        <v>24155.42</v>
      </c>
      <c r="F6" s="436">
        <v>0.76859992197995275</v>
      </c>
      <c r="G6" s="435">
        <v>27</v>
      </c>
      <c r="H6" s="436">
        <v>0.6</v>
      </c>
      <c r="I6" s="435">
        <v>7272.4</v>
      </c>
      <c r="J6" s="436">
        <v>0.2314000780200472</v>
      </c>
      <c r="K6" s="435">
        <v>18</v>
      </c>
      <c r="L6" s="436">
        <v>0.4</v>
      </c>
      <c r="M6" s="435" t="s">
        <v>1</v>
      </c>
      <c r="N6" s="150"/>
    </row>
    <row r="7" spans="1:14" ht="14.45" customHeight="1" x14ac:dyDescent="0.2">
      <c r="A7" s="433" t="s">
        <v>290</v>
      </c>
      <c r="B7" s="434" t="s">
        <v>3</v>
      </c>
      <c r="C7" s="435">
        <v>31427.82</v>
      </c>
      <c r="D7" s="435">
        <v>45</v>
      </c>
      <c r="E7" s="435">
        <v>24155.42</v>
      </c>
      <c r="F7" s="436">
        <v>0.76859992197995275</v>
      </c>
      <c r="G7" s="435">
        <v>27</v>
      </c>
      <c r="H7" s="436">
        <v>0.6</v>
      </c>
      <c r="I7" s="435">
        <v>7272.4</v>
      </c>
      <c r="J7" s="436">
        <v>0.2314000780200472</v>
      </c>
      <c r="K7" s="435">
        <v>18</v>
      </c>
      <c r="L7" s="436">
        <v>0.4</v>
      </c>
      <c r="M7" s="435" t="s">
        <v>291</v>
      </c>
      <c r="N7" s="150"/>
    </row>
    <row r="9" spans="1:14" ht="14.45" customHeight="1" x14ac:dyDescent="0.2">
      <c r="A9" s="433">
        <v>57</v>
      </c>
      <c r="B9" s="434" t="s">
        <v>288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292</v>
      </c>
      <c r="B10" s="434" t="s">
        <v>289</v>
      </c>
      <c r="C10" s="435">
        <v>31427.82</v>
      </c>
      <c r="D10" s="435">
        <v>45</v>
      </c>
      <c r="E10" s="435">
        <v>24155.42</v>
      </c>
      <c r="F10" s="436">
        <v>0.76859992197995275</v>
      </c>
      <c r="G10" s="435">
        <v>27</v>
      </c>
      <c r="H10" s="436">
        <v>0.6</v>
      </c>
      <c r="I10" s="435">
        <v>7272.4</v>
      </c>
      <c r="J10" s="436">
        <v>0.2314000780200472</v>
      </c>
      <c r="K10" s="435">
        <v>18</v>
      </c>
      <c r="L10" s="436">
        <v>0.4</v>
      </c>
      <c r="M10" s="435" t="s">
        <v>1</v>
      </c>
      <c r="N10" s="150"/>
    </row>
    <row r="11" spans="1:14" ht="14.45" customHeight="1" x14ac:dyDescent="0.2">
      <c r="A11" s="433" t="s">
        <v>292</v>
      </c>
      <c r="B11" s="434" t="s">
        <v>293</v>
      </c>
      <c r="C11" s="435">
        <v>31427.82</v>
      </c>
      <c r="D11" s="435">
        <v>45</v>
      </c>
      <c r="E11" s="435">
        <v>24155.42</v>
      </c>
      <c r="F11" s="436">
        <v>0.76859992197995275</v>
      </c>
      <c r="G11" s="435">
        <v>27</v>
      </c>
      <c r="H11" s="436">
        <v>0.6</v>
      </c>
      <c r="I11" s="435">
        <v>7272.4</v>
      </c>
      <c r="J11" s="436">
        <v>0.2314000780200472</v>
      </c>
      <c r="K11" s="435">
        <v>18</v>
      </c>
      <c r="L11" s="436">
        <v>0.4</v>
      </c>
      <c r="M11" s="435" t="s">
        <v>294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295</v>
      </c>
      <c r="N12" s="150"/>
    </row>
    <row r="13" spans="1:14" ht="14.45" customHeight="1" x14ac:dyDescent="0.2">
      <c r="A13" s="433" t="s">
        <v>290</v>
      </c>
      <c r="B13" s="434" t="s">
        <v>296</v>
      </c>
      <c r="C13" s="435">
        <v>31427.82</v>
      </c>
      <c r="D13" s="435">
        <v>45</v>
      </c>
      <c r="E13" s="435">
        <v>24155.42</v>
      </c>
      <c r="F13" s="436">
        <v>0.76859992197995275</v>
      </c>
      <c r="G13" s="435">
        <v>27</v>
      </c>
      <c r="H13" s="436">
        <v>0.6</v>
      </c>
      <c r="I13" s="435">
        <v>7272.4</v>
      </c>
      <c r="J13" s="436">
        <v>0.2314000780200472</v>
      </c>
      <c r="K13" s="435">
        <v>18</v>
      </c>
      <c r="L13" s="436">
        <v>0.4</v>
      </c>
      <c r="M13" s="435" t="s">
        <v>291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297</v>
      </c>
    </row>
    <row r="16" spans="1:14" ht="14.45" customHeight="1" x14ac:dyDescent="0.2">
      <c r="A16" s="437" t="s">
        <v>298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B036F256-7FBC-4A39-901D-410510E7986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2" t="s">
        <v>235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299</v>
      </c>
      <c r="B5" s="444">
        <v>31427.82</v>
      </c>
      <c r="C5" s="445">
        <v>1</v>
      </c>
      <c r="D5" s="447">
        <v>45</v>
      </c>
      <c r="E5" s="440" t="s">
        <v>299</v>
      </c>
      <c r="F5" s="444">
        <v>24155.42</v>
      </c>
      <c r="G5" s="450">
        <v>0.76859992197995275</v>
      </c>
      <c r="H5" s="446">
        <v>27</v>
      </c>
      <c r="I5" s="451">
        <v>0.6</v>
      </c>
      <c r="J5" s="452">
        <v>7272.4</v>
      </c>
      <c r="K5" s="450">
        <v>0.2314000780200472</v>
      </c>
      <c r="L5" s="446">
        <v>18</v>
      </c>
      <c r="M5" s="451">
        <v>0.4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7F6CE7F-040F-49AE-A029-CD9413B936D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35" t="s">
        <v>362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2" t="s">
        <v>235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31427.819999999996</v>
      </c>
      <c r="N3" s="66">
        <f>SUBTOTAL(9,N7:N1048576)</f>
        <v>175</v>
      </c>
      <c r="O3" s="66">
        <f>SUBTOTAL(9,O7:O1048576)</f>
        <v>45</v>
      </c>
      <c r="P3" s="66">
        <f>SUBTOTAL(9,P7:P1048576)</f>
        <v>24155.42</v>
      </c>
      <c r="Q3" s="67">
        <f>IF(M3=0,0,P3/M3)</f>
        <v>0.76859992197995286</v>
      </c>
      <c r="R3" s="66">
        <f>SUBTOTAL(9,R7:R1048576)</f>
        <v>129</v>
      </c>
      <c r="S3" s="67">
        <f>IF(N3=0,0,R3/N3)</f>
        <v>0.7371428571428571</v>
      </c>
      <c r="T3" s="66">
        <f>SUBTOTAL(9,T7:T1048576)</f>
        <v>27</v>
      </c>
      <c r="U3" s="68">
        <f>IF(O3=0,0,T3/O3)</f>
        <v>0.6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8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288</v>
      </c>
      <c r="C7" s="459" t="s">
        <v>292</v>
      </c>
      <c r="D7" s="460" t="s">
        <v>360</v>
      </c>
      <c r="E7" s="461" t="s">
        <v>299</v>
      </c>
      <c r="F7" s="459" t="s">
        <v>289</v>
      </c>
      <c r="G7" s="459" t="s">
        <v>300</v>
      </c>
      <c r="H7" s="459" t="s">
        <v>236</v>
      </c>
      <c r="I7" s="459" t="s">
        <v>301</v>
      </c>
      <c r="J7" s="459" t="s">
        <v>302</v>
      </c>
      <c r="K7" s="459" t="s">
        <v>303</v>
      </c>
      <c r="L7" s="462">
        <v>185.26</v>
      </c>
      <c r="M7" s="462">
        <v>185.26</v>
      </c>
      <c r="N7" s="459">
        <v>1</v>
      </c>
      <c r="O7" s="463">
        <v>1</v>
      </c>
      <c r="P7" s="462"/>
      <c r="Q7" s="464">
        <v>0</v>
      </c>
      <c r="R7" s="459"/>
      <c r="S7" s="464">
        <v>0</v>
      </c>
      <c r="T7" s="463"/>
      <c r="U7" s="122">
        <v>0</v>
      </c>
    </row>
    <row r="8" spans="1:21" ht="14.45" customHeight="1" x14ac:dyDescent="0.2">
      <c r="A8" s="465">
        <v>57</v>
      </c>
      <c r="B8" s="466" t="s">
        <v>288</v>
      </c>
      <c r="C8" s="466" t="s">
        <v>292</v>
      </c>
      <c r="D8" s="467" t="s">
        <v>360</v>
      </c>
      <c r="E8" s="468" t="s">
        <v>299</v>
      </c>
      <c r="F8" s="466" t="s">
        <v>289</v>
      </c>
      <c r="G8" s="466" t="s">
        <v>304</v>
      </c>
      <c r="H8" s="466" t="s">
        <v>361</v>
      </c>
      <c r="I8" s="466" t="s">
        <v>305</v>
      </c>
      <c r="J8" s="466" t="s">
        <v>306</v>
      </c>
      <c r="K8" s="466" t="s">
        <v>307</v>
      </c>
      <c r="L8" s="469">
        <v>0</v>
      </c>
      <c r="M8" s="469">
        <v>0</v>
      </c>
      <c r="N8" s="466">
        <v>1</v>
      </c>
      <c r="O8" s="470">
        <v>1</v>
      </c>
      <c r="P8" s="469"/>
      <c r="Q8" s="471"/>
      <c r="R8" s="466"/>
      <c r="S8" s="471">
        <v>0</v>
      </c>
      <c r="T8" s="470"/>
      <c r="U8" s="472">
        <v>0</v>
      </c>
    </row>
    <row r="9" spans="1:21" ht="14.45" customHeight="1" x14ac:dyDescent="0.2">
      <c r="A9" s="465">
        <v>57</v>
      </c>
      <c r="B9" s="466" t="s">
        <v>288</v>
      </c>
      <c r="C9" s="466" t="s">
        <v>292</v>
      </c>
      <c r="D9" s="467" t="s">
        <v>360</v>
      </c>
      <c r="E9" s="468" t="s">
        <v>299</v>
      </c>
      <c r="F9" s="466" t="s">
        <v>289</v>
      </c>
      <c r="G9" s="466" t="s">
        <v>308</v>
      </c>
      <c r="H9" s="466" t="s">
        <v>361</v>
      </c>
      <c r="I9" s="466" t="s">
        <v>309</v>
      </c>
      <c r="J9" s="466" t="s">
        <v>310</v>
      </c>
      <c r="K9" s="466" t="s">
        <v>311</v>
      </c>
      <c r="L9" s="469">
        <v>233.96</v>
      </c>
      <c r="M9" s="469">
        <v>16377.199999999997</v>
      </c>
      <c r="N9" s="466">
        <v>70</v>
      </c>
      <c r="O9" s="470">
        <v>11.5</v>
      </c>
      <c r="P9" s="469">
        <v>14739.479999999998</v>
      </c>
      <c r="Q9" s="471">
        <v>0.9</v>
      </c>
      <c r="R9" s="466">
        <v>63</v>
      </c>
      <c r="S9" s="471">
        <v>0.9</v>
      </c>
      <c r="T9" s="470">
        <v>10</v>
      </c>
      <c r="U9" s="472">
        <v>0.86956521739130432</v>
      </c>
    </row>
    <row r="10" spans="1:21" ht="14.45" customHeight="1" x14ac:dyDescent="0.2">
      <c r="A10" s="465">
        <v>57</v>
      </c>
      <c r="B10" s="466" t="s">
        <v>288</v>
      </c>
      <c r="C10" s="466" t="s">
        <v>292</v>
      </c>
      <c r="D10" s="467" t="s">
        <v>360</v>
      </c>
      <c r="E10" s="468" t="s">
        <v>299</v>
      </c>
      <c r="F10" s="466" t="s">
        <v>289</v>
      </c>
      <c r="G10" s="466" t="s">
        <v>308</v>
      </c>
      <c r="H10" s="466" t="s">
        <v>361</v>
      </c>
      <c r="I10" s="466" t="s">
        <v>312</v>
      </c>
      <c r="J10" s="466" t="s">
        <v>313</v>
      </c>
      <c r="K10" s="466" t="s">
        <v>314</v>
      </c>
      <c r="L10" s="469">
        <v>21.96</v>
      </c>
      <c r="M10" s="469">
        <v>43.92</v>
      </c>
      <c r="N10" s="466">
        <v>2</v>
      </c>
      <c r="O10" s="470">
        <v>1</v>
      </c>
      <c r="P10" s="469"/>
      <c r="Q10" s="471">
        <v>0</v>
      </c>
      <c r="R10" s="466"/>
      <c r="S10" s="471">
        <v>0</v>
      </c>
      <c r="T10" s="470"/>
      <c r="U10" s="472">
        <v>0</v>
      </c>
    </row>
    <row r="11" spans="1:21" ht="14.45" customHeight="1" x14ac:dyDescent="0.2">
      <c r="A11" s="465">
        <v>57</v>
      </c>
      <c r="B11" s="466" t="s">
        <v>288</v>
      </c>
      <c r="C11" s="466" t="s">
        <v>292</v>
      </c>
      <c r="D11" s="467" t="s">
        <v>360</v>
      </c>
      <c r="E11" s="468" t="s">
        <v>299</v>
      </c>
      <c r="F11" s="466" t="s">
        <v>289</v>
      </c>
      <c r="G11" s="466" t="s">
        <v>308</v>
      </c>
      <c r="H11" s="466" t="s">
        <v>361</v>
      </c>
      <c r="I11" s="466" t="s">
        <v>315</v>
      </c>
      <c r="J11" s="466" t="s">
        <v>316</v>
      </c>
      <c r="K11" s="466" t="s">
        <v>317</v>
      </c>
      <c r="L11" s="469">
        <v>155.97</v>
      </c>
      <c r="M11" s="469">
        <v>311.94</v>
      </c>
      <c r="N11" s="466">
        <v>2</v>
      </c>
      <c r="O11" s="470">
        <v>0.5</v>
      </c>
      <c r="P11" s="469"/>
      <c r="Q11" s="471">
        <v>0</v>
      </c>
      <c r="R11" s="466"/>
      <c r="S11" s="471">
        <v>0</v>
      </c>
      <c r="T11" s="470"/>
      <c r="U11" s="472">
        <v>0</v>
      </c>
    </row>
    <row r="12" spans="1:21" ht="14.45" customHeight="1" x14ac:dyDescent="0.2">
      <c r="A12" s="465">
        <v>57</v>
      </c>
      <c r="B12" s="466" t="s">
        <v>288</v>
      </c>
      <c r="C12" s="466" t="s">
        <v>292</v>
      </c>
      <c r="D12" s="467" t="s">
        <v>360</v>
      </c>
      <c r="E12" s="468" t="s">
        <v>299</v>
      </c>
      <c r="F12" s="466" t="s">
        <v>289</v>
      </c>
      <c r="G12" s="466" t="s">
        <v>308</v>
      </c>
      <c r="H12" s="466" t="s">
        <v>361</v>
      </c>
      <c r="I12" s="466" t="s">
        <v>318</v>
      </c>
      <c r="J12" s="466" t="s">
        <v>319</v>
      </c>
      <c r="K12" s="466" t="s">
        <v>317</v>
      </c>
      <c r="L12" s="469">
        <v>127.34</v>
      </c>
      <c r="M12" s="469">
        <v>127.34</v>
      </c>
      <c r="N12" s="466">
        <v>1</v>
      </c>
      <c r="O12" s="470">
        <v>1</v>
      </c>
      <c r="P12" s="469"/>
      <c r="Q12" s="471">
        <v>0</v>
      </c>
      <c r="R12" s="466"/>
      <c r="S12" s="471">
        <v>0</v>
      </c>
      <c r="T12" s="470"/>
      <c r="U12" s="472">
        <v>0</v>
      </c>
    </row>
    <row r="13" spans="1:21" ht="14.45" customHeight="1" x14ac:dyDescent="0.2">
      <c r="A13" s="465">
        <v>57</v>
      </c>
      <c r="B13" s="466" t="s">
        <v>288</v>
      </c>
      <c r="C13" s="466" t="s">
        <v>292</v>
      </c>
      <c r="D13" s="467" t="s">
        <v>360</v>
      </c>
      <c r="E13" s="468" t="s">
        <v>299</v>
      </c>
      <c r="F13" s="466" t="s">
        <v>289</v>
      </c>
      <c r="G13" s="466" t="s">
        <v>308</v>
      </c>
      <c r="H13" s="466" t="s">
        <v>361</v>
      </c>
      <c r="I13" s="466" t="s">
        <v>320</v>
      </c>
      <c r="J13" s="466" t="s">
        <v>321</v>
      </c>
      <c r="K13" s="466" t="s">
        <v>317</v>
      </c>
      <c r="L13" s="469">
        <v>127.34</v>
      </c>
      <c r="M13" s="469">
        <v>127.34</v>
      </c>
      <c r="N13" s="466">
        <v>1</v>
      </c>
      <c r="O13" s="470">
        <v>1</v>
      </c>
      <c r="P13" s="469"/>
      <c r="Q13" s="471">
        <v>0</v>
      </c>
      <c r="R13" s="466"/>
      <c r="S13" s="471">
        <v>0</v>
      </c>
      <c r="T13" s="470"/>
      <c r="U13" s="472">
        <v>0</v>
      </c>
    </row>
    <row r="14" spans="1:21" ht="14.45" customHeight="1" x14ac:dyDescent="0.2">
      <c r="A14" s="465">
        <v>57</v>
      </c>
      <c r="B14" s="466" t="s">
        <v>288</v>
      </c>
      <c r="C14" s="466" t="s">
        <v>292</v>
      </c>
      <c r="D14" s="467" t="s">
        <v>360</v>
      </c>
      <c r="E14" s="468" t="s">
        <v>299</v>
      </c>
      <c r="F14" s="466" t="s">
        <v>289</v>
      </c>
      <c r="G14" s="466" t="s">
        <v>308</v>
      </c>
      <c r="H14" s="466" t="s">
        <v>361</v>
      </c>
      <c r="I14" s="466" t="s">
        <v>322</v>
      </c>
      <c r="J14" s="466" t="s">
        <v>323</v>
      </c>
      <c r="K14" s="466" t="s">
        <v>324</v>
      </c>
      <c r="L14" s="469">
        <v>84.89</v>
      </c>
      <c r="M14" s="469">
        <v>254.67000000000002</v>
      </c>
      <c r="N14" s="466">
        <v>3</v>
      </c>
      <c r="O14" s="470">
        <v>1</v>
      </c>
      <c r="P14" s="469"/>
      <c r="Q14" s="471">
        <v>0</v>
      </c>
      <c r="R14" s="466"/>
      <c r="S14" s="471">
        <v>0</v>
      </c>
      <c r="T14" s="470"/>
      <c r="U14" s="472">
        <v>0</v>
      </c>
    </row>
    <row r="15" spans="1:21" ht="14.45" customHeight="1" x14ac:dyDescent="0.2">
      <c r="A15" s="465">
        <v>57</v>
      </c>
      <c r="B15" s="466" t="s">
        <v>288</v>
      </c>
      <c r="C15" s="466" t="s">
        <v>292</v>
      </c>
      <c r="D15" s="467" t="s">
        <v>360</v>
      </c>
      <c r="E15" s="468" t="s">
        <v>299</v>
      </c>
      <c r="F15" s="466" t="s">
        <v>289</v>
      </c>
      <c r="G15" s="466" t="s">
        <v>308</v>
      </c>
      <c r="H15" s="466" t="s">
        <v>361</v>
      </c>
      <c r="I15" s="466" t="s">
        <v>325</v>
      </c>
      <c r="J15" s="466" t="s">
        <v>326</v>
      </c>
      <c r="K15" s="466" t="s">
        <v>324</v>
      </c>
      <c r="L15" s="469">
        <v>84.89</v>
      </c>
      <c r="M15" s="469">
        <v>933.79</v>
      </c>
      <c r="N15" s="466">
        <v>11</v>
      </c>
      <c r="O15" s="470">
        <v>1</v>
      </c>
      <c r="P15" s="469">
        <v>933.79</v>
      </c>
      <c r="Q15" s="471">
        <v>1</v>
      </c>
      <c r="R15" s="466">
        <v>11</v>
      </c>
      <c r="S15" s="471">
        <v>1</v>
      </c>
      <c r="T15" s="470">
        <v>1</v>
      </c>
      <c r="U15" s="472">
        <v>1</v>
      </c>
    </row>
    <row r="16" spans="1:21" ht="14.45" customHeight="1" x14ac:dyDescent="0.2">
      <c r="A16" s="465">
        <v>57</v>
      </c>
      <c r="B16" s="466" t="s">
        <v>288</v>
      </c>
      <c r="C16" s="466" t="s">
        <v>292</v>
      </c>
      <c r="D16" s="467" t="s">
        <v>360</v>
      </c>
      <c r="E16" s="468" t="s">
        <v>299</v>
      </c>
      <c r="F16" s="466" t="s">
        <v>289</v>
      </c>
      <c r="G16" s="466" t="s">
        <v>308</v>
      </c>
      <c r="H16" s="466" t="s">
        <v>361</v>
      </c>
      <c r="I16" s="466" t="s">
        <v>327</v>
      </c>
      <c r="J16" s="466" t="s">
        <v>328</v>
      </c>
      <c r="K16" s="466" t="s">
        <v>317</v>
      </c>
      <c r="L16" s="469">
        <v>127.34</v>
      </c>
      <c r="M16" s="469">
        <v>382.02</v>
      </c>
      <c r="N16" s="466">
        <v>3</v>
      </c>
      <c r="O16" s="470">
        <v>1</v>
      </c>
      <c r="P16" s="469"/>
      <c r="Q16" s="471">
        <v>0</v>
      </c>
      <c r="R16" s="466"/>
      <c r="S16" s="471">
        <v>0</v>
      </c>
      <c r="T16" s="470"/>
      <c r="U16" s="472">
        <v>0</v>
      </c>
    </row>
    <row r="17" spans="1:21" ht="14.45" customHeight="1" x14ac:dyDescent="0.2">
      <c r="A17" s="465">
        <v>57</v>
      </c>
      <c r="B17" s="466" t="s">
        <v>288</v>
      </c>
      <c r="C17" s="466" t="s">
        <v>292</v>
      </c>
      <c r="D17" s="467" t="s">
        <v>360</v>
      </c>
      <c r="E17" s="468" t="s">
        <v>299</v>
      </c>
      <c r="F17" s="466" t="s">
        <v>289</v>
      </c>
      <c r="G17" s="466" t="s">
        <v>308</v>
      </c>
      <c r="H17" s="466" t="s">
        <v>361</v>
      </c>
      <c r="I17" s="466" t="s">
        <v>329</v>
      </c>
      <c r="J17" s="466" t="s">
        <v>330</v>
      </c>
      <c r="K17" s="466" t="s">
        <v>324</v>
      </c>
      <c r="L17" s="469">
        <v>84.89</v>
      </c>
      <c r="M17" s="469">
        <v>84.89</v>
      </c>
      <c r="N17" s="466">
        <v>1</v>
      </c>
      <c r="O17" s="470">
        <v>0.5</v>
      </c>
      <c r="P17" s="469"/>
      <c r="Q17" s="471">
        <v>0</v>
      </c>
      <c r="R17" s="466"/>
      <c r="S17" s="471">
        <v>0</v>
      </c>
      <c r="T17" s="470"/>
      <c r="U17" s="472">
        <v>0</v>
      </c>
    </row>
    <row r="18" spans="1:21" ht="14.45" customHeight="1" x14ac:dyDescent="0.2">
      <c r="A18" s="465">
        <v>57</v>
      </c>
      <c r="B18" s="466" t="s">
        <v>288</v>
      </c>
      <c r="C18" s="466" t="s">
        <v>292</v>
      </c>
      <c r="D18" s="467" t="s">
        <v>360</v>
      </c>
      <c r="E18" s="468" t="s">
        <v>299</v>
      </c>
      <c r="F18" s="466" t="s">
        <v>289</v>
      </c>
      <c r="G18" s="466" t="s">
        <v>308</v>
      </c>
      <c r="H18" s="466" t="s">
        <v>361</v>
      </c>
      <c r="I18" s="466" t="s">
        <v>331</v>
      </c>
      <c r="J18" s="466" t="s">
        <v>332</v>
      </c>
      <c r="K18" s="466" t="s">
        <v>324</v>
      </c>
      <c r="L18" s="469">
        <v>84.89</v>
      </c>
      <c r="M18" s="469">
        <v>169.78</v>
      </c>
      <c r="N18" s="466">
        <v>2</v>
      </c>
      <c r="O18" s="470">
        <v>1.5</v>
      </c>
      <c r="P18" s="469">
        <v>84.89</v>
      </c>
      <c r="Q18" s="471">
        <v>0.5</v>
      </c>
      <c r="R18" s="466">
        <v>1</v>
      </c>
      <c r="S18" s="471">
        <v>0.5</v>
      </c>
      <c r="T18" s="470">
        <v>1</v>
      </c>
      <c r="U18" s="472">
        <v>0.66666666666666663</v>
      </c>
    </row>
    <row r="19" spans="1:21" ht="14.45" customHeight="1" x14ac:dyDescent="0.2">
      <c r="A19" s="465">
        <v>57</v>
      </c>
      <c r="B19" s="466" t="s">
        <v>288</v>
      </c>
      <c r="C19" s="466" t="s">
        <v>292</v>
      </c>
      <c r="D19" s="467" t="s">
        <v>360</v>
      </c>
      <c r="E19" s="468" t="s">
        <v>299</v>
      </c>
      <c r="F19" s="466" t="s">
        <v>289</v>
      </c>
      <c r="G19" s="466" t="s">
        <v>308</v>
      </c>
      <c r="H19" s="466" t="s">
        <v>361</v>
      </c>
      <c r="I19" s="466" t="s">
        <v>333</v>
      </c>
      <c r="J19" s="466" t="s">
        <v>334</v>
      </c>
      <c r="K19" s="466" t="s">
        <v>311</v>
      </c>
      <c r="L19" s="469">
        <v>233.96</v>
      </c>
      <c r="M19" s="469">
        <v>5849</v>
      </c>
      <c r="N19" s="466">
        <v>25</v>
      </c>
      <c r="O19" s="470">
        <v>3.5</v>
      </c>
      <c r="P19" s="469">
        <v>4679.2</v>
      </c>
      <c r="Q19" s="471">
        <v>0.79999999999999993</v>
      </c>
      <c r="R19" s="466">
        <v>20</v>
      </c>
      <c r="S19" s="471">
        <v>0.8</v>
      </c>
      <c r="T19" s="470">
        <v>3</v>
      </c>
      <c r="U19" s="472">
        <v>0.8571428571428571</v>
      </c>
    </row>
    <row r="20" spans="1:21" ht="14.45" customHeight="1" x14ac:dyDescent="0.2">
      <c r="A20" s="465">
        <v>57</v>
      </c>
      <c r="B20" s="466" t="s">
        <v>288</v>
      </c>
      <c r="C20" s="466" t="s">
        <v>292</v>
      </c>
      <c r="D20" s="467" t="s">
        <v>360</v>
      </c>
      <c r="E20" s="468" t="s">
        <v>299</v>
      </c>
      <c r="F20" s="466" t="s">
        <v>289</v>
      </c>
      <c r="G20" s="466" t="s">
        <v>308</v>
      </c>
      <c r="H20" s="466" t="s">
        <v>361</v>
      </c>
      <c r="I20" s="466" t="s">
        <v>335</v>
      </c>
      <c r="J20" s="466" t="s">
        <v>336</v>
      </c>
      <c r="K20" s="466" t="s">
        <v>337</v>
      </c>
      <c r="L20" s="469">
        <v>87.82</v>
      </c>
      <c r="M20" s="469">
        <v>790.37999999999988</v>
      </c>
      <c r="N20" s="466">
        <v>9</v>
      </c>
      <c r="O20" s="470">
        <v>3.5</v>
      </c>
      <c r="P20" s="469">
        <v>526.91999999999996</v>
      </c>
      <c r="Q20" s="471">
        <v>0.66666666666666674</v>
      </c>
      <c r="R20" s="466">
        <v>6</v>
      </c>
      <c r="S20" s="471">
        <v>0.66666666666666663</v>
      </c>
      <c r="T20" s="470">
        <v>2.5</v>
      </c>
      <c r="U20" s="472">
        <v>0.7142857142857143</v>
      </c>
    </row>
    <row r="21" spans="1:21" ht="14.45" customHeight="1" x14ac:dyDescent="0.2">
      <c r="A21" s="465">
        <v>57</v>
      </c>
      <c r="B21" s="466" t="s">
        <v>288</v>
      </c>
      <c r="C21" s="466" t="s">
        <v>292</v>
      </c>
      <c r="D21" s="467" t="s">
        <v>360</v>
      </c>
      <c r="E21" s="468" t="s">
        <v>299</v>
      </c>
      <c r="F21" s="466" t="s">
        <v>289</v>
      </c>
      <c r="G21" s="466" t="s">
        <v>308</v>
      </c>
      <c r="H21" s="466" t="s">
        <v>361</v>
      </c>
      <c r="I21" s="466" t="s">
        <v>338</v>
      </c>
      <c r="J21" s="466" t="s">
        <v>339</v>
      </c>
      <c r="K21" s="466" t="s">
        <v>317</v>
      </c>
      <c r="L21" s="469">
        <v>155.97</v>
      </c>
      <c r="M21" s="469">
        <v>467.90999999999997</v>
      </c>
      <c r="N21" s="466">
        <v>3</v>
      </c>
      <c r="O21" s="470">
        <v>1</v>
      </c>
      <c r="P21" s="469"/>
      <c r="Q21" s="471">
        <v>0</v>
      </c>
      <c r="R21" s="466"/>
      <c r="S21" s="471">
        <v>0</v>
      </c>
      <c r="T21" s="470"/>
      <c r="U21" s="472">
        <v>0</v>
      </c>
    </row>
    <row r="22" spans="1:21" ht="14.45" customHeight="1" x14ac:dyDescent="0.2">
      <c r="A22" s="465">
        <v>57</v>
      </c>
      <c r="B22" s="466" t="s">
        <v>288</v>
      </c>
      <c r="C22" s="466" t="s">
        <v>292</v>
      </c>
      <c r="D22" s="467" t="s">
        <v>360</v>
      </c>
      <c r="E22" s="468" t="s">
        <v>299</v>
      </c>
      <c r="F22" s="466" t="s">
        <v>289</v>
      </c>
      <c r="G22" s="466" t="s">
        <v>308</v>
      </c>
      <c r="H22" s="466" t="s">
        <v>236</v>
      </c>
      <c r="I22" s="466" t="s">
        <v>340</v>
      </c>
      <c r="J22" s="466" t="s">
        <v>341</v>
      </c>
      <c r="K22" s="466" t="s">
        <v>342</v>
      </c>
      <c r="L22" s="469">
        <v>253.43</v>
      </c>
      <c r="M22" s="469">
        <v>506.86</v>
      </c>
      <c r="N22" s="466">
        <v>2</v>
      </c>
      <c r="O22" s="470">
        <v>1</v>
      </c>
      <c r="P22" s="469"/>
      <c r="Q22" s="471">
        <v>0</v>
      </c>
      <c r="R22" s="466"/>
      <c r="S22" s="471">
        <v>0</v>
      </c>
      <c r="T22" s="470"/>
      <c r="U22" s="472">
        <v>0</v>
      </c>
    </row>
    <row r="23" spans="1:21" ht="14.45" customHeight="1" x14ac:dyDescent="0.2">
      <c r="A23" s="465">
        <v>57</v>
      </c>
      <c r="B23" s="466" t="s">
        <v>288</v>
      </c>
      <c r="C23" s="466" t="s">
        <v>292</v>
      </c>
      <c r="D23" s="467" t="s">
        <v>360</v>
      </c>
      <c r="E23" s="468" t="s">
        <v>299</v>
      </c>
      <c r="F23" s="466" t="s">
        <v>289</v>
      </c>
      <c r="G23" s="466" t="s">
        <v>308</v>
      </c>
      <c r="H23" s="466" t="s">
        <v>236</v>
      </c>
      <c r="I23" s="466" t="s">
        <v>343</v>
      </c>
      <c r="J23" s="466" t="s">
        <v>344</v>
      </c>
      <c r="K23" s="466" t="s">
        <v>324</v>
      </c>
      <c r="L23" s="469">
        <v>143.59</v>
      </c>
      <c r="M23" s="469">
        <v>430.77</v>
      </c>
      <c r="N23" s="466">
        <v>3</v>
      </c>
      <c r="O23" s="470">
        <v>2</v>
      </c>
      <c r="P23" s="469">
        <v>143.59</v>
      </c>
      <c r="Q23" s="471">
        <v>0.33333333333333337</v>
      </c>
      <c r="R23" s="466">
        <v>1</v>
      </c>
      <c r="S23" s="471">
        <v>0.33333333333333331</v>
      </c>
      <c r="T23" s="470">
        <v>1</v>
      </c>
      <c r="U23" s="472">
        <v>0.5</v>
      </c>
    </row>
    <row r="24" spans="1:21" ht="14.45" customHeight="1" x14ac:dyDescent="0.2">
      <c r="A24" s="465">
        <v>57</v>
      </c>
      <c r="B24" s="466" t="s">
        <v>288</v>
      </c>
      <c r="C24" s="466" t="s">
        <v>292</v>
      </c>
      <c r="D24" s="467" t="s">
        <v>360</v>
      </c>
      <c r="E24" s="468" t="s">
        <v>299</v>
      </c>
      <c r="F24" s="466" t="s">
        <v>289</v>
      </c>
      <c r="G24" s="466" t="s">
        <v>308</v>
      </c>
      <c r="H24" s="466" t="s">
        <v>236</v>
      </c>
      <c r="I24" s="466" t="s">
        <v>345</v>
      </c>
      <c r="J24" s="466" t="s">
        <v>313</v>
      </c>
      <c r="K24" s="466" t="s">
        <v>337</v>
      </c>
      <c r="L24" s="469">
        <v>87.82</v>
      </c>
      <c r="M24" s="469">
        <v>1053.8400000000001</v>
      </c>
      <c r="N24" s="466">
        <v>12</v>
      </c>
      <c r="O24" s="470">
        <v>3.5</v>
      </c>
      <c r="P24" s="469">
        <v>878.2</v>
      </c>
      <c r="Q24" s="471">
        <v>0.83333333333333326</v>
      </c>
      <c r="R24" s="466">
        <v>10</v>
      </c>
      <c r="S24" s="471">
        <v>0.83333333333333337</v>
      </c>
      <c r="T24" s="470">
        <v>2.5</v>
      </c>
      <c r="U24" s="472">
        <v>0.7142857142857143</v>
      </c>
    </row>
    <row r="25" spans="1:21" ht="14.45" customHeight="1" x14ac:dyDescent="0.2">
      <c r="A25" s="465">
        <v>57</v>
      </c>
      <c r="B25" s="466" t="s">
        <v>288</v>
      </c>
      <c r="C25" s="466" t="s">
        <v>292</v>
      </c>
      <c r="D25" s="467" t="s">
        <v>360</v>
      </c>
      <c r="E25" s="468" t="s">
        <v>299</v>
      </c>
      <c r="F25" s="466" t="s">
        <v>289</v>
      </c>
      <c r="G25" s="466" t="s">
        <v>308</v>
      </c>
      <c r="H25" s="466" t="s">
        <v>236</v>
      </c>
      <c r="I25" s="466" t="s">
        <v>346</v>
      </c>
      <c r="J25" s="466" t="s">
        <v>347</v>
      </c>
      <c r="K25" s="466" t="s">
        <v>337</v>
      </c>
      <c r="L25" s="469">
        <v>172.67</v>
      </c>
      <c r="M25" s="469">
        <v>345.34</v>
      </c>
      <c r="N25" s="466">
        <v>2</v>
      </c>
      <c r="O25" s="470">
        <v>1</v>
      </c>
      <c r="P25" s="469">
        <v>345.34</v>
      </c>
      <c r="Q25" s="471">
        <v>1</v>
      </c>
      <c r="R25" s="466">
        <v>2</v>
      </c>
      <c r="S25" s="471">
        <v>1</v>
      </c>
      <c r="T25" s="470">
        <v>1</v>
      </c>
      <c r="U25" s="472">
        <v>1</v>
      </c>
    </row>
    <row r="26" spans="1:21" ht="14.45" customHeight="1" x14ac:dyDescent="0.2">
      <c r="A26" s="465">
        <v>57</v>
      </c>
      <c r="B26" s="466" t="s">
        <v>288</v>
      </c>
      <c r="C26" s="466" t="s">
        <v>292</v>
      </c>
      <c r="D26" s="467" t="s">
        <v>360</v>
      </c>
      <c r="E26" s="468" t="s">
        <v>299</v>
      </c>
      <c r="F26" s="466" t="s">
        <v>289</v>
      </c>
      <c r="G26" s="466" t="s">
        <v>308</v>
      </c>
      <c r="H26" s="466" t="s">
        <v>236</v>
      </c>
      <c r="I26" s="466" t="s">
        <v>348</v>
      </c>
      <c r="J26" s="466" t="s">
        <v>349</v>
      </c>
      <c r="K26" s="466" t="s">
        <v>337</v>
      </c>
      <c r="L26" s="469">
        <v>172.67</v>
      </c>
      <c r="M26" s="469">
        <v>345.34</v>
      </c>
      <c r="N26" s="466">
        <v>2</v>
      </c>
      <c r="O26" s="470">
        <v>1</v>
      </c>
      <c r="P26" s="469">
        <v>345.34</v>
      </c>
      <c r="Q26" s="471">
        <v>1</v>
      </c>
      <c r="R26" s="466">
        <v>2</v>
      </c>
      <c r="S26" s="471">
        <v>1</v>
      </c>
      <c r="T26" s="470">
        <v>1</v>
      </c>
      <c r="U26" s="472">
        <v>1</v>
      </c>
    </row>
    <row r="27" spans="1:21" ht="14.45" customHeight="1" x14ac:dyDescent="0.2">
      <c r="A27" s="465">
        <v>57</v>
      </c>
      <c r="B27" s="466" t="s">
        <v>288</v>
      </c>
      <c r="C27" s="466" t="s">
        <v>292</v>
      </c>
      <c r="D27" s="467" t="s">
        <v>360</v>
      </c>
      <c r="E27" s="468" t="s">
        <v>299</v>
      </c>
      <c r="F27" s="466" t="s">
        <v>289</v>
      </c>
      <c r="G27" s="466" t="s">
        <v>308</v>
      </c>
      <c r="H27" s="466" t="s">
        <v>236</v>
      </c>
      <c r="I27" s="466" t="s">
        <v>350</v>
      </c>
      <c r="J27" s="466" t="s">
        <v>351</v>
      </c>
      <c r="K27" s="466" t="s">
        <v>324</v>
      </c>
      <c r="L27" s="469">
        <v>143.59</v>
      </c>
      <c r="M27" s="469">
        <v>430.77</v>
      </c>
      <c r="N27" s="466">
        <v>3</v>
      </c>
      <c r="O27" s="470">
        <v>1</v>
      </c>
      <c r="P27" s="469">
        <v>430.77</v>
      </c>
      <c r="Q27" s="471">
        <v>1</v>
      </c>
      <c r="R27" s="466">
        <v>3</v>
      </c>
      <c r="S27" s="471">
        <v>1</v>
      </c>
      <c r="T27" s="470">
        <v>1</v>
      </c>
      <c r="U27" s="472">
        <v>1</v>
      </c>
    </row>
    <row r="28" spans="1:21" ht="14.45" customHeight="1" x14ac:dyDescent="0.2">
      <c r="A28" s="465">
        <v>57</v>
      </c>
      <c r="B28" s="466" t="s">
        <v>288</v>
      </c>
      <c r="C28" s="466" t="s">
        <v>292</v>
      </c>
      <c r="D28" s="467" t="s">
        <v>360</v>
      </c>
      <c r="E28" s="468" t="s">
        <v>299</v>
      </c>
      <c r="F28" s="466" t="s">
        <v>289</v>
      </c>
      <c r="G28" s="466" t="s">
        <v>308</v>
      </c>
      <c r="H28" s="466" t="s">
        <v>236</v>
      </c>
      <c r="I28" s="466" t="s">
        <v>352</v>
      </c>
      <c r="J28" s="466" t="s">
        <v>353</v>
      </c>
      <c r="K28" s="466" t="s">
        <v>337</v>
      </c>
      <c r="L28" s="469">
        <v>239.53</v>
      </c>
      <c r="M28" s="469">
        <v>479.06</v>
      </c>
      <c r="N28" s="466">
        <v>2</v>
      </c>
      <c r="O28" s="470">
        <v>1</v>
      </c>
      <c r="P28" s="469"/>
      <c r="Q28" s="471">
        <v>0</v>
      </c>
      <c r="R28" s="466"/>
      <c r="S28" s="471">
        <v>0</v>
      </c>
      <c r="T28" s="470"/>
      <c r="U28" s="472">
        <v>0</v>
      </c>
    </row>
    <row r="29" spans="1:21" ht="14.45" customHeight="1" x14ac:dyDescent="0.2">
      <c r="A29" s="465">
        <v>57</v>
      </c>
      <c r="B29" s="466" t="s">
        <v>288</v>
      </c>
      <c r="C29" s="466" t="s">
        <v>292</v>
      </c>
      <c r="D29" s="467" t="s">
        <v>360</v>
      </c>
      <c r="E29" s="468" t="s">
        <v>299</v>
      </c>
      <c r="F29" s="466" t="s">
        <v>289</v>
      </c>
      <c r="G29" s="466" t="s">
        <v>308</v>
      </c>
      <c r="H29" s="466" t="s">
        <v>236</v>
      </c>
      <c r="I29" s="466" t="s">
        <v>354</v>
      </c>
      <c r="J29" s="466" t="s">
        <v>355</v>
      </c>
      <c r="K29" s="466" t="s">
        <v>337</v>
      </c>
      <c r="L29" s="469">
        <v>172.67</v>
      </c>
      <c r="M29" s="469">
        <v>345.34</v>
      </c>
      <c r="N29" s="466">
        <v>2</v>
      </c>
      <c r="O29" s="470">
        <v>1</v>
      </c>
      <c r="P29" s="469">
        <v>345.34</v>
      </c>
      <c r="Q29" s="471">
        <v>1</v>
      </c>
      <c r="R29" s="466">
        <v>2</v>
      </c>
      <c r="S29" s="471">
        <v>1</v>
      </c>
      <c r="T29" s="470">
        <v>1</v>
      </c>
      <c r="U29" s="472">
        <v>1</v>
      </c>
    </row>
    <row r="30" spans="1:21" ht="14.45" customHeight="1" x14ac:dyDescent="0.2">
      <c r="A30" s="465">
        <v>57</v>
      </c>
      <c r="B30" s="466" t="s">
        <v>288</v>
      </c>
      <c r="C30" s="466" t="s">
        <v>292</v>
      </c>
      <c r="D30" s="467" t="s">
        <v>360</v>
      </c>
      <c r="E30" s="468" t="s">
        <v>299</v>
      </c>
      <c r="F30" s="466" t="s">
        <v>289</v>
      </c>
      <c r="G30" s="466" t="s">
        <v>308</v>
      </c>
      <c r="H30" s="466" t="s">
        <v>236</v>
      </c>
      <c r="I30" s="466" t="s">
        <v>356</v>
      </c>
      <c r="J30" s="466" t="s">
        <v>357</v>
      </c>
      <c r="K30" s="466" t="s">
        <v>337</v>
      </c>
      <c r="L30" s="469">
        <v>87.82</v>
      </c>
      <c r="M30" s="469">
        <v>878.19999999999993</v>
      </c>
      <c r="N30" s="466">
        <v>10</v>
      </c>
      <c r="O30" s="470">
        <v>3</v>
      </c>
      <c r="P30" s="469">
        <v>702.56</v>
      </c>
      <c r="Q30" s="471">
        <v>0.8</v>
      </c>
      <c r="R30" s="466">
        <v>8</v>
      </c>
      <c r="S30" s="471">
        <v>0.8</v>
      </c>
      <c r="T30" s="470">
        <v>2</v>
      </c>
      <c r="U30" s="472">
        <v>0.66666666666666663</v>
      </c>
    </row>
    <row r="31" spans="1:21" ht="14.45" customHeight="1" thickBot="1" x14ac:dyDescent="0.25">
      <c r="A31" s="473">
        <v>57</v>
      </c>
      <c r="B31" s="474" t="s">
        <v>288</v>
      </c>
      <c r="C31" s="474" t="s">
        <v>292</v>
      </c>
      <c r="D31" s="475" t="s">
        <v>360</v>
      </c>
      <c r="E31" s="476" t="s">
        <v>299</v>
      </c>
      <c r="F31" s="474" t="s">
        <v>289</v>
      </c>
      <c r="G31" s="474" t="s">
        <v>308</v>
      </c>
      <c r="H31" s="474" t="s">
        <v>236</v>
      </c>
      <c r="I31" s="474" t="s">
        <v>358</v>
      </c>
      <c r="J31" s="474" t="s">
        <v>359</v>
      </c>
      <c r="K31" s="474" t="s">
        <v>342</v>
      </c>
      <c r="L31" s="477">
        <v>253.43</v>
      </c>
      <c r="M31" s="477">
        <v>506.86</v>
      </c>
      <c r="N31" s="474">
        <v>2</v>
      </c>
      <c r="O31" s="478">
        <v>0.5</v>
      </c>
      <c r="P31" s="477"/>
      <c r="Q31" s="479">
        <v>0</v>
      </c>
      <c r="R31" s="474"/>
      <c r="S31" s="479">
        <v>0</v>
      </c>
      <c r="T31" s="478"/>
      <c r="U31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F2DDB67-C5E1-42E9-AA4B-B4643F97BAF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2020-12-03T14:48:01Z</dcterms:modified>
</cp:coreProperties>
</file>