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7EB3B7C-B93B-406A-A4F9-455ED085B1D5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1" i="414"/>
  <c r="A13" i="414"/>
  <c r="A14" i="414"/>
  <c r="A4" i="414"/>
  <c r="A6" i="339" l="1"/>
  <c r="A5" i="339"/>
  <c r="C14" i="414"/>
  <c r="D17" i="414"/>
  <c r="D4" i="414"/>
  <c r="C17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D22" i="414"/>
  <c r="C22" i="414"/>
  <c r="U3" i="347" l="1"/>
  <c r="I12" i="339"/>
  <c r="I13" i="339" s="1"/>
  <c r="H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<sst xmlns="http://schemas.openxmlformats.org/spreadsheetml/2006/main" count="2045" uniqueCount="629">
  <si>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</si>
  <si>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</si>
  <si>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</si>
  <si>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</si>
  <si>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</si>
  <si>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</si>
  <si>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</si>
  <si>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</si>
  <si>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</si>
  <si>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</si>
  <si>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</si>
  <si>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</si>
  <si>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</si>
  <si>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</si>
  <si>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</si>
  <si>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</si>
  <si>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</si>
  <si>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</si>
  <si>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</si>
  <si>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</si>
  <si>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</si>
  <si>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</si>
  <si>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</si>
  <si>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</si>
  <si>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</si>
  <si>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</si>
  <si>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</si>
  <si>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</si>
  <si>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</si>
  <si>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</si>
  <si>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</si>
  <si>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</si>
  <si>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</si>
  <si>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</si>
  <si>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</si>
  <si>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</si>
  <si>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</si>
  <si>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</si>
  <si>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</si>
  <si>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</si>
  <si>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</si>
  <si>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</si>
  <si>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</si>
  <si>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</si>
  <si>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</si>
  <si>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</si>
  <si>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</si>
  <si>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</si>
  <si>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</si>
  <si>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</si>
  <si>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</si>
  <si>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</si>
  <si>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</si>
  <si>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</si>
  <si>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</si>
  <si>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</si>
  <si>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</si>
  <si>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</si>
  <si>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</si>
  <si>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</si>
  <si>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</si>
  <si>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</si>
  <si>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</si>
  <si>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</si>
  <si>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</si>
  <si>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</si>
  <si>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</si>
  <si>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</si>
  <si>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</si>
  <si>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</si>
  <si>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</si>
  <si>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</si>
  <si>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</si>
  <si>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</si>
  <si>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</si>
  <si>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</si>
  <si>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</si>
  <si>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</si>
  <si>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</si>
  <si>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</si>
  <si>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</si>
  <si>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</si>
  <si>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</si>
  <si>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</si>
  <si>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</si>
  <si>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</si>
  <si>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</si>
  <si>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</si>
  <si>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</si>
  <si>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</si>
  <si>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</si>
  <si>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</si>
  <si>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</si>
  <si>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</si>
  <si>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</si>
  <si>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</si>
  <si>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</si>
  <si>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</si>
  <si>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</si>
  <si>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</si>
  <si>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</si>
  <si>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</si>
  <si>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</si>
  <si>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</si>
  <si>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</si>
  <si>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</si>
  <si>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</si>
  <si>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</si>
  <si>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</si>
  <si>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</si>
  <si>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</si>
  <si>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</si>
  <si>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</si>
  <si>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</si>
  <si>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</si>
  <si>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</si>
  <si>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</si>
  <si>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</si>
  <si>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</si>
  <si>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</si>
  <si>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</si>
  <si>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</si>
  <si>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</si>
  <si>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</si>
  <si>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</si>
  <si>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</si>
  <si>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</si>
  <si>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</si>
  <si>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</si>
  <si>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</si>
  <si>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</si>
  <si>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</si>
  <si>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</si>
  <si>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</si>
  <si>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</si>
  <si>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</si>
  <si>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</si>
  <si>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</si>
  <si>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</si>
  <si>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</si>
  <si>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</si>
  <si>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</si>
  <si>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</si>
  <si>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</si>
  <si>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</si>
  <si>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</si>
  <si>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</si>
  <si>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</si>
  <si>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</si>
  <si>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</si>
  <si>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</si>
  <si>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</si>
  <si>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</si>
  <si>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</si>
  <si>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</si>
  <si>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</si>
  <si>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</si>
  <si>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</si>
  <si>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</si>
  <si>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</si>
  <si>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</si>
  <si>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</si>
  <si>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</si>
  <si>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</si>
  <si>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</si>
  <si>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</si>
  <si>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</si>
  <si>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</si>
  <si>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</si>
  <si>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</si>
  <si>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</si>
  <si>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</si>
  <si>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</si>
  <si>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</si>
  <si>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</si>
  <si>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</si>
  <si>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</si>
  <si>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</si>
  <si>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</si>
  <si>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</si>
  <si>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</si>
  <si>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</si>
  <si>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</si>
  <si>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</si>
  <si>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</si>
  <si>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</si>
  <si>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</si>
  <si>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</si>
  <si>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</si>
  <si>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</si>
  <si>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</si>
  <si>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</si>
  <si>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</si>
  <si>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</si>
  <si>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</si>
  <si>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</si>
  <si>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</si>
  <si>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</si>
  <si>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</si>
  <si>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</si>
  <si>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</si>
  <si>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</si>
  <si>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</si>
  <si>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</si>
  <si>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</si>
  <si>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</si>
  <si>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</si>
  <si>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</si>
  <si>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</si>
  <si>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</si>
  <si>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</si>
  <si>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</si>
  <si>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</si>
  <si>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</si>
  <si>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</si>
  <si>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</si>
  <si>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</si>
  <si>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</si>
  <si>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</si>
  <si>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</si>
  <si>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</si>
  <si>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</si>
  <si>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</si>
  <si>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</si>
  <si>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</si>
  <si>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</si>
  <si>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</si>
  <si>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</si>
  <si>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</si>
  <si>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</si>
  <si>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</si>
  <si>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</si>
  <si>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</si>
  <si>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</si>
  <si>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</si>
  <si>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</si>
  <si>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</si>
  <si>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</si>
  <si>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</si>
  <si>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</si>
  <si>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</si>
  <si>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</si>
  <si>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</si>
  <si>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50115     Zdravotnické prostředky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</si>
  <si>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</si>
  <si>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</si>
  <si>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</si>
  <si>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</si>
  <si>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</si>
  <si>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</si>
  <si>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50115101     ZPr - ostatní COVID 19 (Z558)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</si>
  <si>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</si>
  <si>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</si>
  <si>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50118     Náhradní díly</t>
  </si>
  <si>
    <t xml:space="preserve">                         50118004     ND - zdravotní techn. (OSBTK, vč.metrologa)</t>
  </si>
  <si>
    <t xml:space="preserve">                    50119     DDHM a textil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</si>
  <si>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</si>
  <si>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</si>
  <si>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</si>
  <si>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</si>
  <si>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</si>
  <si>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</si>
  <si>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</si>
  <si>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</si>
  <si>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</si>
  <si>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</si>
  <si>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51102023     Opravy ostatní techniky - OSBTK, vč.metrologa</t>
  </si>
  <si>
    <t xml:space="preserve">               518     Ostatní služby</t>
  </si>
  <si>
    <t xml:space="preserve">                    51808     Revize a smluvní servisy majetku</t>
  </si>
  <si>
    <t xml:space="preserve">                         51808008     Revize, tech.kontroly, prev.prohl.- OSBTK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</si>
  <si>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</si>
  <si>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</si>
  <si>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</si>
  <si>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55110004     Odpisy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</si>
  <si>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</si>
  <si>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</si>
  <si>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</si>
  <si>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</si>
  <si>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</si>
  <si>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</si>
  <si>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60229     Zdr. výkony - ost. ZP sled.položky  OZPI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</si>
  <si>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</si>
  <si>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</si>
  <si>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</si>
  <si>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</si>
  <si>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</si>
  <si>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</si>
  <si>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</si>
  <si>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</si>
  <si>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79920     VPN - mezistřediskové převody</t>
  </si>
  <si>
    <t xml:space="preserve">                         79920001     Agregované výkony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</si>
  <si>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</si>
  <si>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</si>
  <si>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</si>
  <si>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</si>
  <si>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</si>
  <si>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</si>
  <si>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</si>
  <si>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</si>
  <si>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</si>
  <si>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</si>
  <si>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</si>
  <si>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</si>
  <si>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</si>
  <si>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</si>
  <si>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</si>
  <si>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</si>
  <si>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Klásková Eva</t>
  </si>
  <si>
    <t>POTRAVINY PRO ZVLÁŠTNÍ LÉKAŘSKÉ ÚČELY (PZLÚ) (ČESKÁ ATC SKUP</t>
  </si>
  <si>
    <t>33742</t>
  </si>
  <si>
    <t>NUTRIDRINK COMPACT PROTEIN S PŘÍCHUTÍ JAHODOVOU</t>
  </si>
  <si>
    <t>POR SOL 4X125ML</t>
  </si>
  <si>
    <t>33855</t>
  </si>
  <si>
    <t>NUTRIDRINK BALÍČEK 5 + 1</t>
  </si>
  <si>
    <t>POR SOL 6X200ML</t>
  </si>
  <si>
    <t>33858</t>
  </si>
  <si>
    <t>NUTRIDRINK JUICE STYLE S PŘÍCHUTÍ JAHODOVOU</t>
  </si>
  <si>
    <t>POR SOL 4X200ML</t>
  </si>
  <si>
    <t>33897</t>
  </si>
  <si>
    <t>NUTRIDRINK COMPACT PROTEIN S PŘÍCHUTÍ BROSKEV A MANGO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</si>
  <si>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</si>
  <si>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</si>
  <si>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</si>
  <si>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</si>
  <si>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</si>
  <si>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</si>
  <si>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</si>
  <si>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</si>
  <si>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</si>
  <si>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</si>
  <si>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</si>
  <si>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</si>
  <si>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</si>
  <si>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</si>
  <si>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</si>
  <si>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50115101 - ZPr - ostatní COVID 19 (Z558)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</si>
  <si>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</si>
  <si>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</si>
  <si>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</si>
  <si>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</si>
  <si>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</si>
  <si>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</si>
  <si>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</si>
  <si>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</si>
  <si>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</si>
  <si>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</si>
  <si>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</si>
  <si>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</si>
  <si>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</si>
  <si>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</si>
  <si>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</si>
  <si>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</si>
  <si>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ZT104</t>
  </si>
  <si>
    <t>KrytĂ­ pÄ›novĂ© Biopatch  disk ochrannĂ˝ k CVC a PICC s CHG, prĹŻm. 1,9 mm, otvor prĹŻm. 1,5 mm dÄ›tskĂ© bal. Ăˇ 10 ks 44151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</si>
  <si>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</si>
  <si>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</si>
  <si>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</si>
  <si>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</si>
  <si>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</si>
  <si>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</si>
  <si>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</si>
  <si>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</si>
  <si>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</si>
  <si>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</si>
  <si>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</si>
  <si>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</si>
  <si>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</si>
  <si>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</si>
  <si>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</si>
  <si>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</si>
  <si>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ZP131</t>
  </si>
  <si>
    <t>KrytĂ­ tegaderm i.v. advanced 3,8 cm x 4,5 cm bal. Ăˇ 100 ks 1680 (nĂˇhrada ZG829) - povoleno pouze pro NOVO</t>
  </si>
  <si>
    <t>ZI599</t>
  </si>
  <si>
    <t>NĂˇplast curapor 10 x   8 cm 32913 ( 22121,  nĂˇhrada za cosmopor )</t>
  </si>
  <si>
    <t>ZH011</t>
  </si>
  <si>
    <t>NĂˇplast micropore 1,25 cm x 9,14 m bal. Ăˇ 24 ks 1530-0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</si>
  <si>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</si>
  <si>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</si>
  <si>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</si>
  <si>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</si>
  <si>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</si>
  <si>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</si>
  <si>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</si>
  <si>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</si>
  <si>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</si>
  <si>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</si>
  <si>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</si>
  <si>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</si>
  <si>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</si>
  <si>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</si>
  <si>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</si>
  <si>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</si>
  <si>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</si>
  <si>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</si>
  <si>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</si>
  <si>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</si>
  <si>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</si>
  <si>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</si>
  <si>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</si>
  <si>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</si>
  <si>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</si>
  <si>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</si>
  <si>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</si>
  <si>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</si>
  <si>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</si>
  <si>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</si>
  <si>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</si>
  <si>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</si>
  <si>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</si>
  <si>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</si>
  <si>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</si>
  <si>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</si>
  <si>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</si>
  <si>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</si>
  <si>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</si>
  <si>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</si>
  <si>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</si>
  <si>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</si>
  <si>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</si>
  <si>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</si>
  <si>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</si>
  <si>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</si>
  <si>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ZR862</t>
  </si>
  <si>
    <t>RegulĂˇtor prĹŻtoku infuze  GAMA GROUP, prĹŻtok 10-300 ml/hod, vÄŤetnÄ› spojovacĂ­ hadiÄŤky, celkovĂˇ dĂ©lka 50 cm, sterilnĂ­, jednorĂˇzovĂ˝ 606145-ND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</si>
  <si>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</si>
  <si>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</si>
  <si>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</si>
  <si>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</si>
  <si>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</si>
  <si>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</si>
  <si>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ZG724</t>
  </si>
  <si>
    <t>Spojka proplachovacĂ­ urologickĂˇ bal. Ăˇ 50 ks LCF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</si>
  <si>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</si>
  <si>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</si>
  <si>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</si>
  <si>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</si>
  <si>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</si>
  <si>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</si>
  <si>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</si>
  <si>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</si>
  <si>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</si>
  <si>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</si>
  <si>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</si>
  <si>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</si>
  <si>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</si>
  <si>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</si>
  <si>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</si>
  <si>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</si>
  <si>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</si>
  <si>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ZT367</t>
  </si>
  <si>
    <t>StĹ™Ă­kaÄŤka injekÄŤnĂ­ 3-dĂ­lnĂˇ 1 ml L tuberculin s jehlou KD-JECT III graduovĂˇnĂ­ Ăˇ 0,1 ml 25G x 1/2" 0,5 x 16 mm KDM831793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</si>
  <si>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</si>
  <si>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</si>
  <si>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</si>
  <si>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</si>
  <si>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</si>
  <si>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</si>
  <si>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</si>
  <si>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</si>
  <si>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</si>
  <si>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</si>
  <si>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</si>
  <si>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</si>
  <si>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</si>
  <si>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</si>
  <si>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</si>
  <si>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</si>
  <si>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</si>
  <si>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</si>
  <si>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</si>
  <si>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</si>
  <si>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</si>
  <si>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</si>
  <si>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</si>
  <si>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</si>
  <si>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</si>
  <si>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</si>
  <si>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</si>
  <si>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</si>
  <si>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</si>
  <si>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</si>
  <si>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</si>
  <si>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</si>
  <si>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</si>
  <si>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</si>
  <si>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</si>
  <si>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</si>
  <si>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</si>
  <si>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</si>
  <si>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</si>
  <si>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</si>
  <si>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</si>
  <si>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</si>
  <si>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</si>
  <si>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</si>
  <si>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</si>
  <si>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</si>
  <si>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</si>
  <si>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</si>
  <si>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</si>
  <si>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</si>
  <si>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</si>
  <si>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</si>
  <si>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</si>
  <si>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</si>
  <si>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</si>
  <si>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</si>
  <si>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</si>
  <si>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</si>
  <si>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</si>
  <si>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</si>
  <si>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</si>
  <si>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</si>
  <si>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</si>
  <si>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</si>
  <si>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</si>
  <si>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</si>
  <si>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</si>
  <si>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</si>
  <si>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</si>
  <si>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</si>
  <si>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</si>
  <si>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</si>
  <si>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</si>
  <si>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</si>
  <si>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</si>
  <si>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</si>
  <si>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ZQ651</t>
  </si>
  <si>
    <t>Katetr CVC Broviac opravnĂˇ sada pro externĂ­ segment (bĂ­lĂ˝ konektor) pro jednolumenovĂ˝ katetr 6,6 Fr 0601620CE</t>
  </si>
  <si>
    <t>ZA240</t>
  </si>
  <si>
    <t>Katetr CVC broviak 1 lumen 6,6 Fr x 90 cm 0600540CE</t>
  </si>
  <si>
    <t>50115101</t>
  </si>
  <si>
    <t>ZPr - ostatní COVID 19 (Z558)</t>
  </si>
  <si>
    <t>ZU278</t>
  </si>
  <si>
    <t>StĹ™Ă­kaÄŤka injekÄŤnĂ­ 2-dĂ­lnĂˇ 2 ml 77U-PZ02570</t>
  </si>
  <si>
    <t>ZU279</t>
  </si>
  <si>
    <t>StĹ™Ă­kaÄŤka injekÄŤnĂ­ 3-dĂ­lnĂˇ 1 ml L tuberculin bez jehly, centrickĂˇ ĹˇpiÄŤka, bezzbytkovĂˇ, bal. Ăˇ 100 ks 77U-PZ02573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</si>
  <si>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</si>
  <si>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</si>
  <si>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</si>
  <si>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</si>
  <si>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</si>
  <si>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</si>
  <si>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</si>
  <si>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</si>
  <si>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</si>
  <si>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Daniš Lukáš</t>
  </si>
  <si>
    <t>Hálek Matěj</t>
  </si>
  <si>
    <t>Konečný Michal</t>
  </si>
  <si>
    <t>Navrátil Vít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</si>
  <si>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</si>
  <si>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</si>
  <si>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</si>
  <si>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</si>
  <si>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</si>
  <si>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</si>
  <si>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</si>
  <si>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</si>
  <si>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</si>
  <si>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</si>
  <si>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</si>
  <si>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</si>
  <si>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</si>
  <si>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</si>
  <si>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</si>
  <si>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</si>
  <si>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</si>
  <si>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</si>
  <si>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</si>
  <si>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</si>
  <si>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</si>
  <si>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</si>
  <si>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</si>
  <si>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</si>
  <si>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</si>
  <si>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</si>
  <si>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</si>
  <si>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</si>
  <si>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</si>
  <si>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</si>
  <si>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</si>
  <si>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</si>
  <si>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</si>
  <si>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</si>
  <si>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</si>
  <si>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</si>
  <si>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</si>
  <si>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</si>
  <si>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</si>
  <si>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</si>
  <si>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</si>
  <si>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</si>
  <si>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</si>
  <si>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</si>
  <si>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</si>
  <si>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</si>
  <si>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</si>
  <si>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</si>
  <si>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</si>
  <si>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</si>
  <si>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</si>
  <si>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</si>
  <si>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</si>
  <si>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</si>
  <si>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</si>
  <si>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</si>
  <si>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</si>
  <si>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</si>
  <si>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</si>
  <si>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59 - IPCHO: Oddělení int. péče chirurg. oborů</t>
  </si>
  <si>
    <t>01</t>
  </si>
  <si>
    <t>02</t>
  </si>
  <si>
    <t>03</t>
  </si>
  <si>
    <t>04</t>
  </si>
  <si>
    <t>07</t>
  </si>
  <si>
    <t>08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</si>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</sst>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3" fillId="9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24" xfId="0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4.4674960565820667</c:v>
                </c:pt>
                <c:pt idx="1">
                  <c:v>5.4536034724173792</c:v>
                </c:pt>
                <c:pt idx="2">
                  <c:v>4.5887967415518434</c:v>
                </c:pt>
                <c:pt idx="3">
                  <c:v>4.6819027508593836</c:v>
                </c:pt>
                <c:pt idx="4">
                  <c:v>4.1633763212316746</c:v>
                </c:pt>
                <c:pt idx="5">
                  <c:v>3.6467638330275642</c:v>
                </c:pt>
                <c:pt idx="6">
                  <c:v>3.8566545462603896</c:v>
                </c:pt>
                <c:pt idx="7">
                  <c:v>3.7769072616799306</c:v>
                </c:pt>
                <c:pt idx="8">
                  <c:v>3.8590666879148334</c:v>
                </c:pt>
                <c:pt idx="9">
                  <c:v>3.9252807465161563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6" tableBorderDxfId="75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7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1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322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7" t="s">
        <v>323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326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537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540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554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591</v>
      </c>
      <c r="C23" s="47" t="s">
        <v>120</v>
      </c>
    </row>
    <row r="24" spans="1:3" ht="14.45" customHeight="1" x14ac:dyDescent="0.25">
      <c r="A24" s="255" t="str">
        <f>HYPERLINK("#'"&amp;C24&amp;"'!A1",C24)</f>
        <v>ZV Vykáz.-A Det.Lék.</v>
      </c>
      <c r="B24" s="90" t="s">
        <v>592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628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5D51CB5D-D9F7-4ED7-9FD5-3700CCAB041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1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1717.1024299999999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6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0.49703779366700718</v>
      </c>
      <c r="E9" s="165">
        <f t="shared" si="0"/>
        <v>0.8283963227783453</v>
      </c>
    </row>
    <row r="10" spans="1:5" ht="14.45" customHeight="1" x14ac:dyDescent="0.25">
      <c r="A10" s="246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0.71292435258066456</v>
      </c>
      <c r="E10" s="165">
        <f t="shared" si="0"/>
        <v>0.89115544072583064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1599.7465400000001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0</v>
      </c>
      <c r="D16" s="183">
        <f ca="1">IF(ISERROR(VLOOKUP("Výnosy celkem",INDIRECT("HI!$A:$G"),5,0)),0,VLOOKUP("Výnosy celkem",INDIRECT("HI!$A:$G"),5,0))</f>
        <v>6282.736100000001</v>
      </c>
      <c r="E16" s="184">
        <f t="shared" ref="E16:E21" ca="1" si="1">IF(C16=0,0,D16/C16)</f>
        <v>0</v>
      </c>
    </row>
    <row r="17" spans="1:5" ht="14.45" customHeight="1" x14ac:dyDescent="0.25">
      <c r="A17" s="300" t="str">
        <f>HYPERLINK("#HI!A1","Ambulance (body za výkony)")</f>
        <v>Ambulance (body za výkony)</v>
      </c>
      <c r="B17" s="163"/>
      <c r="C17" s="164">
        <f ca="1">IF(ISERROR(VLOOKUP("Ambulance *",INDIRECT("HI!$A:$G"),6,0)),0,VLOOKUP("Ambulance *",INDIRECT("HI!$A:$G"),6,0))</f>
        <v>0</v>
      </c>
      <c r="D17" s="164">
        <f ca="1">IF(ISERROR(VLOOKUP("Ambulance *",INDIRECT("HI!$A:$G"),5,0)),0,VLOOKUP("Ambulance *",INDIRECT("HI!$A:$G"),5,0))</f>
        <v>6282.736100000001</v>
      </c>
      <c r="E17" s="165">
        <f t="shared" ca="1" si="1"/>
        <v>0</v>
      </c>
    </row>
    <row r="18" spans="1:5" ht="14.45" customHeight="1" x14ac:dyDescent="0.25">
      <c r="A18" s="252" t="str">
        <f>HYPERLINK("#'ZV Vykáz.-A'!A1","Zdravotní výkony vykázané u ambulantních pacientů (min. 100 % 2016)")</f>
        <v>Zdravotní výkony vykázané u ambulantních pacientů (min. 100 % 2016)</v>
      </c>
      <c r="B18" s="253" t="s">
        <v>119</v>
      </c>
      <c r="C18" s="169">
        <v>1</v>
      </c>
      <c r="D18" s="169">
        <f>IF(ISERROR(VLOOKUP("Celkem:",'ZV Vykáz.-A'!$A:$AB,10,0)),"",VLOOKUP("Celkem:",'ZV Vykáz.-A'!$A:$AB,10,0))</f>
        <v>1.0803156629598472</v>
      </c>
      <c r="E18" s="165">
        <f t="shared" si="1"/>
        <v>1.0803156629598472</v>
      </c>
    </row>
    <row r="19" spans="1:5" ht="14.45" customHeight="1" x14ac:dyDescent="0.25">
      <c r="A19" s="251" t="str">
        <f>HYPERLINK("#'ZV Vykáz.-A'!A1","Specializovaná ambulantní péče")</f>
        <v>Specializovaná ambulantní péče</v>
      </c>
      <c r="B19" s="253" t="s">
        <v>119</v>
      </c>
      <c r="C19" s="169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65">
        <f t="shared" si="1"/>
        <v>0</v>
      </c>
    </row>
    <row r="20" spans="1:5" ht="14.45" customHeight="1" x14ac:dyDescent="0.25">
      <c r="A20" s="251" t="str">
        <f>HYPERLINK("#'ZV Vykáz.-A'!A1","Ambulantní péče ve vyjmenovaných odbornostech (§9)")</f>
        <v>Ambulantní péče ve vyjmenovaných odbornostech (§9)</v>
      </c>
      <c r="B20" s="253" t="s">
        <v>119</v>
      </c>
      <c r="C20" s="169">
        <v>1</v>
      </c>
      <c r="D20" s="245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5" t="str">
        <f>HYPERLINK("#'ZV Vykáz.-H'!A1","Zdravotní výkony vykázané u hospitalizovaných pacientů (max. 85 %)")</f>
        <v>Zdravotní výkony vykázané u hospitalizovaných pacientů (max. 85 %)</v>
      </c>
      <c r="B21" s="253" t="s">
        <v>121</v>
      </c>
      <c r="C21" s="169">
        <v>0.85</v>
      </c>
      <c r="D21" s="169">
        <f>IF(ISERROR(VLOOKUP("Celkem:",'ZV Vykáz.-H'!$A:$S,7,0)),"",VLOOKUP("Celkem:",'ZV Vykáz.-H'!$A:$S,7,0))</f>
        <v>0.71047926048826737</v>
      </c>
      <c r="E21" s="165">
        <f t="shared" si="1"/>
        <v>0.83585795351560865</v>
      </c>
    </row>
    <row r="22" spans="1:5" ht="14.45" customHeight="1" x14ac:dyDescent="0.2">
      <c r="A22" s="186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7" t="s">
        <v>147</v>
      </c>
      <c r="B23" s="174"/>
      <c r="C23" s="175"/>
      <c r="D23" s="175"/>
      <c r="E23" s="176"/>
    </row>
    <row r="24" spans="1:5" ht="14.45" customHeight="1" thickBot="1" x14ac:dyDescent="0.25">
      <c r="A24" s="188"/>
      <c r="B24" s="189"/>
      <c r="C24" s="190"/>
      <c r="D24" s="190"/>
      <c r="E24" s="191"/>
    </row>
    <row r="25" spans="1:5" ht="14.45" customHeight="1" thickBot="1" x14ac:dyDescent="0.25">
      <c r="A25" s="192" t="s">
        <v>148</v>
      </c>
      <c r="B25" s="193"/>
      <c r="C25" s="194"/>
      <c r="D25" s="194"/>
      <c r="E25" s="195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9C76204-A3E1-4E8C-A917-D11E8993BCA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1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2019</v>
      </c>
      <c r="C3" s="40">
        <v>2020</v>
      </c>
      <c r="D3" s="7"/>
      <c r="E3" s="311">
        <v>2021</v>
      </c>
      <c r="F3" s="312"/>
      <c r="G3" s="312"/>
      <c r="H3" s="313"/>
      <c r="I3" s="314">
        <v>2021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6" t="s">
        <v>211</v>
      </c>
      <c r="J4" s="257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1162.7547400000003</v>
      </c>
      <c r="C6" s="31">
        <v>1489.5773099999994</v>
      </c>
      <c r="D6" s="8"/>
      <c r="E6" s="118">
        <v>1599.7465400000001</v>
      </c>
      <c r="F6" s="30">
        <v>0</v>
      </c>
      <c r="G6" s="119">
        <f>E6-F6</f>
        <v>1599.7465400000001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169.41617999999994</v>
      </c>
      <c r="C8" s="33">
        <v>111.00532999999973</v>
      </c>
      <c r="D8" s="8"/>
      <c r="E8" s="120">
        <v>117.35588999999982</v>
      </c>
      <c r="F8" s="32">
        <v>0</v>
      </c>
      <c r="G8" s="121">
        <f>E8-F8</f>
        <v>117.35588999999982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1332.1709200000003</v>
      </c>
      <c r="C9" s="35">
        <v>1600.5826399999992</v>
      </c>
      <c r="D9" s="8"/>
      <c r="E9" s="3">
        <v>1717.1024299999999</v>
      </c>
      <c r="F9" s="34">
        <v>0</v>
      </c>
      <c r="G9" s="34">
        <f>E9-F9</f>
        <v>1717.1024299999999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3599.7683299999999</v>
      </c>
      <c r="C11" s="29">
        <f>IF(ISERROR(VLOOKUP("Celkem:",'ZV Vykáz.-A'!A:H,5,0)),0,VLOOKUP("Celkem:",'ZV Vykáz.-A'!A:H,5,0)/1000)</f>
        <v>5815.648439999999</v>
      </c>
      <c r="D11" s="8"/>
      <c r="E11" s="117">
        <f>IF(ISERROR(VLOOKUP("Celkem:",'ZV Vykáz.-A'!A:H,8,0)),0,VLOOKUP("Celkem:",'ZV Vykáz.-A'!A:H,8,0)/1000)</f>
        <v>6282.736100000001</v>
      </c>
      <c r="F11" s="28"/>
      <c r="G11" s="116">
        <f>E11-F11</f>
        <v>6282.736100000001</v>
      </c>
      <c r="H11" s="122" t="str">
        <f>IF(F11&lt;0.00000001,"",E11/F11)</f>
        <v/>
      </c>
      <c r="I11" s="116">
        <f>E11-B11</f>
        <v>2682.9677700000011</v>
      </c>
      <c r="J11" s="122">
        <f>IF(B11&lt;0.00000001,"",E11/B11)</f>
        <v>1.7453167882056457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3599.7683299999999</v>
      </c>
      <c r="C13" s="37">
        <f>SUM(C11:C12)</f>
        <v>5815.648439999999</v>
      </c>
      <c r="D13" s="8"/>
      <c r="E13" s="5">
        <f>SUM(E11:E12)</f>
        <v>6282.736100000001</v>
      </c>
      <c r="F13" s="36"/>
      <c r="G13" s="36">
        <f>E13-F13</f>
        <v>6282.736100000001</v>
      </c>
      <c r="H13" s="126" t="str">
        <f>IF(F13&lt;0.00000001,"",E13/F13)</f>
        <v/>
      </c>
      <c r="I13" s="36">
        <f>SUM(I11:I12)</f>
        <v>2682.9677700000011</v>
      </c>
      <c r="J13" s="126">
        <f>IF(B13&lt;0.00000001,"",E13/B13)</f>
        <v>1.7453167882056457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2.7021820368215206</v>
      </c>
      <c r="C15" s="39">
        <f>IF(C9=0,"",C13/C9)</f>
        <v>3.6334571515782539</v>
      </c>
      <c r="D15" s="8"/>
      <c r="E15" s="6">
        <f>IF(E9=0,"",E13/E9)</f>
        <v>3.658917482284386</v>
      </c>
      <c r="F15" s="38"/>
      <c r="G15" s="38">
        <f>IF(ISERROR(F15-E15),"",E15-F15)</f>
        <v>3.658917482284386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4" t="s">
        <v>165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164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210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D6614725-7D5E-436B-BA2D-D7D8397443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1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80</v>
      </c>
      <c r="C3" s="199" t="s">
        <v>81</v>
      </c>
      <c r="D3" s="199" t="s">
        <v>82</v>
      </c>
      <c r="E3" s="198" t="s">
        <v>83</v>
      </c>
      <c r="F3" s="199" t="s">
        <v>84</v>
      </c>
      <c r="G3" s="199" t="s">
        <v>85</v>
      </c>
      <c r="H3" s="199" t="s">
        <v>86</v>
      </c>
      <c r="I3" s="199" t="s">
        <v>87</v>
      </c>
      <c r="J3" s="199" t="s">
        <v>88</v>
      </c>
      <c r="K3" s="199" t="s">
        <v>89</v>
      </c>
      <c r="L3" s="199" t="s">
        <v>90</v>
      </c>
      <c r="M3" s="199" t="s">
        <v>91</v>
      </c>
    </row>
    <row r="4" spans="1:13" ht="14.45" customHeight="1" x14ac:dyDescent="0.2">
      <c r="A4" s="197" t="s">
        <v>79</v>
      </c>
      <c r="B4" s="200">
        <f>(B10+B8)/B6</f>
        <v>4.4674960565820667</v>
      </c>
      <c r="C4" s="200">
        <f t="shared" ref="C4:M4" si="0">(C10+C8)/C6</f>
        <v>5.4536034724173792</v>
      </c>
      <c r="D4" s="200">
        <f t="shared" si="0"/>
        <v>4.5887967415518434</v>
      </c>
      <c r="E4" s="200">
        <f t="shared" si="0"/>
        <v>4.6819027508593836</v>
      </c>
      <c r="F4" s="200">
        <f t="shared" si="0"/>
        <v>4.1633763212316746</v>
      </c>
      <c r="G4" s="200">
        <f t="shared" si="0"/>
        <v>3.6467638330275642</v>
      </c>
      <c r="H4" s="200">
        <f t="shared" si="0"/>
        <v>3.8566545462603896</v>
      </c>
      <c r="I4" s="200">
        <f t="shared" si="0"/>
        <v>3.7769072616799306</v>
      </c>
      <c r="J4" s="200">
        <f t="shared" si="0"/>
        <v>3.8590666879148334</v>
      </c>
      <c r="K4" s="200">
        <f t="shared" si="0"/>
        <v>3.9252807465161563</v>
      </c>
      <c r="L4" s="200">
        <f t="shared" si="0"/>
        <v>3.9252807465161563</v>
      </c>
      <c r="M4" s="200">
        <f t="shared" si="0"/>
        <v>3.9252807465161563</v>
      </c>
    </row>
    <row r="5" spans="1:13" ht="14.45" customHeight="1" x14ac:dyDescent="0.2">
      <c r="A5" s="201" t="s">
        <v>52</v>
      </c>
      <c r="B5" s="200">
        <f>IF(ISERROR(VLOOKUP($A5,'Man Tab'!$A:$Q,COLUMN()+2,0)),0,VLOOKUP($A5,'Man Tab'!$A:$Q,COLUMN()+2,0))</f>
        <v>135.66276999999999</v>
      </c>
      <c r="C5" s="200">
        <f>IF(ISERROR(VLOOKUP($A5,'Man Tab'!$A:$Q,COLUMN()+2,0)),0,VLOOKUP($A5,'Man Tab'!$A:$Q,COLUMN()+2,0))</f>
        <v>75.920090000000002</v>
      </c>
      <c r="D5" s="200">
        <f>IF(ISERROR(VLOOKUP($A5,'Man Tab'!$A:$Q,COLUMN()+2,0)),0,VLOOKUP($A5,'Man Tab'!$A:$Q,COLUMN()+2,0))</f>
        <v>176.82289</v>
      </c>
      <c r="E5" s="200">
        <f>IF(ISERROR(VLOOKUP($A5,'Man Tab'!$A:$Q,COLUMN()+2,0)),0,VLOOKUP($A5,'Man Tab'!$A:$Q,COLUMN()+2,0))</f>
        <v>138.36126999999999</v>
      </c>
      <c r="F5" s="200">
        <f>IF(ISERROR(VLOOKUP($A5,'Man Tab'!$A:$Q,COLUMN()+2,0)),0,VLOOKUP($A5,'Man Tab'!$A:$Q,COLUMN()+2,0))</f>
        <v>221.26132999999999</v>
      </c>
      <c r="G5" s="200">
        <f>IF(ISERROR(VLOOKUP($A5,'Man Tab'!$A:$Q,COLUMN()+2,0)),0,VLOOKUP($A5,'Man Tab'!$A:$Q,COLUMN()+2,0))</f>
        <v>289.76976999999999</v>
      </c>
      <c r="H5" s="200">
        <f>IF(ISERROR(VLOOKUP($A5,'Man Tab'!$A:$Q,COLUMN()+2,0)),0,VLOOKUP($A5,'Man Tab'!$A:$Q,COLUMN()+2,0))</f>
        <v>106.56946000000001</v>
      </c>
      <c r="I5" s="200">
        <f>IF(ISERROR(VLOOKUP($A5,'Man Tab'!$A:$Q,COLUMN()+2,0)),0,VLOOKUP($A5,'Man Tab'!$A:$Q,COLUMN()+2,0))</f>
        <v>191.99164999999999</v>
      </c>
      <c r="J5" s="200">
        <f>IF(ISERROR(VLOOKUP($A5,'Man Tab'!$A:$Q,COLUMN()+2,0)),0,VLOOKUP($A5,'Man Tab'!$A:$Q,COLUMN()+2,0))</f>
        <v>132.00277</v>
      </c>
      <c r="K5" s="200">
        <f>IF(ISERROR(VLOOKUP($A5,'Man Tab'!$A:$Q,COLUMN()+2,0)),0,VLOOKUP($A5,'Man Tab'!$A:$Q,COLUMN()+2,0))</f>
        <v>132.22064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75</v>
      </c>
      <c r="B6" s="202">
        <f>B5</f>
        <v>135.66276999999999</v>
      </c>
      <c r="C6" s="202">
        <f t="shared" ref="C6:M6" si="1">C5+B6</f>
        <v>211.58285999999998</v>
      </c>
      <c r="D6" s="202">
        <f t="shared" si="1"/>
        <v>388.40575000000001</v>
      </c>
      <c r="E6" s="202">
        <f t="shared" si="1"/>
        <v>526.76702</v>
      </c>
      <c r="F6" s="202">
        <f t="shared" si="1"/>
        <v>748.02835000000005</v>
      </c>
      <c r="G6" s="202">
        <f t="shared" si="1"/>
        <v>1037.7981199999999</v>
      </c>
      <c r="H6" s="202">
        <f t="shared" si="1"/>
        <v>1144.3675799999999</v>
      </c>
      <c r="I6" s="202">
        <f t="shared" si="1"/>
        <v>1336.3592299999998</v>
      </c>
      <c r="J6" s="202">
        <f t="shared" si="1"/>
        <v>1468.3619999999999</v>
      </c>
      <c r="K6" s="202">
        <f t="shared" si="1"/>
        <v>1600.5826399999999</v>
      </c>
      <c r="L6" s="202">
        <f t="shared" si="1"/>
        <v>1600.5826399999999</v>
      </c>
      <c r="M6" s="202">
        <f t="shared" si="1"/>
        <v>1600.5826399999999</v>
      </c>
    </row>
    <row r="7" spans="1:13" ht="14.45" customHeight="1" x14ac:dyDescent="0.2">
      <c r="A7" s="201" t="s">
        <v>100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76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101</v>
      </c>
      <c r="B9" s="201">
        <v>606072.8899999999</v>
      </c>
      <c r="C9" s="201">
        <v>547816.13</v>
      </c>
      <c r="D9" s="201">
        <v>628426.02</v>
      </c>
      <c r="E9" s="201">
        <v>683956.91999999993</v>
      </c>
      <c r="F9" s="201">
        <v>648051.55999999994</v>
      </c>
      <c r="G9" s="201">
        <v>670281.13</v>
      </c>
      <c r="H9" s="201">
        <v>628825.78</v>
      </c>
      <c r="I9" s="201">
        <v>633874.44999999995</v>
      </c>
      <c r="J9" s="201">
        <v>619202</v>
      </c>
      <c r="K9" s="201">
        <v>616229.34000000008</v>
      </c>
      <c r="L9" s="201">
        <v>0</v>
      </c>
      <c r="M9" s="201">
        <v>0</v>
      </c>
    </row>
    <row r="10" spans="1:13" ht="14.45" customHeight="1" x14ac:dyDescent="0.2">
      <c r="A10" s="201" t="s">
        <v>77</v>
      </c>
      <c r="B10" s="202">
        <f>B9/1000</f>
        <v>606.07288999999992</v>
      </c>
      <c r="C10" s="202">
        <f t="shared" ref="C10:M10" si="3">C9/1000+B10</f>
        <v>1153.8890200000001</v>
      </c>
      <c r="D10" s="202">
        <f t="shared" si="3"/>
        <v>1782.31504</v>
      </c>
      <c r="E10" s="202">
        <f t="shared" si="3"/>
        <v>2466.27196</v>
      </c>
      <c r="F10" s="202">
        <f t="shared" si="3"/>
        <v>3114.3235199999999</v>
      </c>
      <c r="G10" s="202">
        <f t="shared" si="3"/>
        <v>3784.6046499999998</v>
      </c>
      <c r="H10" s="202">
        <f t="shared" si="3"/>
        <v>4413.4304299999994</v>
      </c>
      <c r="I10" s="202">
        <f t="shared" si="3"/>
        <v>5047.3048799999997</v>
      </c>
      <c r="J10" s="202">
        <f t="shared" si="3"/>
        <v>5666.5068799999999</v>
      </c>
      <c r="K10" s="202">
        <f t="shared" si="3"/>
        <v>6282.7362199999998</v>
      </c>
      <c r="L10" s="202">
        <f t="shared" si="3"/>
        <v>6282.7362199999998</v>
      </c>
      <c r="M10" s="202">
        <f t="shared" si="3"/>
        <v>6282.7362199999998</v>
      </c>
    </row>
    <row r="11" spans="1:13" ht="14.45" customHeight="1" x14ac:dyDescent="0.2">
      <c r="A11" s="197"/>
      <c r="B11" s="197" t="s">
        <v>92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1F0A22A4-9121-4CB2-844C-1BE7BF2F320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3" customFormat="1" ht="14.45" customHeight="1" thickBot="1" x14ac:dyDescent="0.25">
      <c r="A2" s="231" t="s">
        <v>235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2021</v>
      </c>
      <c r="C4" s="138" t="s">
        <v>29</v>
      </c>
      <c r="D4" s="250" t="s">
        <v>214</v>
      </c>
      <c r="E4" s="250" t="s">
        <v>215</v>
      </c>
      <c r="F4" s="250" t="s">
        <v>216</v>
      </c>
      <c r="G4" s="250" t="s">
        <v>217</v>
      </c>
      <c r="H4" s="250" t="s">
        <v>218</v>
      </c>
      <c r="I4" s="250" t="s">
        <v>219</v>
      </c>
      <c r="J4" s="250" t="s">
        <v>220</v>
      </c>
      <c r="K4" s="250" t="s">
        <v>221</v>
      </c>
      <c r="L4" s="250" t="s">
        <v>222</v>
      </c>
      <c r="M4" s="250" t="s">
        <v>223</v>
      </c>
      <c r="N4" s="250" t="s">
        <v>224</v>
      </c>
      <c r="O4" s="250" t="s">
        <v>225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2296</v>
      </c>
      <c r="C9" s="52">
        <v>191.333333333333</v>
      </c>
      <c r="D9" s="52">
        <v>121.50319999999999</v>
      </c>
      <c r="E9" s="52">
        <v>63.378720000000001</v>
      </c>
      <c r="F9" s="52">
        <v>173.27764000000002</v>
      </c>
      <c r="G9" s="52">
        <v>130.57991000000001</v>
      </c>
      <c r="H9" s="52">
        <v>210.79504999999997</v>
      </c>
      <c r="I9" s="52">
        <v>282.35025000000002</v>
      </c>
      <c r="J9" s="52">
        <v>92.786749999999998</v>
      </c>
      <c r="K9" s="52">
        <v>183.81975</v>
      </c>
      <c r="L9" s="52">
        <v>127.36233</v>
      </c>
      <c r="M9" s="52">
        <v>103.72371000000001</v>
      </c>
      <c r="N9" s="52">
        <v>0</v>
      </c>
      <c r="O9" s="52">
        <v>0</v>
      </c>
      <c r="P9" s="53">
        <v>1489.5773099999999</v>
      </c>
      <c r="Q9" s="95">
        <v>0.77852472648083748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236</v>
      </c>
    </row>
    <row r="13" spans="1:17" ht="14.45" customHeight="1" x14ac:dyDescent="0.2">
      <c r="A13" s="15" t="s">
        <v>40</v>
      </c>
      <c r="B13" s="51">
        <v>29.999999800000001</v>
      </c>
      <c r="C13" s="52">
        <v>2.4999999833333302</v>
      </c>
      <c r="D13" s="52">
        <v>1.78752</v>
      </c>
      <c r="E13" s="52">
        <v>0</v>
      </c>
      <c r="F13" s="52">
        <v>4.1131200000000003</v>
      </c>
      <c r="G13" s="52">
        <v>2.0313599999999998</v>
      </c>
      <c r="H13" s="52">
        <v>3.6652800000000001</v>
      </c>
      <c r="I13" s="52">
        <v>3.1795200000000001</v>
      </c>
      <c r="J13" s="52">
        <v>4.3718399999999997</v>
      </c>
      <c r="K13" s="52">
        <v>3.9744000000000002</v>
      </c>
      <c r="L13" s="52">
        <v>0.39744000000000002</v>
      </c>
      <c r="M13" s="52">
        <v>3.32775</v>
      </c>
      <c r="N13" s="52">
        <v>0</v>
      </c>
      <c r="O13" s="52">
        <v>0</v>
      </c>
      <c r="P13" s="53">
        <v>26.848230000000001</v>
      </c>
      <c r="Q13" s="95">
        <v>1.0739292071595294</v>
      </c>
    </row>
    <row r="14" spans="1:17" ht="14.45" customHeight="1" x14ac:dyDescent="0.2">
      <c r="A14" s="15" t="s">
        <v>41</v>
      </c>
      <c r="B14" s="51">
        <v>32.369605</v>
      </c>
      <c r="C14" s="52">
        <v>2.6974670833333301</v>
      </c>
      <c r="D14" s="52">
        <v>3.79</v>
      </c>
      <c r="E14" s="52">
        <v>3.516</v>
      </c>
      <c r="F14" s="52">
        <v>3.391</v>
      </c>
      <c r="G14" s="52">
        <v>2.7210000000000001</v>
      </c>
      <c r="H14" s="52">
        <v>2.2109999999999999</v>
      </c>
      <c r="I14" s="52">
        <v>1.7070000000000001</v>
      </c>
      <c r="J14" s="52">
        <v>1.673</v>
      </c>
      <c r="K14" s="52">
        <v>1.6639999999999999</v>
      </c>
      <c r="L14" s="52">
        <v>1.71</v>
      </c>
      <c r="M14" s="52">
        <v>2.5590000000000002</v>
      </c>
      <c r="N14" s="52">
        <v>0</v>
      </c>
      <c r="O14" s="52">
        <v>0</v>
      </c>
      <c r="P14" s="53">
        <v>24.942000000000004</v>
      </c>
      <c r="Q14" s="95">
        <v>0.92464520342463374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11.800145799999999</v>
      </c>
      <c r="C17" s="52">
        <v>0.98334548333333305</v>
      </c>
      <c r="D17" s="52">
        <v>6.0490500000000003</v>
      </c>
      <c r="E17" s="52">
        <v>6.4918699999999996</v>
      </c>
      <c r="F17" s="52">
        <v>-6.4918699999999996</v>
      </c>
      <c r="G17" s="52">
        <v>0.496</v>
      </c>
      <c r="H17" s="52">
        <v>0</v>
      </c>
      <c r="I17" s="52">
        <v>0</v>
      </c>
      <c r="J17" s="52">
        <v>5.2043699999999999</v>
      </c>
      <c r="K17" s="52">
        <v>0</v>
      </c>
      <c r="L17" s="52">
        <v>0</v>
      </c>
      <c r="M17" s="52">
        <v>0.39400000000000002</v>
      </c>
      <c r="N17" s="52">
        <v>0</v>
      </c>
      <c r="O17" s="52">
        <v>0</v>
      </c>
      <c r="P17" s="53">
        <v>12.143420000000001</v>
      </c>
      <c r="Q17" s="95">
        <v>1.2349088093470848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10.816956599999999</v>
      </c>
      <c r="C19" s="52">
        <v>0.90141305000000005</v>
      </c>
      <c r="D19" s="52">
        <v>0</v>
      </c>
      <c r="E19" s="52">
        <v>0</v>
      </c>
      <c r="F19" s="52">
        <v>0</v>
      </c>
      <c r="G19" s="52">
        <v>0</v>
      </c>
      <c r="H19" s="52">
        <v>2.0569999999999999</v>
      </c>
      <c r="I19" s="52">
        <v>0</v>
      </c>
      <c r="J19" s="52">
        <v>0</v>
      </c>
      <c r="K19" s="52">
        <v>0</v>
      </c>
      <c r="L19" s="52">
        <v>0</v>
      </c>
      <c r="M19" s="52">
        <v>19.68318</v>
      </c>
      <c r="N19" s="52">
        <v>0</v>
      </c>
      <c r="O19" s="52">
        <v>0</v>
      </c>
      <c r="P19" s="53">
        <v>21.740179999999999</v>
      </c>
      <c r="Q19" s="95">
        <v>2.4117889129739134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30.396000000000001</v>
      </c>
      <c r="C21" s="52">
        <v>2.5329999999999999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2.5329999999999999</v>
      </c>
      <c r="M21" s="52">
        <v>2.5329999999999999</v>
      </c>
      <c r="N21" s="52">
        <v>0</v>
      </c>
      <c r="O21" s="52">
        <v>0</v>
      </c>
      <c r="P21" s="53">
        <v>25.330000000000002</v>
      </c>
      <c r="Q21" s="95">
        <v>1.0000000000000002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4.9999999998817657E-4</v>
      </c>
      <c r="F24" s="52">
        <v>0</v>
      </c>
      <c r="G24" s="52">
        <v>0</v>
      </c>
      <c r="H24" s="52">
        <v>0</v>
      </c>
      <c r="I24" s="52">
        <v>0</v>
      </c>
      <c r="J24" s="52">
        <v>5.0000000000238742E-4</v>
      </c>
      <c r="K24" s="52">
        <v>5.0000000001659828E-4</v>
      </c>
      <c r="L24" s="52">
        <v>0</v>
      </c>
      <c r="M24" s="52">
        <v>0</v>
      </c>
      <c r="N24" s="52">
        <v>0</v>
      </c>
      <c r="O24" s="52">
        <v>0</v>
      </c>
      <c r="P24" s="53">
        <v>1.5000000000071623E-3</v>
      </c>
      <c r="Q24" s="95" t="s">
        <v>236</v>
      </c>
    </row>
    <row r="25" spans="1:17" ht="14.45" customHeight="1" x14ac:dyDescent="0.2">
      <c r="A25" s="17" t="s">
        <v>52</v>
      </c>
      <c r="B25" s="54">
        <v>2411.3827071999999</v>
      </c>
      <c r="C25" s="55">
        <v>200.948558933333</v>
      </c>
      <c r="D25" s="55">
        <v>135.66276999999999</v>
      </c>
      <c r="E25" s="55">
        <v>75.920090000000002</v>
      </c>
      <c r="F25" s="55">
        <v>176.82289</v>
      </c>
      <c r="G25" s="55">
        <v>138.36126999999999</v>
      </c>
      <c r="H25" s="55">
        <v>221.26132999999999</v>
      </c>
      <c r="I25" s="55">
        <v>289.76976999999999</v>
      </c>
      <c r="J25" s="55">
        <v>106.56946000000001</v>
      </c>
      <c r="K25" s="55">
        <v>191.99164999999999</v>
      </c>
      <c r="L25" s="55">
        <v>132.00277</v>
      </c>
      <c r="M25" s="55">
        <v>132.22064</v>
      </c>
      <c r="N25" s="55">
        <v>0</v>
      </c>
      <c r="O25" s="55">
        <v>0</v>
      </c>
      <c r="P25" s="56">
        <v>1600.5826399999999</v>
      </c>
      <c r="Q25" s="96">
        <v>0.79651361945372867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0.40077999999999997</v>
      </c>
      <c r="G26" s="52">
        <v>0</v>
      </c>
      <c r="H26" s="52">
        <v>8.5169999999999996E-2</v>
      </c>
      <c r="I26" s="52">
        <v>0.73678999999999994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1.2227399999999999</v>
      </c>
      <c r="Q26" s="95" t="s">
        <v>236</v>
      </c>
    </row>
    <row r="27" spans="1:17" ht="14.45" customHeight="1" x14ac:dyDescent="0.2">
      <c r="A27" s="18" t="s">
        <v>54</v>
      </c>
      <c r="B27" s="54">
        <v>2411.3827071999999</v>
      </c>
      <c r="C27" s="55">
        <v>200.948558933333</v>
      </c>
      <c r="D27" s="55">
        <v>135.66276999999999</v>
      </c>
      <c r="E27" s="55">
        <v>75.920090000000002</v>
      </c>
      <c r="F27" s="55">
        <v>177.22367</v>
      </c>
      <c r="G27" s="55">
        <v>138.36126999999999</v>
      </c>
      <c r="H27" s="55">
        <v>221.34649999999999</v>
      </c>
      <c r="I27" s="55">
        <v>290.50655999999998</v>
      </c>
      <c r="J27" s="55">
        <v>106.56946000000001</v>
      </c>
      <c r="K27" s="55">
        <v>191.99164999999999</v>
      </c>
      <c r="L27" s="55">
        <v>132.00277</v>
      </c>
      <c r="M27" s="55">
        <v>132.22064</v>
      </c>
      <c r="N27" s="55">
        <v>0</v>
      </c>
      <c r="O27" s="55">
        <v>0</v>
      </c>
      <c r="P27" s="56">
        <v>1601.8053799999998</v>
      </c>
      <c r="Q27" s="96">
        <v>0.79712210353865587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236</v>
      </c>
    </row>
    <row r="33" spans="1:17" ht="14.45" customHeight="1" x14ac:dyDescent="0.2">
      <c r="A33" s="113" t="s">
        <v>152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236</v>
      </c>
    </row>
    <row r="34" spans="1:17" ht="14.45" customHeight="1" x14ac:dyDescent="0.2">
      <c r="A34" s="135" t="s">
        <v>213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236</v>
      </c>
    </row>
    <row r="35" spans="1:17" ht="14.45" customHeight="1" x14ac:dyDescent="0.2">
      <c r="A35" s="136" t="s">
        <v>59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236</v>
      </c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737305ED-AF92-4CEC-8162-EEFB916F606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21" s="60" customFormat="1" ht="14.45" customHeight="1" thickBot="1" x14ac:dyDescent="0.25">
      <c r="A2" s="231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21" ht="14.45" customHeight="1" x14ac:dyDescent="0.2">
      <c r="A4" s="77"/>
      <c r="B4" s="323"/>
      <c r="C4" s="324"/>
      <c r="D4" s="324"/>
      <c r="E4" s="324"/>
      <c r="F4" s="327" t="s">
        <v>229</v>
      </c>
      <c r="G4" s="329" t="s">
        <v>63</v>
      </c>
      <c r="H4" s="140" t="s">
        <v>136</v>
      </c>
      <c r="I4" s="327" t="s">
        <v>64</v>
      </c>
      <c r="J4" s="329" t="s">
        <v>227</v>
      </c>
      <c r="K4" s="330" t="s">
        <v>226</v>
      </c>
    </row>
    <row r="5" spans="1:21" ht="39" thickBot="1" x14ac:dyDescent="0.25">
      <c r="A5" s="78"/>
      <c r="B5" s="24" t="s">
        <v>233</v>
      </c>
      <c r="C5" s="25" t="s">
        <v>232</v>
      </c>
      <c r="D5" s="26" t="s">
        <v>231</v>
      </c>
      <c r="E5" s="26" t="s">
        <v>230</v>
      </c>
      <c r="F5" s="328"/>
      <c r="G5" s="328"/>
      <c r="H5" s="25" t="s">
        <v>228</v>
      </c>
      <c r="I5" s="328"/>
      <c r="J5" s="328"/>
      <c r="K5" s="331"/>
    </row>
    <row r="6" spans="1:21" ht="14.45" customHeight="1" x14ac:dyDescent="0.2">
      <c r="A6" s="432" t="s">
        <v>65</v>
      </c>
      <c r="B6" s="428">
        <v>-2408.3158416000001</v>
      </c>
      <c r="C6" s="429">
        <v>8018.7219999999998</v>
      </c>
      <c r="D6" s="429">
        <v>10427.0378416</v>
      </c>
      <c r="E6" s="430">
        <v>-3.3295973316658682</v>
      </c>
      <c r="F6" s="428">
        <v>4080.4024433999998</v>
      </c>
      <c r="G6" s="429">
        <v>3400.3353694999996</v>
      </c>
      <c r="H6" s="429">
        <v>737.62756000000002</v>
      </c>
      <c r="I6" s="429">
        <v>7778.2856000000002</v>
      </c>
      <c r="J6" s="429">
        <v>4377.9502305000005</v>
      </c>
      <c r="K6" s="431">
        <v>1.9062545197180931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32" t="s">
        <v>238</v>
      </c>
      <c r="B7" s="428">
        <v>2408.3158416000001</v>
      </c>
      <c r="C7" s="429">
        <v>2339.7519900000002</v>
      </c>
      <c r="D7" s="429">
        <v>-68.563851599999907</v>
      </c>
      <c r="E7" s="430">
        <v>0.97153037387552599</v>
      </c>
      <c r="F7" s="428">
        <v>2411.3827071999999</v>
      </c>
      <c r="G7" s="429">
        <v>2009.4855893333331</v>
      </c>
      <c r="H7" s="429">
        <v>132.22064</v>
      </c>
      <c r="I7" s="429">
        <v>1600.5826400000001</v>
      </c>
      <c r="J7" s="429">
        <v>-408.90294933333303</v>
      </c>
      <c r="K7" s="431">
        <v>0.66376134954477295</v>
      </c>
      <c r="L7" s="150"/>
      <c r="M7" s="427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32" t="s">
        <v>239</v>
      </c>
      <c r="B8" s="428">
        <v>2358.2550179</v>
      </c>
      <c r="C8" s="429">
        <v>2190.9183899999998</v>
      </c>
      <c r="D8" s="429">
        <v>-167.33662790000017</v>
      </c>
      <c r="E8" s="430">
        <v>0.92904218304218367</v>
      </c>
      <c r="F8" s="428">
        <v>2358.3696048000002</v>
      </c>
      <c r="G8" s="429">
        <v>1965.308004</v>
      </c>
      <c r="H8" s="429">
        <v>109.61046</v>
      </c>
      <c r="I8" s="429">
        <v>1541.36904</v>
      </c>
      <c r="J8" s="429">
        <v>-423.93896399999994</v>
      </c>
      <c r="K8" s="431">
        <v>0.65357399317852671</v>
      </c>
      <c r="L8" s="150"/>
      <c r="M8" s="427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32" t="s">
        <v>240</v>
      </c>
      <c r="B9" s="428">
        <v>2325.9999997999998</v>
      </c>
      <c r="C9" s="429">
        <v>2159.0093900000002</v>
      </c>
      <c r="D9" s="429">
        <v>-166.99060979999967</v>
      </c>
      <c r="E9" s="430">
        <v>0.92820696052693108</v>
      </c>
      <c r="F9" s="428">
        <v>2325.9999997999998</v>
      </c>
      <c r="G9" s="429">
        <v>1938.3333331666665</v>
      </c>
      <c r="H9" s="429">
        <v>107.05146000000001</v>
      </c>
      <c r="I9" s="429">
        <v>1516.42704</v>
      </c>
      <c r="J9" s="429">
        <v>-421.9062931666665</v>
      </c>
      <c r="K9" s="431">
        <v>0.65194627692622076</v>
      </c>
      <c r="L9" s="150"/>
      <c r="M9" s="427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32" t="s">
        <v>241</v>
      </c>
      <c r="B10" s="428">
        <v>0</v>
      </c>
      <c r="C10" s="429">
        <v>7.3999999999999999E-4</v>
      </c>
      <c r="D10" s="429">
        <v>7.3999999999999999E-4</v>
      </c>
      <c r="E10" s="430">
        <v>0</v>
      </c>
      <c r="F10" s="428">
        <v>0</v>
      </c>
      <c r="G10" s="429">
        <v>0</v>
      </c>
      <c r="H10" s="429">
        <v>0</v>
      </c>
      <c r="I10" s="429">
        <v>1.5E-3</v>
      </c>
      <c r="J10" s="429">
        <v>1.5E-3</v>
      </c>
      <c r="K10" s="431">
        <v>0</v>
      </c>
      <c r="L10" s="150"/>
      <c r="M10" s="427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32" t="s">
        <v>242</v>
      </c>
      <c r="B11" s="428">
        <v>0</v>
      </c>
      <c r="C11" s="429">
        <v>7.3999999999999999E-4</v>
      </c>
      <c r="D11" s="429">
        <v>7.3999999999999999E-4</v>
      </c>
      <c r="E11" s="430">
        <v>0</v>
      </c>
      <c r="F11" s="428">
        <v>0</v>
      </c>
      <c r="G11" s="429">
        <v>0</v>
      </c>
      <c r="H11" s="429">
        <v>0</v>
      </c>
      <c r="I11" s="429">
        <v>1.5E-3</v>
      </c>
      <c r="J11" s="429">
        <v>1.5E-3</v>
      </c>
      <c r="K11" s="431">
        <v>0</v>
      </c>
      <c r="L11" s="150"/>
      <c r="M11" s="427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32" t="s">
        <v>243</v>
      </c>
      <c r="B12" s="428">
        <v>2295.9999997999998</v>
      </c>
      <c r="C12" s="429">
        <v>2126.17533</v>
      </c>
      <c r="D12" s="429">
        <v>-169.82466979999981</v>
      </c>
      <c r="E12" s="430">
        <v>0.92603455147439329</v>
      </c>
      <c r="F12" s="428">
        <v>2296</v>
      </c>
      <c r="G12" s="429">
        <v>1913.3333333333335</v>
      </c>
      <c r="H12" s="429">
        <v>103.72371</v>
      </c>
      <c r="I12" s="429">
        <v>1489.5773099999999</v>
      </c>
      <c r="J12" s="429">
        <v>-423.75602333333359</v>
      </c>
      <c r="K12" s="431">
        <v>0.64877060540069686</v>
      </c>
      <c r="L12" s="150"/>
      <c r="M12" s="427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32" t="s">
        <v>244</v>
      </c>
      <c r="B13" s="428">
        <v>190</v>
      </c>
      <c r="C13" s="429">
        <v>312.20942000000002</v>
      </c>
      <c r="D13" s="429">
        <v>122.20942000000002</v>
      </c>
      <c r="E13" s="430">
        <v>1.6432074736842106</v>
      </c>
      <c r="F13" s="428">
        <v>350.00000019999999</v>
      </c>
      <c r="G13" s="429">
        <v>291.66666683333335</v>
      </c>
      <c r="H13" s="429">
        <v>10.72546</v>
      </c>
      <c r="I13" s="429">
        <v>196.12011000000001</v>
      </c>
      <c r="J13" s="429">
        <v>-95.546556833333341</v>
      </c>
      <c r="K13" s="431">
        <v>0.56034317110837539</v>
      </c>
      <c r="L13" s="150"/>
      <c r="M13" s="427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32" t="s">
        <v>245</v>
      </c>
      <c r="B14" s="428">
        <v>1440</v>
      </c>
      <c r="C14" s="429">
        <v>874.58257000000003</v>
      </c>
      <c r="D14" s="429">
        <v>-565.41742999999997</v>
      </c>
      <c r="E14" s="430">
        <v>0.60734900694444449</v>
      </c>
      <c r="F14" s="428">
        <v>1003.9999999</v>
      </c>
      <c r="G14" s="429">
        <v>836.66666658333338</v>
      </c>
      <c r="H14" s="429">
        <v>13.88566</v>
      </c>
      <c r="I14" s="429">
        <v>425.77717999999999</v>
      </c>
      <c r="J14" s="429">
        <v>-410.88948658333339</v>
      </c>
      <c r="K14" s="431">
        <v>0.4240808566159443</v>
      </c>
      <c r="L14" s="150"/>
      <c r="M14" s="427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32" t="s">
        <v>246</v>
      </c>
      <c r="B15" s="428">
        <v>535.99999979999996</v>
      </c>
      <c r="C15" s="429">
        <v>732.09888999999998</v>
      </c>
      <c r="D15" s="429">
        <v>196.09889020000003</v>
      </c>
      <c r="E15" s="430">
        <v>1.3658561385693493</v>
      </c>
      <c r="F15" s="428">
        <v>729.99999990000003</v>
      </c>
      <c r="G15" s="429">
        <v>608.33333325000001</v>
      </c>
      <c r="H15" s="429">
        <v>63.965890000000002</v>
      </c>
      <c r="I15" s="429">
        <v>633.07955000000004</v>
      </c>
      <c r="J15" s="429">
        <v>24.746216750000031</v>
      </c>
      <c r="K15" s="431">
        <v>0.86723226039277157</v>
      </c>
      <c r="L15" s="150"/>
      <c r="M15" s="427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5</v>
      </c>
    </row>
    <row r="16" spans="1:21" ht="14.45" customHeight="1" x14ac:dyDescent="0.2">
      <c r="A16" s="432" t="s">
        <v>247</v>
      </c>
      <c r="B16" s="428">
        <v>34.999999799999998</v>
      </c>
      <c r="C16" s="429">
        <v>61.427799999999998</v>
      </c>
      <c r="D16" s="429">
        <v>26.4278002</v>
      </c>
      <c r="E16" s="430">
        <v>1.7550800100290287</v>
      </c>
      <c r="F16" s="428">
        <v>62</v>
      </c>
      <c r="G16" s="429">
        <v>51.666666666666671</v>
      </c>
      <c r="H16" s="429">
        <v>2.7489599999999998</v>
      </c>
      <c r="I16" s="429">
        <v>52.673690000000001</v>
      </c>
      <c r="J16" s="429">
        <v>1.0070233333333292</v>
      </c>
      <c r="K16" s="431">
        <v>0.84957564516129036</v>
      </c>
      <c r="L16" s="150"/>
      <c r="M16" s="427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5</v>
      </c>
    </row>
    <row r="17" spans="1:21" ht="14.45" customHeight="1" x14ac:dyDescent="0.2">
      <c r="A17" s="432" t="s">
        <v>248</v>
      </c>
      <c r="B17" s="428">
        <v>90.000000200000002</v>
      </c>
      <c r="C17" s="429">
        <v>136.59814</v>
      </c>
      <c r="D17" s="429">
        <v>46.598139799999998</v>
      </c>
      <c r="E17" s="430">
        <v>1.5177571077383174</v>
      </c>
      <c r="F17" s="428">
        <v>140</v>
      </c>
      <c r="G17" s="429">
        <v>116.66666666666666</v>
      </c>
      <c r="H17" s="429">
        <v>12.07774</v>
      </c>
      <c r="I17" s="429">
        <v>160.29074</v>
      </c>
      <c r="J17" s="429">
        <v>43.624073333333342</v>
      </c>
      <c r="K17" s="431">
        <v>1.1449338571428571</v>
      </c>
      <c r="L17" s="150"/>
      <c r="M17" s="427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32" t="s">
        <v>249</v>
      </c>
      <c r="B18" s="428">
        <v>5</v>
      </c>
      <c r="C18" s="429">
        <v>9.2585099999999994</v>
      </c>
      <c r="D18" s="429">
        <v>4.2585099999999994</v>
      </c>
      <c r="E18" s="430">
        <v>1.851702</v>
      </c>
      <c r="F18" s="428">
        <v>10</v>
      </c>
      <c r="G18" s="429">
        <v>8.3333333333333339</v>
      </c>
      <c r="H18" s="429">
        <v>0</v>
      </c>
      <c r="I18" s="429">
        <v>21.267040000000001</v>
      </c>
      <c r="J18" s="429">
        <v>12.933706666666668</v>
      </c>
      <c r="K18" s="431">
        <v>2.1267040000000001</v>
      </c>
      <c r="L18" s="150"/>
      <c r="M18" s="427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5</v>
      </c>
    </row>
    <row r="19" spans="1:21" ht="14.45" customHeight="1" x14ac:dyDescent="0.2">
      <c r="A19" s="432" t="s">
        <v>250</v>
      </c>
      <c r="B19" s="428">
        <v>0</v>
      </c>
      <c r="C19" s="429">
        <v>0</v>
      </c>
      <c r="D19" s="429">
        <v>0</v>
      </c>
      <c r="E19" s="430">
        <v>0</v>
      </c>
      <c r="F19" s="428">
        <v>0</v>
      </c>
      <c r="G19" s="429">
        <v>0</v>
      </c>
      <c r="H19" s="429">
        <v>0.32</v>
      </c>
      <c r="I19" s="429">
        <v>0.36899999999999999</v>
      </c>
      <c r="J19" s="429">
        <v>0.36899999999999999</v>
      </c>
      <c r="K19" s="431">
        <v>0</v>
      </c>
      <c r="L19" s="150"/>
      <c r="M19" s="427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32" t="s">
        <v>251</v>
      </c>
      <c r="B20" s="428">
        <v>0</v>
      </c>
      <c r="C20" s="429">
        <v>3.5681600000000002</v>
      </c>
      <c r="D20" s="429">
        <v>3.5681600000000002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4</v>
      </c>
    </row>
    <row r="21" spans="1:21" ht="14.45" customHeight="1" x14ac:dyDescent="0.2">
      <c r="A21" s="432" t="s">
        <v>252</v>
      </c>
      <c r="B21" s="428">
        <v>0</v>
      </c>
      <c r="C21" s="429">
        <v>3.5681600000000002</v>
      </c>
      <c r="D21" s="429">
        <v>3.5681600000000002</v>
      </c>
      <c r="E21" s="430">
        <v>0</v>
      </c>
      <c r="F21" s="428">
        <v>0</v>
      </c>
      <c r="G21" s="429">
        <v>0</v>
      </c>
      <c r="H21" s="429">
        <v>0</v>
      </c>
      <c r="I21" s="429">
        <v>0</v>
      </c>
      <c r="J21" s="429">
        <v>0</v>
      </c>
      <c r="K21" s="431">
        <v>0</v>
      </c>
      <c r="L21" s="150"/>
      <c r="M21" s="427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32" t="s">
        <v>253</v>
      </c>
      <c r="B22" s="428">
        <v>0</v>
      </c>
      <c r="C22" s="429">
        <v>0.42964000000000002</v>
      </c>
      <c r="D22" s="429">
        <v>0.42964000000000002</v>
      </c>
      <c r="E22" s="430">
        <v>0</v>
      </c>
      <c r="F22" s="428">
        <v>0</v>
      </c>
      <c r="G22" s="429">
        <v>0</v>
      </c>
      <c r="H22" s="429">
        <v>0</v>
      </c>
      <c r="I22" s="429">
        <v>0</v>
      </c>
      <c r="J22" s="429">
        <v>0</v>
      </c>
      <c r="K22" s="431">
        <v>0</v>
      </c>
      <c r="L22" s="150"/>
      <c r="M22" s="427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4</v>
      </c>
    </row>
    <row r="23" spans="1:21" ht="14.45" customHeight="1" x14ac:dyDescent="0.2">
      <c r="A23" s="432" t="s">
        <v>254</v>
      </c>
      <c r="B23" s="428">
        <v>0</v>
      </c>
      <c r="C23" s="429">
        <v>0.42964000000000002</v>
      </c>
      <c r="D23" s="429">
        <v>0.42964000000000002</v>
      </c>
      <c r="E23" s="430">
        <v>0</v>
      </c>
      <c r="F23" s="428">
        <v>0</v>
      </c>
      <c r="G23" s="429">
        <v>0</v>
      </c>
      <c r="H23" s="429">
        <v>0</v>
      </c>
      <c r="I23" s="429">
        <v>0</v>
      </c>
      <c r="J23" s="429">
        <v>0</v>
      </c>
      <c r="K23" s="431">
        <v>0</v>
      </c>
      <c r="L23" s="150"/>
      <c r="M23" s="427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5</v>
      </c>
    </row>
    <row r="24" spans="1:21" ht="14.45" customHeight="1" x14ac:dyDescent="0.2">
      <c r="A24" s="432" t="s">
        <v>255</v>
      </c>
      <c r="B24" s="428">
        <v>30</v>
      </c>
      <c r="C24" s="429">
        <v>28.835519999999999</v>
      </c>
      <c r="D24" s="429">
        <v>-1.1644800000000011</v>
      </c>
      <c r="E24" s="430">
        <v>0.96118399999999993</v>
      </c>
      <c r="F24" s="428">
        <v>29.999999800000001</v>
      </c>
      <c r="G24" s="429">
        <v>24.999999833333334</v>
      </c>
      <c r="H24" s="429">
        <v>3.32775</v>
      </c>
      <c r="I24" s="429">
        <v>26.848230000000001</v>
      </c>
      <c r="J24" s="429">
        <v>1.8482301666666672</v>
      </c>
      <c r="K24" s="431">
        <v>0.89494100596627335</v>
      </c>
      <c r="L24" s="150"/>
      <c r="M24" s="427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4</v>
      </c>
    </row>
    <row r="25" spans="1:21" ht="14.45" customHeight="1" x14ac:dyDescent="0.2">
      <c r="A25" s="432" t="s">
        <v>256</v>
      </c>
      <c r="B25" s="428">
        <v>2</v>
      </c>
      <c r="C25" s="429">
        <v>1.61324</v>
      </c>
      <c r="D25" s="429">
        <v>-0.38675999999999999</v>
      </c>
      <c r="E25" s="430">
        <v>0.80662</v>
      </c>
      <c r="F25" s="428">
        <v>1.9999998999999999</v>
      </c>
      <c r="G25" s="429">
        <v>1.6666665833333334</v>
      </c>
      <c r="H25" s="429">
        <v>0.14823</v>
      </c>
      <c r="I25" s="429">
        <v>0.14823</v>
      </c>
      <c r="J25" s="429">
        <v>-1.5184365833333333</v>
      </c>
      <c r="K25" s="431">
        <v>7.4115003705750193E-2</v>
      </c>
      <c r="L25" s="150"/>
      <c r="M25" s="427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5</v>
      </c>
    </row>
    <row r="26" spans="1:21" ht="14.45" customHeight="1" x14ac:dyDescent="0.2">
      <c r="A26" s="432" t="s">
        <v>257</v>
      </c>
      <c r="B26" s="428">
        <v>28</v>
      </c>
      <c r="C26" s="429">
        <v>27.222280000000001</v>
      </c>
      <c r="D26" s="429">
        <v>-0.77771999999999863</v>
      </c>
      <c r="E26" s="430">
        <v>0.97222428571428576</v>
      </c>
      <c r="F26" s="428">
        <v>27.999999899999999</v>
      </c>
      <c r="G26" s="429">
        <v>23.333333249999999</v>
      </c>
      <c r="H26" s="429">
        <v>3.1795200000000001</v>
      </c>
      <c r="I26" s="429">
        <v>26.7</v>
      </c>
      <c r="J26" s="429">
        <v>3.3666667500000003</v>
      </c>
      <c r="K26" s="431">
        <v>0.95357143197704086</v>
      </c>
      <c r="L26" s="150"/>
      <c r="M26" s="427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32" t="s">
        <v>258</v>
      </c>
      <c r="B27" s="428">
        <v>32.255018100000001</v>
      </c>
      <c r="C27" s="429">
        <v>31.908999999999999</v>
      </c>
      <c r="D27" s="429">
        <v>-0.34601810000000199</v>
      </c>
      <c r="E27" s="430">
        <v>0.98927242579969277</v>
      </c>
      <c r="F27" s="428">
        <v>32.369605</v>
      </c>
      <c r="G27" s="429">
        <v>26.974670833333331</v>
      </c>
      <c r="H27" s="429">
        <v>2.5590000000000002</v>
      </c>
      <c r="I27" s="429">
        <v>24.942</v>
      </c>
      <c r="J27" s="429">
        <v>-2.0326708333333308</v>
      </c>
      <c r="K27" s="431">
        <v>0.77053766952052705</v>
      </c>
      <c r="L27" s="150"/>
      <c r="M27" s="427" t="str">
        <f t="shared" si="0"/>
        <v>X</v>
      </c>
      <c r="N27" s="150"/>
      <c r="O27" s="150"/>
      <c r="P27" s="150"/>
      <c r="Q27" s="150"/>
      <c r="R27" s="150"/>
      <c r="S27" s="150"/>
      <c r="T27" s="150"/>
      <c r="U27" s="150">
        <v>3</v>
      </c>
    </row>
    <row r="28" spans="1:21" ht="14.45" customHeight="1" x14ac:dyDescent="0.2">
      <c r="A28" s="432" t="s">
        <v>259</v>
      </c>
      <c r="B28" s="428">
        <v>32.255018100000001</v>
      </c>
      <c r="C28" s="429">
        <v>31.908999999999999</v>
      </c>
      <c r="D28" s="429">
        <v>-0.34601810000000199</v>
      </c>
      <c r="E28" s="430">
        <v>0.98927242579969277</v>
      </c>
      <c r="F28" s="428">
        <v>32.369605</v>
      </c>
      <c r="G28" s="429">
        <v>26.974670833333331</v>
      </c>
      <c r="H28" s="429">
        <v>2.5590000000000002</v>
      </c>
      <c r="I28" s="429">
        <v>24.942</v>
      </c>
      <c r="J28" s="429">
        <v>-2.0326708333333308</v>
      </c>
      <c r="K28" s="431">
        <v>0.77053766952052705</v>
      </c>
      <c r="L28" s="150"/>
      <c r="M28" s="427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4</v>
      </c>
    </row>
    <row r="29" spans="1:21" ht="14.45" customHeight="1" x14ac:dyDescent="0.2">
      <c r="A29" s="432" t="s">
        <v>260</v>
      </c>
      <c r="B29" s="428">
        <v>13.935348299999999</v>
      </c>
      <c r="C29" s="429">
        <v>13.488</v>
      </c>
      <c r="D29" s="429">
        <v>-0.44734829999999981</v>
      </c>
      <c r="E29" s="430">
        <v>0.96789830506066366</v>
      </c>
      <c r="F29" s="428">
        <v>13.4460411</v>
      </c>
      <c r="G29" s="429">
        <v>11.205034250000001</v>
      </c>
      <c r="H29" s="429">
        <v>1.0469999999999999</v>
      </c>
      <c r="I29" s="429">
        <v>10.505000000000001</v>
      </c>
      <c r="J29" s="429">
        <v>-0.70003424999999986</v>
      </c>
      <c r="K29" s="431">
        <v>0.78127085302453825</v>
      </c>
      <c r="L29" s="150"/>
      <c r="M29" s="427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32" t="s">
        <v>261</v>
      </c>
      <c r="B30" s="428">
        <v>18.3196698</v>
      </c>
      <c r="C30" s="429">
        <v>18.420999999999999</v>
      </c>
      <c r="D30" s="429">
        <v>0.10133019999999959</v>
      </c>
      <c r="E30" s="430">
        <v>1.0055312241490291</v>
      </c>
      <c r="F30" s="428">
        <v>18.923563900000001</v>
      </c>
      <c r="G30" s="429">
        <v>15.769636583333336</v>
      </c>
      <c r="H30" s="429">
        <v>1.512</v>
      </c>
      <c r="I30" s="429">
        <v>14.436999999999999</v>
      </c>
      <c r="J30" s="429">
        <v>-1.3326365833333362</v>
      </c>
      <c r="K30" s="431">
        <v>0.76291126112877705</v>
      </c>
      <c r="L30" s="150"/>
      <c r="M30" s="427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5</v>
      </c>
    </row>
    <row r="31" spans="1:21" ht="14.45" customHeight="1" x14ac:dyDescent="0.2">
      <c r="A31" s="432" t="s">
        <v>262</v>
      </c>
      <c r="B31" s="428">
        <v>22.187137100000001</v>
      </c>
      <c r="C31" s="429">
        <v>45.837589999999999</v>
      </c>
      <c r="D31" s="429">
        <v>23.650452899999998</v>
      </c>
      <c r="E31" s="430">
        <v>2.0659533401449974</v>
      </c>
      <c r="F31" s="428">
        <v>22.6171024</v>
      </c>
      <c r="G31" s="429">
        <v>18.847585333333335</v>
      </c>
      <c r="H31" s="429">
        <v>20.077179999999998</v>
      </c>
      <c r="I31" s="429">
        <v>33.883600000000001</v>
      </c>
      <c r="J31" s="429">
        <v>15.036014666666667</v>
      </c>
      <c r="K31" s="431">
        <v>1.4981406283061265</v>
      </c>
      <c r="L31" s="150"/>
      <c r="M31" s="427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2</v>
      </c>
    </row>
    <row r="32" spans="1:21" ht="14.45" customHeight="1" x14ac:dyDescent="0.2">
      <c r="A32" s="432" t="s">
        <v>263</v>
      </c>
      <c r="B32" s="428">
        <v>11.779507600000001</v>
      </c>
      <c r="C32" s="429">
        <v>18.798780000000001</v>
      </c>
      <c r="D32" s="429">
        <v>7.0192724000000002</v>
      </c>
      <c r="E32" s="430">
        <v>1.5958884393435937</v>
      </c>
      <c r="F32" s="428">
        <v>11.800145799999999</v>
      </c>
      <c r="G32" s="429">
        <v>9.8334548333333327</v>
      </c>
      <c r="H32" s="429">
        <v>0.39400000000000002</v>
      </c>
      <c r="I32" s="429">
        <v>12.143420000000001</v>
      </c>
      <c r="J32" s="429">
        <v>2.3099651666666681</v>
      </c>
      <c r="K32" s="431">
        <v>1.0290906744559039</v>
      </c>
      <c r="L32" s="150"/>
      <c r="M32" s="427" t="str">
        <f t="shared" si="0"/>
        <v>X</v>
      </c>
      <c r="N32" s="150"/>
      <c r="O32" s="150"/>
      <c r="P32" s="150"/>
      <c r="Q32" s="150"/>
      <c r="R32" s="150"/>
      <c r="S32" s="150"/>
      <c r="T32" s="150"/>
      <c r="U32" s="150">
        <v>3</v>
      </c>
    </row>
    <row r="33" spans="1:21" ht="14.45" customHeight="1" x14ac:dyDescent="0.2">
      <c r="A33" s="432" t="s">
        <v>264</v>
      </c>
      <c r="B33" s="428">
        <v>11.779507600000001</v>
      </c>
      <c r="C33" s="429">
        <v>18.798780000000001</v>
      </c>
      <c r="D33" s="429">
        <v>7.0192724000000002</v>
      </c>
      <c r="E33" s="430">
        <v>1.5958884393435937</v>
      </c>
      <c r="F33" s="428">
        <v>11.800145799999999</v>
      </c>
      <c r="G33" s="429">
        <v>9.8334548333333327</v>
      </c>
      <c r="H33" s="429">
        <v>0.39400000000000002</v>
      </c>
      <c r="I33" s="429">
        <v>12.143420000000001</v>
      </c>
      <c r="J33" s="429">
        <v>2.3099651666666681</v>
      </c>
      <c r="K33" s="431">
        <v>1.0290906744559039</v>
      </c>
      <c r="L33" s="150"/>
      <c r="M33" s="427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4</v>
      </c>
    </row>
    <row r="34" spans="1:21" ht="14.45" customHeight="1" x14ac:dyDescent="0.2">
      <c r="A34" s="432" t="s">
        <v>265</v>
      </c>
      <c r="B34" s="428">
        <v>11.758334</v>
      </c>
      <c r="C34" s="429">
        <v>16.43741</v>
      </c>
      <c r="D34" s="429">
        <v>4.6790760000000002</v>
      </c>
      <c r="E34" s="430">
        <v>1.3979369866513403</v>
      </c>
      <c r="F34" s="428">
        <v>11.758334</v>
      </c>
      <c r="G34" s="429">
        <v>9.7986116666666661</v>
      </c>
      <c r="H34" s="429">
        <v>0</v>
      </c>
      <c r="I34" s="429">
        <v>11.25342</v>
      </c>
      <c r="J34" s="429">
        <v>1.4548083333333341</v>
      </c>
      <c r="K34" s="431">
        <v>0.95705905275356196</v>
      </c>
      <c r="L34" s="150"/>
      <c r="M34" s="427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32" t="s">
        <v>266</v>
      </c>
      <c r="B35" s="428">
        <v>2.1173600000000001E-2</v>
      </c>
      <c r="C35" s="429">
        <v>2.36137</v>
      </c>
      <c r="D35" s="429">
        <v>2.3401964</v>
      </c>
      <c r="E35" s="430">
        <v>111.52425662145312</v>
      </c>
      <c r="F35" s="428">
        <v>4.1811800000000003E-2</v>
      </c>
      <c r="G35" s="429">
        <v>3.4843166666666668E-2</v>
      </c>
      <c r="H35" s="429">
        <v>0.39400000000000002</v>
      </c>
      <c r="I35" s="429">
        <v>0.89</v>
      </c>
      <c r="J35" s="429">
        <v>0.85515683333333337</v>
      </c>
      <c r="K35" s="431">
        <v>21.28585710254043</v>
      </c>
      <c r="L35" s="150"/>
      <c r="M35" s="427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32" t="s">
        <v>267</v>
      </c>
      <c r="B36" s="428">
        <v>10.407629500000001</v>
      </c>
      <c r="C36" s="429">
        <v>27.038810000000002</v>
      </c>
      <c r="D36" s="429">
        <v>16.631180499999999</v>
      </c>
      <c r="E36" s="430">
        <v>2.5979796840385219</v>
      </c>
      <c r="F36" s="428">
        <v>10.816956599999999</v>
      </c>
      <c r="G36" s="429">
        <v>9.0141305000000003</v>
      </c>
      <c r="H36" s="429">
        <v>19.68318</v>
      </c>
      <c r="I36" s="429">
        <v>21.740179999999999</v>
      </c>
      <c r="J36" s="429">
        <v>12.726049499999998</v>
      </c>
      <c r="K36" s="431">
        <v>2.0098240941449279</v>
      </c>
      <c r="L36" s="150"/>
      <c r="M36" s="427" t="str">
        <f t="shared" si="0"/>
        <v>X</v>
      </c>
      <c r="N36" s="150"/>
      <c r="O36" s="150"/>
      <c r="P36" s="150"/>
      <c r="Q36" s="150"/>
      <c r="R36" s="150"/>
      <c r="S36" s="150"/>
      <c r="T36" s="150"/>
      <c r="U36" s="150">
        <v>3</v>
      </c>
    </row>
    <row r="37" spans="1:21" ht="14.45" customHeight="1" x14ac:dyDescent="0.2">
      <c r="A37" s="432" t="s">
        <v>268</v>
      </c>
      <c r="B37" s="428">
        <v>10.407629500000001</v>
      </c>
      <c r="C37" s="429">
        <v>27.038810000000002</v>
      </c>
      <c r="D37" s="429">
        <v>16.631180499999999</v>
      </c>
      <c r="E37" s="430">
        <v>2.5979796840385219</v>
      </c>
      <c r="F37" s="428">
        <v>10.816956599999999</v>
      </c>
      <c r="G37" s="429">
        <v>9.0141305000000003</v>
      </c>
      <c r="H37" s="429">
        <v>19.68318</v>
      </c>
      <c r="I37" s="429">
        <v>21.740179999999999</v>
      </c>
      <c r="J37" s="429">
        <v>12.726049499999998</v>
      </c>
      <c r="K37" s="431">
        <v>2.0098240941449279</v>
      </c>
      <c r="L37" s="150"/>
      <c r="M37" s="427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4</v>
      </c>
    </row>
    <row r="38" spans="1:21" ht="14.45" customHeight="1" x14ac:dyDescent="0.2">
      <c r="A38" s="432" t="s">
        <v>269</v>
      </c>
      <c r="B38" s="428">
        <v>10.407629500000001</v>
      </c>
      <c r="C38" s="429">
        <v>27.038810000000002</v>
      </c>
      <c r="D38" s="429">
        <v>16.631180499999999</v>
      </c>
      <c r="E38" s="430">
        <v>2.5979796840385219</v>
      </c>
      <c r="F38" s="428">
        <v>10.816956599999999</v>
      </c>
      <c r="G38" s="429">
        <v>9.0141305000000003</v>
      </c>
      <c r="H38" s="429">
        <v>19.68318</v>
      </c>
      <c r="I38" s="429">
        <v>21.740179999999999</v>
      </c>
      <c r="J38" s="429">
        <v>12.726049499999998</v>
      </c>
      <c r="K38" s="431">
        <v>2.0098240941449279</v>
      </c>
      <c r="L38" s="150"/>
      <c r="M38" s="427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32" t="s">
        <v>270</v>
      </c>
      <c r="B39" s="428">
        <v>27.873686599999999</v>
      </c>
      <c r="C39" s="429">
        <v>102.99601</v>
      </c>
      <c r="D39" s="429">
        <v>75.122323399999999</v>
      </c>
      <c r="E39" s="430">
        <v>3.6950982293099326</v>
      </c>
      <c r="F39" s="428">
        <v>30.396000000000001</v>
      </c>
      <c r="G39" s="429">
        <v>25.33</v>
      </c>
      <c r="H39" s="429">
        <v>2.5329999999999999</v>
      </c>
      <c r="I39" s="429">
        <v>25.33</v>
      </c>
      <c r="J39" s="429">
        <v>0</v>
      </c>
      <c r="K39" s="431">
        <v>0.83333333333333326</v>
      </c>
      <c r="L39" s="150"/>
      <c r="M39" s="427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2</v>
      </c>
    </row>
    <row r="40" spans="1:21" ht="14.45" customHeight="1" x14ac:dyDescent="0.2">
      <c r="A40" s="432" t="s">
        <v>271</v>
      </c>
      <c r="B40" s="428">
        <v>27.873686599999999</v>
      </c>
      <c r="C40" s="429">
        <v>30.396000000000001</v>
      </c>
      <c r="D40" s="429">
        <v>2.5223134000000016</v>
      </c>
      <c r="E40" s="430">
        <v>1.0904908430734814</v>
      </c>
      <c r="F40" s="428">
        <v>30.396000000000001</v>
      </c>
      <c r="G40" s="429">
        <v>25.33</v>
      </c>
      <c r="H40" s="429">
        <v>2.5329999999999999</v>
      </c>
      <c r="I40" s="429">
        <v>25.33</v>
      </c>
      <c r="J40" s="429">
        <v>0</v>
      </c>
      <c r="K40" s="431">
        <v>0.83333333333333326</v>
      </c>
      <c r="L40" s="150"/>
      <c r="M40" s="427" t="str">
        <f t="shared" si="0"/>
        <v>X</v>
      </c>
      <c r="N40" s="150"/>
      <c r="O40" s="150"/>
      <c r="P40" s="150"/>
      <c r="Q40" s="150"/>
      <c r="R40" s="150"/>
      <c r="S40" s="150"/>
      <c r="T40" s="150"/>
      <c r="U40" s="150">
        <v>3</v>
      </c>
    </row>
    <row r="41" spans="1:21" ht="14.45" customHeight="1" x14ac:dyDescent="0.2">
      <c r="A41" s="432" t="s">
        <v>272</v>
      </c>
      <c r="B41" s="428">
        <v>27.873686599999999</v>
      </c>
      <c r="C41" s="429">
        <v>30.396000000000001</v>
      </c>
      <c r="D41" s="429">
        <v>2.5223134000000016</v>
      </c>
      <c r="E41" s="430">
        <v>1.0904908430734814</v>
      </c>
      <c r="F41" s="428">
        <v>30.396000000000001</v>
      </c>
      <c r="G41" s="429">
        <v>25.33</v>
      </c>
      <c r="H41" s="429">
        <v>2.5329999999999999</v>
      </c>
      <c r="I41" s="429">
        <v>25.33</v>
      </c>
      <c r="J41" s="429">
        <v>0</v>
      </c>
      <c r="K41" s="431">
        <v>0.83333333333333326</v>
      </c>
      <c r="L41" s="150"/>
      <c r="M41" s="427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4</v>
      </c>
    </row>
    <row r="42" spans="1:21" ht="14.45" customHeight="1" x14ac:dyDescent="0.2">
      <c r="A42" s="432" t="s">
        <v>273</v>
      </c>
      <c r="B42" s="428">
        <v>27.873686599999999</v>
      </c>
      <c r="C42" s="429">
        <v>30.396000000000001</v>
      </c>
      <c r="D42" s="429">
        <v>2.5223134000000016</v>
      </c>
      <c r="E42" s="430">
        <v>1.0904908430734814</v>
      </c>
      <c r="F42" s="428">
        <v>30.396000000000001</v>
      </c>
      <c r="G42" s="429">
        <v>25.33</v>
      </c>
      <c r="H42" s="429">
        <v>2.5329999999999999</v>
      </c>
      <c r="I42" s="429">
        <v>25.33</v>
      </c>
      <c r="J42" s="429">
        <v>0</v>
      </c>
      <c r="K42" s="431">
        <v>0.83333333333333326</v>
      </c>
      <c r="L42" s="150"/>
      <c r="M42" s="427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32" t="s">
        <v>274</v>
      </c>
      <c r="B43" s="428">
        <v>0</v>
      </c>
      <c r="C43" s="429">
        <v>72.600009999999997</v>
      </c>
      <c r="D43" s="429">
        <v>72.600009999999997</v>
      </c>
      <c r="E43" s="430">
        <v>0</v>
      </c>
      <c r="F43" s="428">
        <v>0</v>
      </c>
      <c r="G43" s="429">
        <v>0</v>
      </c>
      <c r="H43" s="429">
        <v>0</v>
      </c>
      <c r="I43" s="429">
        <v>0</v>
      </c>
      <c r="J43" s="429">
        <v>0</v>
      </c>
      <c r="K43" s="431">
        <v>0</v>
      </c>
      <c r="L43" s="150"/>
      <c r="M43" s="427" t="str">
        <f t="shared" si="0"/>
        <v>X</v>
      </c>
      <c r="N43" s="150"/>
      <c r="O43" s="150"/>
      <c r="P43" s="150"/>
      <c r="Q43" s="150"/>
      <c r="R43" s="150"/>
      <c r="S43" s="150"/>
      <c r="T43" s="150"/>
      <c r="U43" s="150">
        <v>3</v>
      </c>
    </row>
    <row r="44" spans="1:21" ht="14.45" customHeight="1" x14ac:dyDescent="0.2">
      <c r="A44" s="432" t="s">
        <v>275</v>
      </c>
      <c r="B44" s="428">
        <v>0</v>
      </c>
      <c r="C44" s="429">
        <v>72.600009999999997</v>
      </c>
      <c r="D44" s="429">
        <v>72.600009999999997</v>
      </c>
      <c r="E44" s="430">
        <v>0</v>
      </c>
      <c r="F44" s="428">
        <v>0</v>
      </c>
      <c r="G44" s="429">
        <v>0</v>
      </c>
      <c r="H44" s="429">
        <v>0</v>
      </c>
      <c r="I44" s="429">
        <v>0</v>
      </c>
      <c r="J44" s="429">
        <v>0</v>
      </c>
      <c r="K44" s="431">
        <v>0</v>
      </c>
      <c r="L44" s="150"/>
      <c r="M44" s="427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4</v>
      </c>
    </row>
    <row r="45" spans="1:21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0</v>
      </c>
      <c r="I45" s="429">
        <v>0</v>
      </c>
      <c r="J45" s="429">
        <v>0</v>
      </c>
      <c r="K45" s="431">
        <v>0</v>
      </c>
      <c r="L45" s="150"/>
      <c r="M45" s="427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5</v>
      </c>
    </row>
    <row r="46" spans="1:21" ht="14.45" customHeight="1" x14ac:dyDescent="0.2">
      <c r="A46" s="432" t="s">
        <v>277</v>
      </c>
      <c r="B46" s="428">
        <v>0</v>
      </c>
      <c r="C46" s="429">
        <v>10358.379070000001</v>
      </c>
      <c r="D46" s="429">
        <v>10358.379070000001</v>
      </c>
      <c r="E46" s="430">
        <v>0</v>
      </c>
      <c r="F46" s="428">
        <v>6491.7851505999997</v>
      </c>
      <c r="G46" s="429">
        <v>5409.820958833333</v>
      </c>
      <c r="H46" s="429">
        <v>869.84820000000002</v>
      </c>
      <c r="I46" s="429">
        <v>9379.8629299999993</v>
      </c>
      <c r="J46" s="429">
        <v>3970.0419711666664</v>
      </c>
      <c r="K46" s="431">
        <v>1.4448819103529744</v>
      </c>
      <c r="L46" s="150"/>
      <c r="M46" s="427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1</v>
      </c>
    </row>
    <row r="47" spans="1:21" ht="14.45" customHeight="1" x14ac:dyDescent="0.2">
      <c r="A47" s="432" t="s">
        <v>278</v>
      </c>
      <c r="B47" s="428">
        <v>0</v>
      </c>
      <c r="C47" s="429">
        <v>10358.379070000001</v>
      </c>
      <c r="D47" s="429">
        <v>10358.379070000001</v>
      </c>
      <c r="E47" s="430">
        <v>0</v>
      </c>
      <c r="F47" s="428">
        <v>6491.7851505999997</v>
      </c>
      <c r="G47" s="429">
        <v>5409.820958833333</v>
      </c>
      <c r="H47" s="429">
        <v>869.84820000000002</v>
      </c>
      <c r="I47" s="429">
        <v>9379.8629299999993</v>
      </c>
      <c r="J47" s="429">
        <v>3970.0419711666664</v>
      </c>
      <c r="K47" s="431">
        <v>1.4448819103529744</v>
      </c>
      <c r="L47" s="150"/>
      <c r="M47" s="427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2</v>
      </c>
    </row>
    <row r="48" spans="1:21" ht="14.45" customHeight="1" x14ac:dyDescent="0.2">
      <c r="A48" s="432" t="s">
        <v>279</v>
      </c>
      <c r="B48" s="428">
        <v>0</v>
      </c>
      <c r="C48" s="429">
        <v>10358.379070000001</v>
      </c>
      <c r="D48" s="429">
        <v>10358.379070000001</v>
      </c>
      <c r="E48" s="430">
        <v>0</v>
      </c>
      <c r="F48" s="428">
        <v>6491.7851505999997</v>
      </c>
      <c r="G48" s="429">
        <v>5409.820958833333</v>
      </c>
      <c r="H48" s="429">
        <v>869.84820000000002</v>
      </c>
      <c r="I48" s="429">
        <v>9379.8629299999993</v>
      </c>
      <c r="J48" s="429">
        <v>3970.0419711666664</v>
      </c>
      <c r="K48" s="431">
        <v>1.4448819103529744</v>
      </c>
      <c r="L48" s="150"/>
      <c r="M48" s="427" t="str">
        <f t="shared" si="0"/>
        <v>X</v>
      </c>
      <c r="N48" s="150"/>
      <c r="O48" s="150"/>
      <c r="P48" s="150"/>
      <c r="Q48" s="150"/>
      <c r="R48" s="150"/>
      <c r="S48" s="150"/>
      <c r="T48" s="150"/>
      <c r="U48" s="150">
        <v>3</v>
      </c>
    </row>
    <row r="49" spans="1:21" ht="14.45" customHeight="1" x14ac:dyDescent="0.2">
      <c r="A49" s="432" t="s">
        <v>280</v>
      </c>
      <c r="B49" s="428">
        <v>0</v>
      </c>
      <c r="C49" s="429">
        <v>0.66302000000000005</v>
      </c>
      <c r="D49" s="429">
        <v>0.66302000000000005</v>
      </c>
      <c r="E49" s="430">
        <v>0</v>
      </c>
      <c r="F49" s="428">
        <v>16.079370600000001</v>
      </c>
      <c r="G49" s="429">
        <v>13.399475499999999</v>
      </c>
      <c r="H49" s="429">
        <v>0</v>
      </c>
      <c r="I49" s="429">
        <v>1.282E-2</v>
      </c>
      <c r="J49" s="429">
        <v>-13.3866555</v>
      </c>
      <c r="K49" s="431">
        <v>7.9729488914199163E-4</v>
      </c>
      <c r="L49" s="150"/>
      <c r="M49" s="427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4</v>
      </c>
    </row>
    <row r="50" spans="1:21" ht="14.45" customHeight="1" x14ac:dyDescent="0.2">
      <c r="A50" s="432" t="s">
        <v>281</v>
      </c>
      <c r="B50" s="428">
        <v>0</v>
      </c>
      <c r="C50" s="429">
        <v>0.66302000000000005</v>
      </c>
      <c r="D50" s="429">
        <v>0.66302000000000005</v>
      </c>
      <c r="E50" s="430">
        <v>0</v>
      </c>
      <c r="F50" s="428">
        <v>16.079370600000001</v>
      </c>
      <c r="G50" s="429">
        <v>13.399475499999999</v>
      </c>
      <c r="H50" s="429">
        <v>0</v>
      </c>
      <c r="I50" s="429">
        <v>1.282E-2</v>
      </c>
      <c r="J50" s="429">
        <v>-13.3866555</v>
      </c>
      <c r="K50" s="431">
        <v>7.9729488914199163E-4</v>
      </c>
      <c r="L50" s="150"/>
      <c r="M50" s="427" t="str">
        <f t="shared" si="0"/>
        <v/>
      </c>
      <c r="N50" s="150"/>
      <c r="O50" s="150"/>
      <c r="P50" s="150"/>
      <c r="Q50" s="150"/>
      <c r="R50" s="150"/>
      <c r="S50" s="150"/>
      <c r="T50" s="150"/>
      <c r="U50" s="150">
        <v>5</v>
      </c>
    </row>
    <row r="51" spans="1:21" ht="14.45" customHeight="1" x14ac:dyDescent="0.2">
      <c r="A51" s="432" t="s">
        <v>282</v>
      </c>
      <c r="B51" s="428">
        <v>0</v>
      </c>
      <c r="C51" s="429">
        <v>10083.489530000001</v>
      </c>
      <c r="D51" s="429">
        <v>10083.489530000001</v>
      </c>
      <c r="E51" s="430">
        <v>0</v>
      </c>
      <c r="F51" s="428">
        <v>6475.7057800000002</v>
      </c>
      <c r="G51" s="429">
        <v>5396.4214833333335</v>
      </c>
      <c r="H51" s="429">
        <v>869.84820000000002</v>
      </c>
      <c r="I51" s="429">
        <v>9192.8992899999994</v>
      </c>
      <c r="J51" s="429">
        <v>3796.4778066666659</v>
      </c>
      <c r="K51" s="431">
        <v>1.4195980488168503</v>
      </c>
      <c r="L51" s="150"/>
      <c r="M51" s="427" t="str">
        <f t="shared" si="0"/>
        <v/>
      </c>
      <c r="N51" s="150"/>
      <c r="O51" s="150"/>
      <c r="P51" s="150"/>
      <c r="Q51" s="150"/>
      <c r="R51" s="150"/>
      <c r="S51" s="150"/>
      <c r="T51" s="150"/>
      <c r="U51" s="150">
        <v>4</v>
      </c>
    </row>
    <row r="52" spans="1:21" ht="14.45" customHeight="1" x14ac:dyDescent="0.2">
      <c r="A52" s="432" t="s">
        <v>283</v>
      </c>
      <c r="B52" s="428">
        <v>0</v>
      </c>
      <c r="C52" s="429">
        <v>10083.489530000001</v>
      </c>
      <c r="D52" s="429">
        <v>10083.489530000001</v>
      </c>
      <c r="E52" s="430">
        <v>0</v>
      </c>
      <c r="F52" s="428">
        <v>6475.7057800000002</v>
      </c>
      <c r="G52" s="429">
        <v>5396.4214833333335</v>
      </c>
      <c r="H52" s="429">
        <v>869.84820000000002</v>
      </c>
      <c r="I52" s="429">
        <v>9192.8992899999994</v>
      </c>
      <c r="J52" s="429">
        <v>3796.4778066666659</v>
      </c>
      <c r="K52" s="431">
        <v>1.4195980488168503</v>
      </c>
      <c r="L52" s="150"/>
      <c r="M52" s="427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5</v>
      </c>
    </row>
    <row r="53" spans="1:21" ht="14.45" customHeight="1" x14ac:dyDescent="0.2">
      <c r="A53" s="432" t="s">
        <v>284</v>
      </c>
      <c r="B53" s="428">
        <v>0</v>
      </c>
      <c r="C53" s="429">
        <v>274.22651999999999</v>
      </c>
      <c r="D53" s="429">
        <v>274.22651999999999</v>
      </c>
      <c r="E53" s="430">
        <v>0</v>
      </c>
      <c r="F53" s="428">
        <v>0</v>
      </c>
      <c r="G53" s="429">
        <v>0</v>
      </c>
      <c r="H53" s="429">
        <v>0</v>
      </c>
      <c r="I53" s="429">
        <v>186.95081999999999</v>
      </c>
      <c r="J53" s="429">
        <v>186.95081999999999</v>
      </c>
      <c r="K53" s="431">
        <v>0</v>
      </c>
      <c r="L53" s="150"/>
      <c r="M53" s="427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4</v>
      </c>
    </row>
    <row r="54" spans="1:21" ht="14.45" customHeight="1" x14ac:dyDescent="0.2">
      <c r="A54" s="432" t="s">
        <v>285</v>
      </c>
      <c r="B54" s="428">
        <v>0</v>
      </c>
      <c r="C54" s="429">
        <v>274.22651999999999</v>
      </c>
      <c r="D54" s="429">
        <v>274.22651999999999</v>
      </c>
      <c r="E54" s="430">
        <v>0</v>
      </c>
      <c r="F54" s="428">
        <v>0</v>
      </c>
      <c r="G54" s="429">
        <v>0</v>
      </c>
      <c r="H54" s="429">
        <v>0</v>
      </c>
      <c r="I54" s="429">
        <v>186.95081999999999</v>
      </c>
      <c r="J54" s="429">
        <v>186.95081999999999</v>
      </c>
      <c r="K54" s="431">
        <v>0</v>
      </c>
      <c r="L54" s="150"/>
      <c r="M54" s="427" t="str">
        <f t="shared" si="0"/>
        <v/>
      </c>
      <c r="N54" s="150"/>
      <c r="O54" s="150"/>
      <c r="P54" s="150"/>
      <c r="Q54" s="150"/>
      <c r="R54" s="150"/>
      <c r="S54" s="150"/>
      <c r="T54" s="150"/>
      <c r="U54" s="150">
        <v>5</v>
      </c>
    </row>
    <row r="55" spans="1:21" ht="14.45" customHeight="1" x14ac:dyDescent="0.2">
      <c r="A55" s="432" t="s">
        <v>286</v>
      </c>
      <c r="B55" s="428">
        <v>0</v>
      </c>
      <c r="C55" s="429">
        <v>0</v>
      </c>
      <c r="D55" s="429">
        <v>0</v>
      </c>
      <c r="E55" s="430">
        <v>0</v>
      </c>
      <c r="F55" s="428">
        <v>0</v>
      </c>
      <c r="G55" s="429">
        <v>0</v>
      </c>
      <c r="H55" s="429">
        <v>0</v>
      </c>
      <c r="I55" s="429">
        <v>-1.2227399999999999</v>
      </c>
      <c r="J55" s="429">
        <v>-1.2227399999999999</v>
      </c>
      <c r="K55" s="431">
        <v>0</v>
      </c>
      <c r="L55" s="150"/>
      <c r="M55" s="427" t="str">
        <f t="shared" si="0"/>
        <v/>
      </c>
      <c r="N55" s="150"/>
      <c r="O55" s="150"/>
      <c r="P55" s="150"/>
      <c r="Q55" s="150"/>
      <c r="R55" s="150"/>
      <c r="S55" s="150"/>
      <c r="T55" s="150"/>
      <c r="U55" s="150">
        <v>1</v>
      </c>
    </row>
    <row r="56" spans="1:21" ht="14.45" customHeight="1" x14ac:dyDescent="0.2">
      <c r="A56" s="432" t="s">
        <v>287</v>
      </c>
      <c r="B56" s="428">
        <v>0</v>
      </c>
      <c r="C56" s="429">
        <v>0</v>
      </c>
      <c r="D56" s="429">
        <v>0</v>
      </c>
      <c r="E56" s="430">
        <v>0</v>
      </c>
      <c r="F56" s="428">
        <v>0</v>
      </c>
      <c r="G56" s="429">
        <v>0</v>
      </c>
      <c r="H56" s="429">
        <v>0</v>
      </c>
      <c r="I56" s="429">
        <v>-1.2227399999999999</v>
      </c>
      <c r="J56" s="429">
        <v>-1.2227399999999999</v>
      </c>
      <c r="K56" s="431">
        <v>0</v>
      </c>
      <c r="L56" s="150"/>
      <c r="M56" s="427" t="str">
        <f t="shared" si="0"/>
        <v/>
      </c>
      <c r="N56" s="150"/>
      <c r="O56" s="150"/>
      <c r="P56" s="150"/>
      <c r="Q56" s="150"/>
      <c r="R56" s="150"/>
      <c r="S56" s="150"/>
      <c r="T56" s="150"/>
      <c r="U56" s="150">
        <v>2</v>
      </c>
    </row>
    <row r="57" spans="1:21" ht="14.45" customHeight="1" x14ac:dyDescent="0.2">
      <c r="A57" s="432" t="s">
        <v>288</v>
      </c>
      <c r="B57" s="428">
        <v>0</v>
      </c>
      <c r="C57" s="429">
        <v>0</v>
      </c>
      <c r="D57" s="429">
        <v>0</v>
      </c>
      <c r="E57" s="430">
        <v>0</v>
      </c>
      <c r="F57" s="428">
        <v>0</v>
      </c>
      <c r="G57" s="429">
        <v>0</v>
      </c>
      <c r="H57" s="429">
        <v>0</v>
      </c>
      <c r="I57" s="429">
        <v>-1.2227399999999999</v>
      </c>
      <c r="J57" s="429">
        <v>-1.2227399999999999</v>
      </c>
      <c r="K57" s="431">
        <v>0</v>
      </c>
      <c r="L57" s="150"/>
      <c r="M57" s="427" t="str">
        <f t="shared" si="0"/>
        <v>X</v>
      </c>
      <c r="N57" s="150"/>
      <c r="O57" s="150"/>
      <c r="P57" s="150"/>
      <c r="Q57" s="150"/>
      <c r="R57" s="150"/>
      <c r="S57" s="150"/>
      <c r="T57" s="150"/>
      <c r="U57" s="150">
        <v>3</v>
      </c>
    </row>
    <row r="58" spans="1:21" ht="14.45" customHeight="1" x14ac:dyDescent="0.2">
      <c r="A58" s="432" t="s">
        <v>289</v>
      </c>
      <c r="B58" s="428">
        <v>0</v>
      </c>
      <c r="C58" s="429">
        <v>0</v>
      </c>
      <c r="D58" s="429">
        <v>0</v>
      </c>
      <c r="E58" s="430">
        <v>0</v>
      </c>
      <c r="F58" s="428">
        <v>0</v>
      </c>
      <c r="G58" s="429">
        <v>0</v>
      </c>
      <c r="H58" s="429">
        <v>0</v>
      </c>
      <c r="I58" s="429">
        <v>-1.2227399999999999</v>
      </c>
      <c r="J58" s="429">
        <v>-1.2227399999999999</v>
      </c>
      <c r="K58" s="431">
        <v>0</v>
      </c>
      <c r="L58" s="150"/>
      <c r="M58" s="427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4</v>
      </c>
    </row>
    <row r="59" spans="1:21" ht="14.45" customHeight="1" x14ac:dyDescent="0.2">
      <c r="A59" s="432" t="s">
        <v>290</v>
      </c>
      <c r="B59" s="428">
        <v>0</v>
      </c>
      <c r="C59" s="429">
        <v>0</v>
      </c>
      <c r="D59" s="429">
        <v>0</v>
      </c>
      <c r="E59" s="430">
        <v>0</v>
      </c>
      <c r="F59" s="428">
        <v>0</v>
      </c>
      <c r="G59" s="429">
        <v>0</v>
      </c>
      <c r="H59" s="429">
        <v>0</v>
      </c>
      <c r="I59" s="429">
        <v>-1.2227399999999999</v>
      </c>
      <c r="J59" s="429">
        <v>-1.2227399999999999</v>
      </c>
      <c r="K59" s="431">
        <v>0</v>
      </c>
      <c r="L59" s="150"/>
      <c r="M59" s="427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5</v>
      </c>
    </row>
    <row r="60" spans="1:21" ht="14.45" customHeight="1" x14ac:dyDescent="0.2">
      <c r="A60" s="432" t="s">
        <v>291</v>
      </c>
      <c r="B60" s="428">
        <v>0</v>
      </c>
      <c r="C60" s="429">
        <v>9.4920000000000004E-2</v>
      </c>
      <c r="D60" s="429">
        <v>9.4920000000000004E-2</v>
      </c>
      <c r="E60" s="430">
        <v>0</v>
      </c>
      <c r="F60" s="428">
        <v>0</v>
      </c>
      <c r="G60" s="429">
        <v>0</v>
      </c>
      <c r="H60" s="429">
        <v>0</v>
      </c>
      <c r="I60" s="429">
        <v>0.22805</v>
      </c>
      <c r="J60" s="429">
        <v>0.22805</v>
      </c>
      <c r="K60" s="431">
        <v>0</v>
      </c>
      <c r="L60" s="150"/>
      <c r="M60" s="427" t="str">
        <f t="shared" si="0"/>
        <v/>
      </c>
      <c r="N60" s="150"/>
      <c r="O60" s="150"/>
      <c r="P60" s="150"/>
      <c r="Q60" s="150"/>
      <c r="R60" s="150"/>
      <c r="S60" s="150"/>
      <c r="T60" s="150"/>
      <c r="U60" s="150">
        <v>1</v>
      </c>
    </row>
    <row r="61" spans="1:21" ht="14.45" customHeight="1" x14ac:dyDescent="0.2">
      <c r="A61" s="432" t="s">
        <v>292</v>
      </c>
      <c r="B61" s="428">
        <v>0</v>
      </c>
      <c r="C61" s="429">
        <v>9.4920000000000004E-2</v>
      </c>
      <c r="D61" s="429">
        <v>9.4920000000000004E-2</v>
      </c>
      <c r="E61" s="430">
        <v>0</v>
      </c>
      <c r="F61" s="428">
        <v>0</v>
      </c>
      <c r="G61" s="429">
        <v>0</v>
      </c>
      <c r="H61" s="429">
        <v>0</v>
      </c>
      <c r="I61" s="429">
        <v>0.22805</v>
      </c>
      <c r="J61" s="429">
        <v>0.22805</v>
      </c>
      <c r="K61" s="431">
        <v>0</v>
      </c>
      <c r="L61" s="150"/>
      <c r="M61" s="427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2</v>
      </c>
    </row>
    <row r="62" spans="1:21" ht="14.45" customHeight="1" x14ac:dyDescent="0.2">
      <c r="A62" s="432" t="s">
        <v>293</v>
      </c>
      <c r="B62" s="428">
        <v>0</v>
      </c>
      <c r="C62" s="429">
        <v>9.4920000000000004E-2</v>
      </c>
      <c r="D62" s="429">
        <v>9.4920000000000004E-2</v>
      </c>
      <c r="E62" s="430">
        <v>0</v>
      </c>
      <c r="F62" s="428">
        <v>0</v>
      </c>
      <c r="G62" s="429">
        <v>0</v>
      </c>
      <c r="H62" s="429">
        <v>0</v>
      </c>
      <c r="I62" s="429">
        <v>0.22805</v>
      </c>
      <c r="J62" s="429">
        <v>0.22805</v>
      </c>
      <c r="K62" s="431">
        <v>0</v>
      </c>
      <c r="L62" s="150"/>
      <c r="M62" s="427" t="str">
        <f t="shared" si="0"/>
        <v>X</v>
      </c>
      <c r="N62" s="150"/>
      <c r="O62" s="150"/>
      <c r="P62" s="150"/>
      <c r="Q62" s="150"/>
      <c r="R62" s="150"/>
      <c r="S62" s="150"/>
      <c r="T62" s="150"/>
      <c r="U62" s="150">
        <v>3</v>
      </c>
    </row>
    <row r="63" spans="1:21" ht="14.45" customHeight="1" x14ac:dyDescent="0.2">
      <c r="A63" s="432" t="s">
        <v>294</v>
      </c>
      <c r="B63" s="428">
        <v>0</v>
      </c>
      <c r="C63" s="429">
        <v>9.4920000000000004E-2</v>
      </c>
      <c r="D63" s="429">
        <v>9.4920000000000004E-2</v>
      </c>
      <c r="E63" s="430">
        <v>0</v>
      </c>
      <c r="F63" s="428">
        <v>0</v>
      </c>
      <c r="G63" s="429">
        <v>0</v>
      </c>
      <c r="H63" s="429">
        <v>0</v>
      </c>
      <c r="I63" s="429">
        <v>0.22805</v>
      </c>
      <c r="J63" s="429">
        <v>0.22805</v>
      </c>
      <c r="K63" s="431">
        <v>0</v>
      </c>
      <c r="L63" s="150"/>
      <c r="M63" s="427" t="str">
        <f t="shared" si="0"/>
        <v/>
      </c>
      <c r="N63" s="150"/>
      <c r="O63" s="150"/>
      <c r="P63" s="150"/>
      <c r="Q63" s="150"/>
      <c r="R63" s="150"/>
      <c r="S63" s="150"/>
      <c r="T63" s="150"/>
      <c r="U63" s="150">
        <v>4</v>
      </c>
    </row>
    <row r="64" spans="1:21" ht="14.45" customHeight="1" x14ac:dyDescent="0.2">
      <c r="A64" s="432" t="s">
        <v>295</v>
      </c>
      <c r="B64" s="428">
        <v>0</v>
      </c>
      <c r="C64" s="429">
        <v>9.4920000000000004E-2</v>
      </c>
      <c r="D64" s="429">
        <v>9.4920000000000004E-2</v>
      </c>
      <c r="E64" s="430">
        <v>0</v>
      </c>
      <c r="F64" s="428">
        <v>0</v>
      </c>
      <c r="G64" s="429">
        <v>0</v>
      </c>
      <c r="H64" s="429">
        <v>0</v>
      </c>
      <c r="I64" s="429">
        <v>0.22805</v>
      </c>
      <c r="J64" s="429">
        <v>0.22805</v>
      </c>
      <c r="K64" s="431">
        <v>0</v>
      </c>
      <c r="L64" s="150"/>
      <c r="M64" s="427" t="str">
        <f t="shared" si="0"/>
        <v/>
      </c>
      <c r="N64" s="150"/>
      <c r="O64" s="150"/>
      <c r="P64" s="150"/>
      <c r="Q64" s="150"/>
      <c r="R64" s="150"/>
      <c r="S64" s="150"/>
      <c r="T64" s="150"/>
      <c r="U64" s="150">
        <v>5</v>
      </c>
    </row>
    <row r="65" spans="1:21" ht="14.45" customHeight="1" x14ac:dyDescent="0.2">
      <c r="A65" s="433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427" t="str">
        <f t="shared" si="0"/>
        <v/>
      </c>
      <c r="N65" s="150"/>
      <c r="O65" s="150"/>
      <c r="P65" s="150"/>
      <c r="Q65" s="150"/>
      <c r="R65" s="150"/>
      <c r="S65" s="150"/>
      <c r="T65" s="150"/>
      <c r="U65" s="150"/>
    </row>
    <row r="66" spans="1:21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  <c r="N66" s="150"/>
      <c r="O66" s="150"/>
      <c r="P66" s="150"/>
      <c r="Q66" s="150"/>
      <c r="R66" s="150"/>
      <c r="S66" s="150"/>
      <c r="T66" s="150"/>
      <c r="U66" s="150"/>
    </row>
    <row r="67" spans="1:21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  <c r="N67" s="150"/>
      <c r="O67" s="150"/>
      <c r="P67" s="150"/>
      <c r="Q67" s="150"/>
      <c r="R67" s="150"/>
      <c r="S67" s="150"/>
      <c r="T67" s="150"/>
      <c r="U67" s="150"/>
    </row>
    <row r="68" spans="1:21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  <c r="N68" s="150"/>
      <c r="O68" s="150"/>
      <c r="P68" s="150"/>
      <c r="Q68" s="150"/>
      <c r="R68" s="150"/>
      <c r="S68" s="150"/>
      <c r="T68" s="150"/>
      <c r="U68" s="150"/>
    </row>
    <row r="69" spans="1:21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  <c r="N69" s="150"/>
      <c r="O69" s="150"/>
      <c r="P69" s="150"/>
      <c r="Q69" s="150"/>
      <c r="R69" s="150"/>
      <c r="S69" s="150"/>
      <c r="T69" s="150"/>
      <c r="U69" s="150"/>
    </row>
    <row r="70" spans="1:21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  <c r="N70" s="150"/>
      <c r="O70" s="150"/>
      <c r="P70" s="150"/>
      <c r="Q70" s="150"/>
      <c r="R70" s="150"/>
      <c r="S70" s="150"/>
      <c r="T70" s="150"/>
      <c r="U70" s="150"/>
    </row>
    <row r="71" spans="1:21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  <c r="N71" s="150"/>
      <c r="O71" s="150"/>
      <c r="P71" s="150"/>
      <c r="Q71" s="150"/>
      <c r="R71" s="150"/>
      <c r="S71" s="150"/>
      <c r="T71" s="150"/>
      <c r="U71" s="150"/>
    </row>
    <row r="72" spans="1:21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  <c r="N72" s="150"/>
      <c r="O72" s="150"/>
      <c r="P72" s="150"/>
      <c r="Q72" s="150"/>
      <c r="R72" s="150"/>
      <c r="S72" s="150"/>
      <c r="T72" s="150"/>
      <c r="U72" s="150"/>
    </row>
    <row r="73" spans="1:21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  <c r="N73" s="150"/>
      <c r="O73" s="150"/>
      <c r="P73" s="150"/>
      <c r="Q73" s="150"/>
      <c r="R73" s="150"/>
      <c r="S73" s="150"/>
      <c r="T73" s="150"/>
      <c r="U73" s="150"/>
    </row>
    <row r="74" spans="1:21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  <c r="N74" s="150"/>
      <c r="O74" s="150"/>
      <c r="P74" s="150"/>
      <c r="Q74" s="150"/>
      <c r="R74" s="150"/>
      <c r="S74" s="150"/>
      <c r="T74" s="150"/>
      <c r="U74" s="150"/>
    </row>
    <row r="75" spans="1:21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  <c r="N75" s="150"/>
      <c r="O75" s="150"/>
      <c r="P75" s="150"/>
      <c r="Q75" s="150"/>
      <c r="R75" s="150"/>
      <c r="S75" s="150"/>
      <c r="T75" s="150"/>
      <c r="U75" s="150"/>
    </row>
    <row r="76" spans="1:21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  <c r="N76" s="150"/>
      <c r="O76" s="150"/>
      <c r="P76" s="150"/>
      <c r="Q76" s="150"/>
      <c r="R76" s="150"/>
      <c r="S76" s="150"/>
      <c r="T76" s="150"/>
      <c r="U76" s="150"/>
    </row>
    <row r="77" spans="1:21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  <c r="N77" s="150"/>
      <c r="O77" s="150"/>
      <c r="P77" s="150"/>
      <c r="Q77" s="150"/>
      <c r="R77" s="150"/>
      <c r="S77" s="150"/>
      <c r="T77" s="150"/>
      <c r="U77" s="150"/>
    </row>
    <row r="78" spans="1:21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  <c r="N78" s="150"/>
      <c r="O78" s="150"/>
      <c r="P78" s="150"/>
      <c r="Q78" s="150"/>
      <c r="R78" s="150"/>
      <c r="S78" s="150"/>
      <c r="T78" s="150"/>
      <c r="U78" s="150"/>
    </row>
    <row r="79" spans="1:21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  <c r="N79" s="150"/>
      <c r="O79" s="150"/>
      <c r="P79" s="150"/>
      <c r="Q79" s="150"/>
      <c r="R79" s="150"/>
      <c r="S79" s="150"/>
      <c r="T79" s="150"/>
      <c r="U79" s="150"/>
    </row>
    <row r="80" spans="1:21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  <c r="N80" s="150"/>
      <c r="O80" s="150"/>
      <c r="P80" s="150"/>
      <c r="Q80" s="150"/>
      <c r="R80" s="150"/>
      <c r="S80" s="150"/>
      <c r="T80" s="150"/>
      <c r="U80" s="150"/>
    </row>
    <row r="81" spans="1:21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  <c r="N81" s="150"/>
      <c r="O81" s="150"/>
      <c r="P81" s="150"/>
      <c r="Q81" s="150"/>
      <c r="R81" s="150"/>
      <c r="S81" s="150"/>
      <c r="T81" s="150"/>
      <c r="U81" s="150"/>
    </row>
    <row r="82" spans="1:21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  <c r="N82" s="150"/>
      <c r="O82" s="150"/>
      <c r="P82" s="150"/>
      <c r="Q82" s="150"/>
      <c r="R82" s="150"/>
      <c r="S82" s="150"/>
      <c r="T82" s="150"/>
      <c r="U82" s="150"/>
    </row>
    <row r="83" spans="1:21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  <c r="N83" s="150"/>
      <c r="O83" s="150"/>
      <c r="P83" s="150"/>
      <c r="Q83" s="150"/>
      <c r="R83" s="150"/>
      <c r="S83" s="150"/>
      <c r="T83" s="150"/>
      <c r="U83" s="150"/>
    </row>
    <row r="84" spans="1:21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  <c r="N84" s="150"/>
      <c r="O84" s="150"/>
      <c r="P84" s="150"/>
      <c r="Q84" s="150"/>
      <c r="R84" s="150"/>
      <c r="S84" s="150"/>
      <c r="T84" s="150"/>
      <c r="U84" s="150"/>
    </row>
    <row r="85" spans="1:21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  <c r="N85" s="150"/>
      <c r="O85" s="150"/>
      <c r="P85" s="150"/>
      <c r="Q85" s="150"/>
      <c r="R85" s="150"/>
      <c r="S85" s="150"/>
      <c r="T85" s="150"/>
      <c r="U85" s="150"/>
    </row>
    <row r="86" spans="1:21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  <c r="N86" s="150"/>
      <c r="O86" s="150"/>
      <c r="P86" s="150"/>
      <c r="Q86" s="150"/>
      <c r="R86" s="150"/>
      <c r="S86" s="150"/>
      <c r="T86" s="150"/>
      <c r="U86" s="150"/>
    </row>
    <row r="87" spans="1:21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  <c r="N87" s="150"/>
      <c r="O87" s="150"/>
      <c r="P87" s="150"/>
      <c r="Q87" s="150"/>
      <c r="R87" s="150"/>
      <c r="S87" s="150"/>
      <c r="T87" s="150"/>
      <c r="U87" s="150"/>
    </row>
    <row r="88" spans="1:21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  <c r="N88" s="150"/>
      <c r="O88" s="150"/>
      <c r="P88" s="150"/>
      <c r="Q88" s="150"/>
      <c r="R88" s="150"/>
      <c r="S88" s="150"/>
      <c r="T88" s="150"/>
      <c r="U88" s="150"/>
    </row>
    <row r="89" spans="1:21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  <c r="N89" s="150"/>
      <c r="O89" s="150"/>
      <c r="P89" s="150"/>
      <c r="Q89" s="150"/>
      <c r="R89" s="150"/>
      <c r="S89" s="150"/>
      <c r="T89" s="150"/>
      <c r="U89" s="150"/>
    </row>
    <row r="90" spans="1:21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  <c r="N90" s="150"/>
      <c r="O90" s="150"/>
      <c r="P90" s="150"/>
      <c r="Q90" s="150"/>
      <c r="R90" s="150"/>
      <c r="S90" s="150"/>
      <c r="T90" s="150"/>
      <c r="U90" s="150"/>
    </row>
    <row r="91" spans="1:21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  <c r="N91" s="150"/>
      <c r="O91" s="150"/>
      <c r="P91" s="150"/>
      <c r="Q91" s="150"/>
      <c r="R91" s="150"/>
      <c r="S91" s="150"/>
      <c r="T91" s="150"/>
      <c r="U91" s="150"/>
    </row>
    <row r="92" spans="1:21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  <c r="N92" s="150"/>
      <c r="O92" s="150"/>
      <c r="P92" s="150"/>
      <c r="Q92" s="150"/>
      <c r="R92" s="150"/>
      <c r="S92" s="150"/>
      <c r="T92" s="150"/>
      <c r="U92" s="150"/>
    </row>
    <row r="93" spans="1:21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  <c r="N93" s="150"/>
      <c r="O93" s="150"/>
      <c r="P93" s="150"/>
      <c r="Q93" s="150"/>
      <c r="R93" s="150"/>
      <c r="S93" s="150"/>
      <c r="T93" s="150"/>
      <c r="U93" s="150"/>
    </row>
    <row r="94" spans="1:21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  <c r="N94" s="150"/>
      <c r="O94" s="150"/>
      <c r="P94" s="150"/>
      <c r="Q94" s="150"/>
      <c r="R94" s="150"/>
      <c r="S94" s="150"/>
      <c r="T94" s="150"/>
      <c r="U94" s="150"/>
    </row>
    <row r="95" spans="1:21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  <c r="N95" s="150"/>
      <c r="O95" s="150"/>
      <c r="P95" s="150"/>
      <c r="Q95" s="150"/>
      <c r="R95" s="150"/>
      <c r="S95" s="150"/>
      <c r="T95" s="150"/>
      <c r="U95" s="150"/>
    </row>
    <row r="96" spans="1:21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  <c r="N96" s="150"/>
      <c r="O96" s="150"/>
      <c r="P96" s="150"/>
      <c r="Q96" s="150"/>
      <c r="R96" s="150"/>
      <c r="S96" s="150"/>
      <c r="T96" s="150"/>
      <c r="U96" s="150"/>
    </row>
    <row r="97" spans="1:21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  <c r="N97" s="150"/>
      <c r="O97" s="150"/>
      <c r="P97" s="150"/>
      <c r="Q97" s="150"/>
      <c r="R97" s="150"/>
      <c r="S97" s="150"/>
      <c r="T97" s="150"/>
      <c r="U97" s="150"/>
    </row>
    <row r="98" spans="1:21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  <c r="N98" s="150"/>
      <c r="O98" s="150"/>
      <c r="P98" s="150"/>
      <c r="Q98" s="150"/>
      <c r="R98" s="150"/>
      <c r="S98" s="150"/>
      <c r="T98" s="150"/>
      <c r="U98" s="150"/>
    </row>
    <row r="99" spans="1:21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  <c r="N99" s="150"/>
      <c r="O99" s="150"/>
      <c r="P99" s="150"/>
      <c r="Q99" s="150"/>
      <c r="R99" s="150"/>
      <c r="S99" s="150"/>
      <c r="T99" s="150"/>
      <c r="U99" s="150"/>
    </row>
    <row r="100" spans="1:21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/>
    </row>
    <row r="101" spans="1:21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/>
    </row>
    <row r="102" spans="1:21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  <c r="N102" s="150"/>
      <c r="O102" s="150"/>
      <c r="P102" s="150"/>
      <c r="Q102" s="150"/>
      <c r="R102" s="150"/>
      <c r="S102" s="150"/>
      <c r="T102" s="150"/>
      <c r="U102" s="150"/>
    </row>
    <row r="103" spans="1:21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/>
    </row>
    <row r="104" spans="1:21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/>
    </row>
    <row r="105" spans="1:21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  <c r="N105" s="150"/>
      <c r="O105" s="150"/>
      <c r="P105" s="150"/>
      <c r="Q105" s="150"/>
      <c r="R105" s="150"/>
      <c r="S105" s="150"/>
      <c r="T105" s="150"/>
      <c r="U105" s="150"/>
    </row>
    <row r="106" spans="1:21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  <c r="N106" s="150"/>
      <c r="O106" s="150"/>
      <c r="P106" s="150"/>
      <c r="Q106" s="150"/>
      <c r="R106" s="150"/>
      <c r="S106" s="150"/>
      <c r="T106" s="150"/>
      <c r="U106" s="150"/>
    </row>
    <row r="107" spans="1:21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  <c r="N107" s="150"/>
      <c r="O107" s="150"/>
      <c r="P107" s="150"/>
      <c r="Q107" s="150"/>
      <c r="R107" s="150"/>
      <c r="S107" s="150"/>
      <c r="T107" s="150"/>
      <c r="U107" s="150"/>
    </row>
    <row r="108" spans="1:21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/>
    </row>
    <row r="109" spans="1:21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  <c r="N109" s="150"/>
      <c r="O109" s="150"/>
      <c r="P109" s="150"/>
      <c r="Q109" s="150"/>
      <c r="R109" s="150"/>
      <c r="S109" s="150"/>
      <c r="T109" s="150"/>
      <c r="U109" s="150"/>
    </row>
    <row r="110" spans="1:21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/>
    </row>
    <row r="111" spans="1:21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  <c r="N111" s="150"/>
      <c r="O111" s="150"/>
      <c r="P111" s="150"/>
      <c r="Q111" s="150"/>
      <c r="R111" s="150"/>
      <c r="S111" s="150"/>
      <c r="T111" s="150"/>
      <c r="U111" s="150"/>
    </row>
    <row r="112" spans="1:21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/>
    </row>
    <row r="113" spans="1:21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  <c r="N113" s="150"/>
      <c r="O113" s="150"/>
      <c r="P113" s="150"/>
      <c r="Q113" s="150"/>
      <c r="R113" s="150"/>
      <c r="S113" s="150"/>
      <c r="T113" s="150"/>
      <c r="U113" s="150"/>
    </row>
    <row r="114" spans="1:21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  <c r="N114" s="150"/>
      <c r="O114" s="150"/>
      <c r="P114" s="150"/>
      <c r="Q114" s="150"/>
      <c r="R114" s="150"/>
      <c r="S114" s="150"/>
      <c r="T114" s="150"/>
      <c r="U114" s="150"/>
    </row>
    <row r="115" spans="1:21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/>
    </row>
    <row r="116" spans="1:21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/>
    </row>
    <row r="117" spans="1:21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  <c r="N117" s="150"/>
      <c r="O117" s="150"/>
      <c r="P117" s="150"/>
      <c r="Q117" s="150"/>
      <c r="R117" s="150"/>
      <c r="S117" s="150"/>
      <c r="T117" s="150"/>
      <c r="U117" s="150"/>
    </row>
    <row r="118" spans="1:21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  <c r="N118" s="150"/>
      <c r="O118" s="150"/>
      <c r="P118" s="150"/>
      <c r="Q118" s="150"/>
      <c r="R118" s="150"/>
      <c r="S118" s="150"/>
      <c r="T118" s="150"/>
      <c r="U118" s="150"/>
    </row>
    <row r="119" spans="1:21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/>
    </row>
    <row r="120" spans="1:21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/>
    </row>
    <row r="121" spans="1:21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  <c r="N121" s="150"/>
      <c r="O121" s="150"/>
      <c r="P121" s="150"/>
      <c r="Q121" s="150"/>
      <c r="R121" s="150"/>
      <c r="S121" s="150"/>
      <c r="T121" s="150"/>
      <c r="U121" s="150"/>
    </row>
    <row r="122" spans="1:21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/>
    </row>
    <row r="123" spans="1:21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  <c r="N123" s="150"/>
      <c r="O123" s="150"/>
      <c r="P123" s="150"/>
      <c r="Q123" s="150"/>
      <c r="R123" s="150"/>
      <c r="S123" s="150"/>
      <c r="T123" s="150"/>
      <c r="U123" s="150"/>
    </row>
    <row r="124" spans="1:21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  <c r="N124" s="150"/>
      <c r="O124" s="150"/>
      <c r="P124" s="150"/>
      <c r="Q124" s="150"/>
      <c r="R124" s="150"/>
      <c r="S124" s="150"/>
      <c r="T124" s="150"/>
      <c r="U124" s="150"/>
    </row>
    <row r="125" spans="1:21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/>
    </row>
    <row r="126" spans="1:21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  <c r="N126" s="150"/>
      <c r="O126" s="150"/>
      <c r="P126" s="150"/>
      <c r="Q126" s="150"/>
      <c r="R126" s="150"/>
      <c r="S126" s="150"/>
      <c r="T126" s="150"/>
      <c r="U126" s="150"/>
    </row>
    <row r="127" spans="1:21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  <c r="N127" s="150"/>
      <c r="O127" s="150"/>
      <c r="P127" s="150"/>
      <c r="Q127" s="150"/>
      <c r="R127" s="150"/>
      <c r="S127" s="150"/>
      <c r="T127" s="150"/>
      <c r="U127" s="150"/>
    </row>
    <row r="128" spans="1:21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  <c r="N128" s="150"/>
      <c r="O128" s="150"/>
      <c r="P128" s="150"/>
      <c r="Q128" s="150"/>
      <c r="R128" s="150"/>
      <c r="S128" s="150"/>
      <c r="T128" s="150"/>
      <c r="U128" s="150"/>
    </row>
    <row r="129" spans="1:21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/>
    </row>
    <row r="130" spans="1:21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  <c r="N130" s="150"/>
      <c r="O130" s="150"/>
      <c r="P130" s="150"/>
      <c r="Q130" s="150"/>
      <c r="R130" s="150"/>
      <c r="S130" s="150"/>
      <c r="T130" s="150"/>
      <c r="U130" s="150"/>
    </row>
    <row r="131" spans="1:21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/>
    </row>
    <row r="132" spans="1:21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/>
    </row>
    <row r="133" spans="1:21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  <c r="N133" s="150"/>
      <c r="O133" s="150"/>
      <c r="P133" s="150"/>
      <c r="Q133" s="150"/>
      <c r="R133" s="150"/>
      <c r="S133" s="150"/>
      <c r="T133" s="150"/>
      <c r="U133" s="150"/>
    </row>
    <row r="134" spans="1:21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  <c r="N134" s="150"/>
      <c r="O134" s="150"/>
      <c r="P134" s="150"/>
      <c r="Q134" s="150"/>
      <c r="R134" s="150"/>
      <c r="S134" s="150"/>
      <c r="T134" s="150"/>
      <c r="U134" s="150"/>
    </row>
    <row r="135" spans="1:21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/>
    </row>
    <row r="136" spans="1:21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  <c r="N136" s="150"/>
      <c r="O136" s="150"/>
      <c r="P136" s="150"/>
      <c r="Q136" s="150"/>
      <c r="R136" s="150"/>
      <c r="S136" s="150"/>
      <c r="T136" s="150"/>
      <c r="U136" s="150"/>
    </row>
    <row r="137" spans="1:21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  <c r="N137" s="150"/>
      <c r="O137" s="150"/>
      <c r="P137" s="150"/>
      <c r="Q137" s="150"/>
      <c r="R137" s="150"/>
      <c r="S137" s="150"/>
      <c r="T137" s="150"/>
      <c r="U137" s="150"/>
    </row>
    <row r="138" spans="1:21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/>
    </row>
    <row r="139" spans="1:21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/>
    </row>
    <row r="140" spans="1:21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/>
    </row>
    <row r="141" spans="1:21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/>
    </row>
    <row r="142" spans="1:21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  <c r="N142" s="150"/>
      <c r="O142" s="150"/>
      <c r="P142" s="150"/>
      <c r="Q142" s="150"/>
      <c r="R142" s="150"/>
      <c r="S142" s="150"/>
      <c r="T142" s="150"/>
      <c r="U142" s="150"/>
    </row>
    <row r="143" spans="1:21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  <c r="N143" s="150"/>
      <c r="O143" s="150"/>
      <c r="P143" s="150"/>
      <c r="Q143" s="150"/>
      <c r="R143" s="150"/>
      <c r="S143" s="150"/>
      <c r="T143" s="150"/>
      <c r="U143" s="150"/>
    </row>
    <row r="144" spans="1:21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/>
    </row>
    <row r="145" spans="1:21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  <c r="N145" s="150"/>
      <c r="O145" s="150"/>
      <c r="P145" s="150"/>
      <c r="Q145" s="150"/>
      <c r="R145" s="150"/>
      <c r="S145" s="150"/>
      <c r="T145" s="150"/>
      <c r="U145" s="150"/>
    </row>
    <row r="146" spans="1:21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  <c r="N146" s="150"/>
      <c r="O146" s="150"/>
      <c r="P146" s="150"/>
      <c r="Q146" s="150"/>
      <c r="R146" s="150"/>
      <c r="S146" s="150"/>
      <c r="T146" s="150"/>
      <c r="U146" s="150"/>
    </row>
    <row r="147" spans="1:21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/>
    </row>
    <row r="148" spans="1:21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  <c r="N148" s="150"/>
      <c r="O148" s="150"/>
      <c r="P148" s="150"/>
      <c r="Q148" s="150"/>
      <c r="R148" s="150"/>
      <c r="S148" s="150"/>
      <c r="T148" s="150"/>
      <c r="U148" s="150"/>
    </row>
    <row r="149" spans="1:21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  <c r="N149" s="150"/>
      <c r="O149" s="150"/>
      <c r="P149" s="150"/>
      <c r="Q149" s="150"/>
      <c r="R149" s="150"/>
      <c r="S149" s="150"/>
      <c r="T149" s="150"/>
      <c r="U149" s="150"/>
    </row>
    <row r="150" spans="1:21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  <c r="N150" s="150"/>
      <c r="O150" s="150"/>
      <c r="P150" s="150"/>
      <c r="Q150" s="150"/>
      <c r="R150" s="150"/>
      <c r="S150" s="150"/>
      <c r="T150" s="150"/>
      <c r="U150" s="150"/>
    </row>
    <row r="151" spans="1:21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/>
    </row>
    <row r="152" spans="1:21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/>
    </row>
    <row r="153" spans="1:21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  <c r="N153" s="150"/>
      <c r="O153" s="150"/>
      <c r="P153" s="150"/>
      <c r="Q153" s="150"/>
      <c r="R153" s="150"/>
      <c r="S153" s="150"/>
      <c r="T153" s="150"/>
      <c r="U153" s="150"/>
    </row>
    <row r="154" spans="1:21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/>
    </row>
    <row r="155" spans="1:21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  <c r="N155" s="150"/>
      <c r="O155" s="150"/>
      <c r="P155" s="150"/>
      <c r="Q155" s="150"/>
      <c r="R155" s="150"/>
      <c r="S155" s="150"/>
      <c r="T155" s="150"/>
      <c r="U155" s="150"/>
    </row>
    <row r="156" spans="1:21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  <c r="N156" s="150"/>
      <c r="O156" s="150"/>
      <c r="P156" s="150"/>
      <c r="Q156" s="150"/>
      <c r="R156" s="150"/>
      <c r="S156" s="150"/>
      <c r="T156" s="150"/>
      <c r="U156" s="150"/>
    </row>
    <row r="157" spans="1:21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/>
    </row>
    <row r="158" spans="1:21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  <c r="N158" s="150"/>
      <c r="O158" s="150"/>
      <c r="P158" s="150"/>
      <c r="Q158" s="150"/>
      <c r="R158" s="150"/>
      <c r="S158" s="150"/>
      <c r="T158" s="150"/>
      <c r="U158" s="150"/>
    </row>
    <row r="159" spans="1:21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  <c r="N159" s="150"/>
      <c r="O159" s="150"/>
      <c r="P159" s="150"/>
      <c r="Q159" s="150"/>
      <c r="R159" s="150"/>
      <c r="S159" s="150"/>
      <c r="T159" s="150"/>
      <c r="U159" s="150"/>
    </row>
    <row r="160" spans="1:21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/>
    </row>
    <row r="161" spans="1:21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  <c r="N161" s="150"/>
      <c r="O161" s="150"/>
      <c r="P161" s="150"/>
      <c r="Q161" s="150"/>
      <c r="R161" s="150"/>
      <c r="S161" s="150"/>
      <c r="T161" s="150"/>
      <c r="U161" s="150"/>
    </row>
    <row r="162" spans="1:21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/>
    </row>
    <row r="163" spans="1:21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/>
    </row>
    <row r="164" spans="1:21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/>
    </row>
    <row r="165" spans="1:21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/>
    </row>
    <row r="166" spans="1:21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/>
    </row>
    <row r="167" spans="1:21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  <c r="N167" s="150"/>
      <c r="O167" s="150"/>
      <c r="P167" s="150"/>
      <c r="Q167" s="150"/>
      <c r="R167" s="150"/>
      <c r="S167" s="150"/>
      <c r="T167" s="150"/>
      <c r="U167" s="150"/>
    </row>
    <row r="168" spans="1:21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/>
    </row>
    <row r="169" spans="1:21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  <c r="N169" s="150"/>
      <c r="O169" s="150"/>
      <c r="P169" s="150"/>
      <c r="Q169" s="150"/>
      <c r="R169" s="150"/>
      <c r="S169" s="150"/>
      <c r="T169" s="150"/>
      <c r="U169" s="150"/>
    </row>
    <row r="170" spans="1:21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  <c r="N170" s="150"/>
      <c r="O170" s="150"/>
      <c r="P170" s="150"/>
      <c r="Q170" s="150"/>
      <c r="R170" s="150"/>
      <c r="S170" s="150"/>
      <c r="T170" s="150"/>
      <c r="U170" s="150"/>
    </row>
    <row r="171" spans="1:21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/>
    </row>
    <row r="172" spans="1:21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  <c r="N172" s="150"/>
      <c r="O172" s="150"/>
      <c r="P172" s="150"/>
      <c r="Q172" s="150"/>
      <c r="R172" s="150"/>
      <c r="S172" s="150"/>
      <c r="T172" s="150"/>
      <c r="U172" s="150"/>
    </row>
    <row r="173" spans="1:21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/>
    </row>
    <row r="174" spans="1:21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  <c r="N174" s="150"/>
      <c r="O174" s="150"/>
      <c r="P174" s="150"/>
      <c r="Q174" s="150"/>
      <c r="R174" s="150"/>
      <c r="S174" s="150"/>
      <c r="T174" s="150"/>
      <c r="U174" s="150"/>
    </row>
    <row r="175" spans="1:21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  <c r="N175" s="150"/>
      <c r="O175" s="150"/>
      <c r="P175" s="150"/>
      <c r="Q175" s="150"/>
      <c r="R175" s="150"/>
      <c r="S175" s="150"/>
      <c r="T175" s="150"/>
      <c r="U175" s="150"/>
    </row>
    <row r="176" spans="1:21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/>
    </row>
    <row r="177" spans="1:21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/>
    </row>
    <row r="178" spans="1:21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  <c r="N178" s="150"/>
      <c r="O178" s="150"/>
      <c r="P178" s="150"/>
      <c r="Q178" s="150"/>
      <c r="R178" s="150"/>
      <c r="S178" s="150"/>
      <c r="T178" s="150"/>
      <c r="U178" s="150"/>
    </row>
    <row r="179" spans="1:21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/>
    </row>
    <row r="180" spans="1:21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  <c r="N180" s="150"/>
      <c r="O180" s="150"/>
      <c r="P180" s="150"/>
      <c r="Q180" s="150"/>
      <c r="R180" s="150"/>
      <c r="S180" s="150"/>
      <c r="T180" s="150"/>
      <c r="U180" s="150"/>
    </row>
    <row r="181" spans="1:21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/>
    </row>
    <row r="182" spans="1:21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/>
    </row>
    <row r="183" spans="1:21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/>
    </row>
    <row r="184" spans="1:21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  <c r="N184" s="150"/>
      <c r="O184" s="150"/>
      <c r="P184" s="150"/>
      <c r="Q184" s="150"/>
      <c r="R184" s="150"/>
      <c r="S184" s="150"/>
      <c r="T184" s="150"/>
      <c r="U184" s="150"/>
    </row>
    <row r="185" spans="1:21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  <c r="N185" s="150"/>
      <c r="O185" s="150"/>
      <c r="P185" s="150"/>
      <c r="Q185" s="150"/>
      <c r="R185" s="150"/>
      <c r="S185" s="150"/>
      <c r="T185" s="150"/>
      <c r="U185" s="150"/>
    </row>
    <row r="186" spans="1:21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/>
    </row>
    <row r="187" spans="1:21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/>
    </row>
    <row r="188" spans="1:21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/>
    </row>
    <row r="189" spans="1:21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  <c r="N189" s="150"/>
      <c r="O189" s="150"/>
      <c r="P189" s="150"/>
      <c r="Q189" s="150"/>
      <c r="R189" s="150"/>
      <c r="S189" s="150"/>
      <c r="T189" s="150"/>
      <c r="U189" s="150"/>
    </row>
    <row r="190" spans="1:21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/>
    </row>
    <row r="191" spans="1:21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  <c r="N191" s="150"/>
      <c r="O191" s="150"/>
      <c r="P191" s="150"/>
      <c r="Q191" s="150"/>
      <c r="R191" s="150"/>
      <c r="S191" s="150"/>
      <c r="T191" s="150"/>
      <c r="U191" s="150"/>
    </row>
    <row r="192" spans="1:21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  <c r="N192" s="150"/>
      <c r="O192" s="150"/>
      <c r="P192" s="150"/>
      <c r="Q192" s="150"/>
      <c r="R192" s="150"/>
      <c r="S192" s="150"/>
      <c r="T192" s="150"/>
      <c r="U192" s="150"/>
    </row>
    <row r="193" spans="1:21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/>
    </row>
    <row r="194" spans="1:21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  <c r="N194" s="150"/>
      <c r="O194" s="150"/>
      <c r="P194" s="150"/>
      <c r="Q194" s="150"/>
      <c r="R194" s="150"/>
      <c r="S194" s="150"/>
      <c r="T194" s="150"/>
      <c r="U194" s="150"/>
    </row>
    <row r="195" spans="1:21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  <c r="N195" s="150"/>
      <c r="O195" s="150"/>
      <c r="P195" s="150"/>
      <c r="Q195" s="150"/>
      <c r="R195" s="150"/>
      <c r="S195" s="150"/>
      <c r="T195" s="150"/>
      <c r="U195" s="150"/>
    </row>
    <row r="196" spans="1:21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  <c r="N196" s="150"/>
      <c r="O196" s="150"/>
      <c r="P196" s="150"/>
      <c r="Q196" s="150"/>
      <c r="R196" s="150"/>
      <c r="S196" s="150"/>
      <c r="T196" s="150"/>
      <c r="U196" s="150"/>
    </row>
    <row r="197" spans="1:21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/>
    </row>
    <row r="198" spans="1:21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/>
    </row>
    <row r="199" spans="1:21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/>
    </row>
    <row r="200" spans="1:21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/>
    </row>
    <row r="201" spans="1:21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/>
    </row>
    <row r="202" spans="1:21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/>
    </row>
    <row r="203" spans="1:21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/>
    </row>
    <row r="204" spans="1:21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  <c r="N204" s="150"/>
      <c r="O204" s="150"/>
      <c r="P204" s="150"/>
      <c r="Q204" s="150"/>
      <c r="R204" s="150"/>
      <c r="S204" s="150"/>
      <c r="T204" s="150"/>
      <c r="U204" s="150"/>
    </row>
    <row r="205" spans="1:21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/>
    </row>
    <row r="206" spans="1:21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  <c r="N206" s="150"/>
      <c r="O206" s="150"/>
      <c r="P206" s="150"/>
      <c r="Q206" s="150"/>
      <c r="R206" s="150"/>
      <c r="S206" s="150"/>
      <c r="T206" s="150"/>
      <c r="U206" s="150"/>
    </row>
    <row r="207" spans="1:21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  <c r="N207" s="150"/>
      <c r="O207" s="150"/>
      <c r="P207" s="150"/>
      <c r="Q207" s="150"/>
      <c r="R207" s="150"/>
      <c r="S207" s="150"/>
      <c r="T207" s="150"/>
      <c r="U207" s="150"/>
    </row>
    <row r="208" spans="1:21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  <c r="N208" s="150"/>
      <c r="O208" s="150"/>
      <c r="P208" s="150"/>
      <c r="Q208" s="150"/>
      <c r="R208" s="150"/>
      <c r="S208" s="150"/>
      <c r="T208" s="150"/>
      <c r="U208" s="150"/>
    </row>
    <row r="209" spans="1:21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/>
    </row>
    <row r="210" spans="1:21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/>
    </row>
    <row r="211" spans="1:21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/>
    </row>
    <row r="212" spans="1:21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  <c r="N212" s="150"/>
      <c r="O212" s="150"/>
      <c r="P212" s="150"/>
      <c r="Q212" s="150"/>
      <c r="R212" s="150"/>
      <c r="S212" s="150"/>
      <c r="T212" s="150"/>
      <c r="U212" s="150"/>
    </row>
    <row r="213" spans="1:21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  <c r="N213" s="150"/>
      <c r="O213" s="150"/>
      <c r="P213" s="150"/>
      <c r="Q213" s="150"/>
      <c r="R213" s="150"/>
      <c r="S213" s="150"/>
      <c r="T213" s="150"/>
      <c r="U213" s="150"/>
    </row>
    <row r="214" spans="1:21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/>
    </row>
    <row r="215" spans="1:21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/>
    </row>
    <row r="216" spans="1:21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/>
    </row>
    <row r="217" spans="1:21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  <c r="N217" s="150"/>
      <c r="O217" s="150"/>
      <c r="P217" s="150"/>
      <c r="Q217" s="150"/>
      <c r="R217" s="150"/>
      <c r="S217" s="150"/>
      <c r="T217" s="150"/>
      <c r="U217" s="150"/>
    </row>
    <row r="218" spans="1:21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/>
    </row>
    <row r="219" spans="1:21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/>
    </row>
    <row r="220" spans="1:21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/>
    </row>
    <row r="221" spans="1:21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/>
    </row>
    <row r="222" spans="1:21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/>
    </row>
    <row r="223" spans="1:21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/>
    </row>
    <row r="224" spans="1:21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/>
    </row>
    <row r="225" spans="1:21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/>
    </row>
    <row r="226" spans="1:21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/>
    </row>
    <row r="227" spans="1:21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/>
    </row>
    <row r="228" spans="1:21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/>
    </row>
    <row r="229" spans="1:21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/>
    </row>
    <row r="230" spans="1:21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  <c r="N230" s="150"/>
      <c r="O230" s="150"/>
      <c r="P230" s="150"/>
      <c r="Q230" s="150"/>
      <c r="R230" s="150"/>
      <c r="S230" s="150"/>
      <c r="T230" s="150"/>
      <c r="U230" s="150"/>
    </row>
    <row r="231" spans="1:21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  <c r="N231" s="150"/>
      <c r="O231" s="150"/>
      <c r="P231" s="150"/>
      <c r="Q231" s="150"/>
      <c r="R231" s="150"/>
      <c r="S231" s="150"/>
      <c r="T231" s="150"/>
      <c r="U231" s="150"/>
    </row>
    <row r="232" spans="1:21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/>
    </row>
    <row r="233" spans="1:21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/>
    </row>
    <row r="234" spans="1:21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  <c r="N234" s="150"/>
      <c r="O234" s="150"/>
      <c r="P234" s="150"/>
      <c r="Q234" s="150"/>
      <c r="R234" s="150"/>
      <c r="S234" s="150"/>
      <c r="T234" s="150"/>
      <c r="U234" s="150"/>
    </row>
    <row r="235" spans="1:21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/>
    </row>
    <row r="236" spans="1:21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/>
    </row>
    <row r="237" spans="1:21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/>
    </row>
    <row r="238" spans="1:21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/>
    </row>
    <row r="239" spans="1:21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/>
    </row>
    <row r="240" spans="1:21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  <c r="N240" s="150"/>
      <c r="O240" s="150"/>
      <c r="P240" s="150"/>
      <c r="Q240" s="150"/>
      <c r="R240" s="150"/>
      <c r="S240" s="150"/>
      <c r="T240" s="150"/>
      <c r="U240" s="150"/>
    </row>
    <row r="241" spans="1:21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/>
    </row>
    <row r="242" spans="1:21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/>
    </row>
    <row r="243" spans="1:21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/>
    </row>
    <row r="244" spans="1:21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/>
    </row>
    <row r="245" spans="1:21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/>
    </row>
    <row r="246" spans="1:21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/>
    </row>
    <row r="247" spans="1:21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/>
    </row>
    <row r="248" spans="1:21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/>
    </row>
    <row r="249" spans="1:21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/>
    </row>
    <row r="250" spans="1:21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/>
    </row>
    <row r="251" spans="1:21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/>
    </row>
    <row r="252" spans="1:21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/>
    </row>
    <row r="253" spans="1:21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/>
    </row>
    <row r="254" spans="1:21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/>
    </row>
    <row r="255" spans="1:21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/>
    </row>
    <row r="256" spans="1:21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/>
    </row>
    <row r="257" spans="1:21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/>
    </row>
    <row r="258" spans="1:21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/>
    </row>
    <row r="259" spans="1:21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/>
    </row>
    <row r="260" spans="1:21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/>
    </row>
    <row r="261" spans="1:21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/>
    </row>
    <row r="262" spans="1:21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  <c r="N262" s="150"/>
      <c r="O262" s="150"/>
      <c r="P262" s="150"/>
      <c r="Q262" s="150"/>
      <c r="R262" s="150"/>
      <c r="S262" s="150"/>
      <c r="T262" s="150"/>
      <c r="U262" s="150"/>
    </row>
    <row r="263" spans="1:21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/>
    </row>
    <row r="264" spans="1:21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/>
    </row>
    <row r="265" spans="1:21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/>
    </row>
    <row r="266" spans="1:21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64">
    <cfRule type="expression" dxfId="41" priority="1">
      <formula>$U7=0</formula>
    </cfRule>
    <cfRule type="expression" dxfId="40" priority="2">
      <formula>$U7=4</formula>
    </cfRule>
  </conditionalFormatting>
  <conditionalFormatting sqref="A6:K6">
    <cfRule type="expression" dxfId="39" priority="3">
      <formula>$U6=0</formula>
    </cfRule>
    <cfRule type="expression" dxfId="38" priority="4">
      <formula>$U6=4</formula>
    </cfRule>
  </conditionalFormatting>
  <conditionalFormatting sqref="A66:K818">
    <cfRule type="expression" dxfId="37" priority="5">
      <formula>$M66="HV"</formula>
    </cfRule>
    <cfRule type="expression" dxfId="36" priority="6">
      <formula>$M66="X"</formula>
    </cfRule>
  </conditionalFormatting>
  <hyperlinks>
    <hyperlink ref="A2" location="Obsah!A1" display="Zpět na Obsah  KL 01  1.-4.měsíc" xr:uid="{8047A930-7751-4998-9339-2C9167DA99B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1" t="s">
        <v>235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4">
        <v>57</v>
      </c>
      <c r="B5" s="435" t="s">
        <v>296</v>
      </c>
      <c r="C5" s="436">
        <v>832.15</v>
      </c>
      <c r="D5" s="436">
        <v>2</v>
      </c>
      <c r="E5" s="436">
        <v>413.61</v>
      </c>
      <c r="F5" s="437">
        <v>0.49703779366700718</v>
      </c>
      <c r="G5" s="436">
        <v>1</v>
      </c>
      <c r="H5" s="437">
        <v>0.5</v>
      </c>
      <c r="I5" s="436">
        <v>418.53999999999996</v>
      </c>
      <c r="J5" s="437">
        <v>0.50296220633299282</v>
      </c>
      <c r="K5" s="436">
        <v>1</v>
      </c>
      <c r="L5" s="437">
        <v>0.5</v>
      </c>
      <c r="M5" s="436" t="s">
        <v>67</v>
      </c>
      <c r="N5" s="150"/>
    </row>
    <row r="6" spans="1:14" ht="14.45" customHeight="1" x14ac:dyDescent="0.2">
      <c r="A6" s="434">
        <v>57</v>
      </c>
      <c r="B6" s="435" t="s">
        <v>297</v>
      </c>
      <c r="C6" s="436">
        <v>832.15</v>
      </c>
      <c r="D6" s="436">
        <v>2</v>
      </c>
      <c r="E6" s="436">
        <v>413.61</v>
      </c>
      <c r="F6" s="437">
        <v>0.49703779366700718</v>
      </c>
      <c r="G6" s="436">
        <v>1</v>
      </c>
      <c r="H6" s="437">
        <v>0.5</v>
      </c>
      <c r="I6" s="436">
        <v>418.53999999999996</v>
      </c>
      <c r="J6" s="437">
        <v>0.50296220633299282</v>
      </c>
      <c r="K6" s="436">
        <v>1</v>
      </c>
      <c r="L6" s="437">
        <v>0.5</v>
      </c>
      <c r="M6" s="436" t="s">
        <v>1</v>
      </c>
      <c r="N6" s="150"/>
    </row>
    <row r="7" spans="1:14" ht="14.45" customHeight="1" x14ac:dyDescent="0.2">
      <c r="A7" s="434" t="s">
        <v>298</v>
      </c>
      <c r="B7" s="435" t="s">
        <v>3</v>
      </c>
      <c r="C7" s="436">
        <v>832.15</v>
      </c>
      <c r="D7" s="436">
        <v>2</v>
      </c>
      <c r="E7" s="436">
        <v>413.61</v>
      </c>
      <c r="F7" s="437">
        <v>0.49703779366700718</v>
      </c>
      <c r="G7" s="436">
        <v>1</v>
      </c>
      <c r="H7" s="437">
        <v>0.5</v>
      </c>
      <c r="I7" s="436">
        <v>418.53999999999996</v>
      </c>
      <c r="J7" s="437">
        <v>0.50296220633299282</v>
      </c>
      <c r="K7" s="436">
        <v>1</v>
      </c>
      <c r="L7" s="437">
        <v>0.5</v>
      </c>
      <c r="M7" s="436" t="s">
        <v>299</v>
      </c>
      <c r="N7" s="150"/>
    </row>
    <row r="9" spans="1:14" ht="14.45" customHeight="1" x14ac:dyDescent="0.2">
      <c r="A9" s="434">
        <v>57</v>
      </c>
      <c r="B9" s="435" t="s">
        <v>296</v>
      </c>
      <c r="C9" s="436" t="s">
        <v>236</v>
      </c>
      <c r="D9" s="436" t="s">
        <v>236</v>
      </c>
      <c r="E9" s="436" t="s">
        <v>236</v>
      </c>
      <c r="F9" s="437" t="s">
        <v>236</v>
      </c>
      <c r="G9" s="436" t="s">
        <v>236</v>
      </c>
      <c r="H9" s="437" t="s">
        <v>236</v>
      </c>
      <c r="I9" s="436" t="s">
        <v>236</v>
      </c>
      <c r="J9" s="437" t="s">
        <v>236</v>
      </c>
      <c r="K9" s="436" t="s">
        <v>236</v>
      </c>
      <c r="L9" s="437" t="s">
        <v>236</v>
      </c>
      <c r="M9" s="436" t="s">
        <v>67</v>
      </c>
      <c r="N9" s="150"/>
    </row>
    <row r="10" spans="1:14" ht="14.45" customHeight="1" x14ac:dyDescent="0.2">
      <c r="A10" s="434" t="s">
        <v>300</v>
      </c>
      <c r="B10" s="435" t="s">
        <v>297</v>
      </c>
      <c r="C10" s="436">
        <v>832.15</v>
      </c>
      <c r="D10" s="436">
        <v>2</v>
      </c>
      <c r="E10" s="436">
        <v>413.61</v>
      </c>
      <c r="F10" s="437">
        <v>0.49703779366700718</v>
      </c>
      <c r="G10" s="436">
        <v>1</v>
      </c>
      <c r="H10" s="437">
        <v>0.5</v>
      </c>
      <c r="I10" s="436">
        <v>418.53999999999996</v>
      </c>
      <c r="J10" s="437">
        <v>0.50296220633299282</v>
      </c>
      <c r="K10" s="436">
        <v>1</v>
      </c>
      <c r="L10" s="437">
        <v>0.5</v>
      </c>
      <c r="M10" s="436" t="s">
        <v>1</v>
      </c>
      <c r="N10" s="150"/>
    </row>
    <row r="11" spans="1:14" ht="14.45" customHeight="1" x14ac:dyDescent="0.2">
      <c r="A11" s="434" t="s">
        <v>300</v>
      </c>
      <c r="B11" s="435" t="s">
        <v>301</v>
      </c>
      <c r="C11" s="436">
        <v>832.15</v>
      </c>
      <c r="D11" s="436">
        <v>2</v>
      </c>
      <c r="E11" s="436">
        <v>413.61</v>
      </c>
      <c r="F11" s="437">
        <v>0.49703779366700718</v>
      </c>
      <c r="G11" s="436">
        <v>1</v>
      </c>
      <c r="H11" s="437">
        <v>0.5</v>
      </c>
      <c r="I11" s="436">
        <v>418.53999999999996</v>
      </c>
      <c r="J11" s="437">
        <v>0.50296220633299282</v>
      </c>
      <c r="K11" s="436">
        <v>1</v>
      </c>
      <c r="L11" s="437">
        <v>0.5</v>
      </c>
      <c r="M11" s="436" t="s">
        <v>302</v>
      </c>
      <c r="N11" s="150"/>
    </row>
    <row r="12" spans="1:14" ht="14.45" customHeight="1" x14ac:dyDescent="0.2">
      <c r="A12" s="434" t="s">
        <v>236</v>
      </c>
      <c r="B12" s="435" t="s">
        <v>236</v>
      </c>
      <c r="C12" s="436" t="s">
        <v>236</v>
      </c>
      <c r="D12" s="436" t="s">
        <v>236</v>
      </c>
      <c r="E12" s="436" t="s">
        <v>236</v>
      </c>
      <c r="F12" s="437" t="s">
        <v>236</v>
      </c>
      <c r="G12" s="436" t="s">
        <v>236</v>
      </c>
      <c r="H12" s="437" t="s">
        <v>236</v>
      </c>
      <c r="I12" s="436" t="s">
        <v>236</v>
      </c>
      <c r="J12" s="437" t="s">
        <v>236</v>
      </c>
      <c r="K12" s="436" t="s">
        <v>236</v>
      </c>
      <c r="L12" s="437" t="s">
        <v>236</v>
      </c>
      <c r="M12" s="436" t="s">
        <v>303</v>
      </c>
      <c r="N12" s="150"/>
    </row>
    <row r="13" spans="1:14" ht="14.45" customHeight="1" x14ac:dyDescent="0.2">
      <c r="A13" s="434" t="s">
        <v>298</v>
      </c>
      <c r="B13" s="435" t="s">
        <v>304</v>
      </c>
      <c r="C13" s="436">
        <v>832.15</v>
      </c>
      <c r="D13" s="436">
        <v>2</v>
      </c>
      <c r="E13" s="436">
        <v>413.61</v>
      </c>
      <c r="F13" s="437">
        <v>0.49703779366700718</v>
      </c>
      <c r="G13" s="436">
        <v>1</v>
      </c>
      <c r="H13" s="437">
        <v>0.5</v>
      </c>
      <c r="I13" s="436">
        <v>418.53999999999996</v>
      </c>
      <c r="J13" s="437">
        <v>0.50296220633299282</v>
      </c>
      <c r="K13" s="436">
        <v>1</v>
      </c>
      <c r="L13" s="437">
        <v>0.5</v>
      </c>
      <c r="M13" s="436" t="s">
        <v>299</v>
      </c>
      <c r="N13" s="150"/>
    </row>
    <row r="14" spans="1:14" ht="14.45" customHeight="1" x14ac:dyDescent="0.2">
      <c r="A14" s="438" t="s">
        <v>209</v>
      </c>
    </row>
    <row r="15" spans="1:14" ht="14.45" customHeight="1" x14ac:dyDescent="0.2">
      <c r="A15" s="439" t="s">
        <v>305</v>
      </c>
    </row>
    <row r="16" spans="1:14" ht="14.45" customHeight="1" x14ac:dyDescent="0.2">
      <c r="A16" s="438" t="s">
        <v>306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DB091D8-E3F1-4054-ACA3-2964200AE81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1" t="s">
        <v>235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40" t="s">
        <v>131</v>
      </c>
      <c r="B4" s="443" t="s">
        <v>18</v>
      </c>
      <c r="C4" s="444"/>
      <c r="D4" s="443" t="s">
        <v>19</v>
      </c>
      <c r="E4" s="444"/>
      <c r="F4" s="443" t="s">
        <v>18</v>
      </c>
      <c r="G4" s="449" t="s">
        <v>2</v>
      </c>
      <c r="H4" s="443" t="s">
        <v>19</v>
      </c>
      <c r="I4" s="449" t="s">
        <v>2</v>
      </c>
      <c r="J4" s="443" t="s">
        <v>18</v>
      </c>
      <c r="K4" s="449" t="s">
        <v>2</v>
      </c>
      <c r="L4" s="443" t="s">
        <v>19</v>
      </c>
      <c r="M4" s="450" t="s">
        <v>2</v>
      </c>
    </row>
    <row r="5" spans="1:13" ht="14.45" customHeight="1" thickBot="1" x14ac:dyDescent="0.25">
      <c r="A5" s="442" t="s">
        <v>307</v>
      </c>
      <c r="B5" s="445">
        <v>832.15</v>
      </c>
      <c r="C5" s="446">
        <v>1</v>
      </c>
      <c r="D5" s="448">
        <v>2</v>
      </c>
      <c r="E5" s="441" t="s">
        <v>307</v>
      </c>
      <c r="F5" s="445">
        <v>413.61</v>
      </c>
      <c r="G5" s="451">
        <v>0.49703779366700718</v>
      </c>
      <c r="H5" s="447">
        <v>1</v>
      </c>
      <c r="I5" s="452">
        <v>0.5</v>
      </c>
      <c r="J5" s="453">
        <v>418.53999999999996</v>
      </c>
      <c r="K5" s="451">
        <v>0.50296220633299282</v>
      </c>
      <c r="L5" s="447">
        <v>1</v>
      </c>
      <c r="M5" s="45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6BD79BF-6C39-4700-BAF3-54CC8320E3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35" t="s">
        <v>322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1" t="s">
        <v>235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832.15</v>
      </c>
      <c r="N3" s="66">
        <f>SUBTOTAL(9,N7:N1048576)</f>
        <v>4</v>
      </c>
      <c r="O3" s="66">
        <f>SUBTOTAL(9,O7:O1048576)</f>
        <v>2</v>
      </c>
      <c r="P3" s="66">
        <f>SUBTOTAL(9,P7:P1048576)</f>
        <v>413.61</v>
      </c>
      <c r="Q3" s="67">
        <f>IF(M3=0,0,P3/M3)</f>
        <v>0.49703779366700718</v>
      </c>
      <c r="R3" s="66">
        <f>SUBTOTAL(9,R7:R1048576)</f>
        <v>2</v>
      </c>
      <c r="S3" s="67">
        <f>IF(N3=0,0,R3/N3)</f>
        <v>0.5</v>
      </c>
      <c r="T3" s="66">
        <f>SUBTOTAL(9,T7:T1048576)</f>
        <v>1</v>
      </c>
      <c r="U3" s="68">
        <f>IF(O3=0,0,T3/O3)</f>
        <v>0.5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7" customFormat="1" ht="14.45" customHeight="1" thickBot="1" x14ac:dyDescent="0.25">
      <c r="A6" s="454" t="s">
        <v>22</v>
      </c>
      <c r="B6" s="455" t="s">
        <v>5</v>
      </c>
      <c r="C6" s="454" t="s">
        <v>23</v>
      </c>
      <c r="D6" s="455" t="s">
        <v>6</v>
      </c>
      <c r="E6" s="455" t="s">
        <v>143</v>
      </c>
      <c r="F6" s="455" t="s">
        <v>24</v>
      </c>
      <c r="G6" s="455" t="s">
        <v>25</v>
      </c>
      <c r="H6" s="455" t="s">
        <v>8</v>
      </c>
      <c r="I6" s="455" t="s">
        <v>9</v>
      </c>
      <c r="J6" s="455" t="s">
        <v>10</v>
      </c>
      <c r="K6" s="455" t="s">
        <v>11</v>
      </c>
      <c r="L6" s="455" t="s">
        <v>26</v>
      </c>
      <c r="M6" s="456" t="s">
        <v>13</v>
      </c>
      <c r="N6" s="457" t="s">
        <v>27</v>
      </c>
      <c r="O6" s="457" t="s">
        <v>27</v>
      </c>
      <c r="P6" s="457" t="s">
        <v>13</v>
      </c>
      <c r="Q6" s="457" t="s">
        <v>2</v>
      </c>
      <c r="R6" s="457" t="s">
        <v>27</v>
      </c>
      <c r="S6" s="457" t="s">
        <v>2</v>
      </c>
      <c r="T6" s="457" t="s">
        <v>27</v>
      </c>
      <c r="U6" s="458" t="s">
        <v>2</v>
      </c>
    </row>
    <row r="7" spans="1:21" ht="14.45" customHeight="1" x14ac:dyDescent="0.2">
      <c r="A7" s="459">
        <v>57</v>
      </c>
      <c r="B7" s="460" t="s">
        <v>296</v>
      </c>
      <c r="C7" s="460" t="s">
        <v>300</v>
      </c>
      <c r="D7" s="461" t="s">
        <v>320</v>
      </c>
      <c r="E7" s="462" t="s">
        <v>307</v>
      </c>
      <c r="F7" s="460" t="s">
        <v>297</v>
      </c>
      <c r="G7" s="460" t="s">
        <v>308</v>
      </c>
      <c r="H7" s="460" t="s">
        <v>321</v>
      </c>
      <c r="I7" s="460" t="s">
        <v>309</v>
      </c>
      <c r="J7" s="460" t="s">
        <v>310</v>
      </c>
      <c r="K7" s="460" t="s">
        <v>311</v>
      </c>
      <c r="L7" s="463">
        <v>179.65</v>
      </c>
      <c r="M7" s="463">
        <v>179.65</v>
      </c>
      <c r="N7" s="460">
        <v>1</v>
      </c>
      <c r="O7" s="464">
        <v>0.5</v>
      </c>
      <c r="P7" s="463">
        <v>179.65</v>
      </c>
      <c r="Q7" s="465">
        <v>1</v>
      </c>
      <c r="R7" s="460">
        <v>1</v>
      </c>
      <c r="S7" s="465">
        <v>1</v>
      </c>
      <c r="T7" s="464">
        <v>0.5</v>
      </c>
      <c r="U7" s="122">
        <v>1</v>
      </c>
    </row>
    <row r="8" spans="1:21" ht="14.45" customHeight="1" x14ac:dyDescent="0.2">
      <c r="A8" s="466">
        <v>57</v>
      </c>
      <c r="B8" s="467" t="s">
        <v>296</v>
      </c>
      <c r="C8" s="467" t="s">
        <v>300</v>
      </c>
      <c r="D8" s="468" t="s">
        <v>320</v>
      </c>
      <c r="E8" s="469" t="s">
        <v>307</v>
      </c>
      <c r="F8" s="467" t="s">
        <v>297</v>
      </c>
      <c r="G8" s="467" t="s">
        <v>308</v>
      </c>
      <c r="H8" s="467" t="s">
        <v>321</v>
      </c>
      <c r="I8" s="467" t="s">
        <v>312</v>
      </c>
      <c r="J8" s="467" t="s">
        <v>313</v>
      </c>
      <c r="K8" s="467" t="s">
        <v>314</v>
      </c>
      <c r="L8" s="470">
        <v>233.96</v>
      </c>
      <c r="M8" s="470">
        <v>233.96</v>
      </c>
      <c r="N8" s="467">
        <v>1</v>
      </c>
      <c r="O8" s="471">
        <v>0.5</v>
      </c>
      <c r="P8" s="470">
        <v>233.96</v>
      </c>
      <c r="Q8" s="472">
        <v>1</v>
      </c>
      <c r="R8" s="467">
        <v>1</v>
      </c>
      <c r="S8" s="472">
        <v>1</v>
      </c>
      <c r="T8" s="471">
        <v>0.5</v>
      </c>
      <c r="U8" s="473">
        <v>1</v>
      </c>
    </row>
    <row r="9" spans="1:21" ht="14.45" customHeight="1" x14ac:dyDescent="0.2">
      <c r="A9" s="466">
        <v>57</v>
      </c>
      <c r="B9" s="467" t="s">
        <v>296</v>
      </c>
      <c r="C9" s="467" t="s">
        <v>300</v>
      </c>
      <c r="D9" s="468" t="s">
        <v>320</v>
      </c>
      <c r="E9" s="469" t="s">
        <v>307</v>
      </c>
      <c r="F9" s="467" t="s">
        <v>297</v>
      </c>
      <c r="G9" s="467" t="s">
        <v>308</v>
      </c>
      <c r="H9" s="467" t="s">
        <v>236</v>
      </c>
      <c r="I9" s="467" t="s">
        <v>315</v>
      </c>
      <c r="J9" s="467" t="s">
        <v>316</v>
      </c>
      <c r="K9" s="467" t="s">
        <v>317</v>
      </c>
      <c r="L9" s="470">
        <v>238.89</v>
      </c>
      <c r="M9" s="470">
        <v>238.89</v>
      </c>
      <c r="N9" s="467">
        <v>1</v>
      </c>
      <c r="O9" s="471">
        <v>0.5</v>
      </c>
      <c r="P9" s="470"/>
      <c r="Q9" s="472">
        <v>0</v>
      </c>
      <c r="R9" s="467"/>
      <c r="S9" s="472">
        <v>0</v>
      </c>
      <c r="T9" s="471"/>
      <c r="U9" s="473">
        <v>0</v>
      </c>
    </row>
    <row r="10" spans="1:21" ht="14.45" customHeight="1" thickBot="1" x14ac:dyDescent="0.25">
      <c r="A10" s="474">
        <v>57</v>
      </c>
      <c r="B10" s="475" t="s">
        <v>296</v>
      </c>
      <c r="C10" s="475" t="s">
        <v>300</v>
      </c>
      <c r="D10" s="476" t="s">
        <v>320</v>
      </c>
      <c r="E10" s="477" t="s">
        <v>307</v>
      </c>
      <c r="F10" s="475" t="s">
        <v>297</v>
      </c>
      <c r="G10" s="475" t="s">
        <v>308</v>
      </c>
      <c r="H10" s="475" t="s">
        <v>321</v>
      </c>
      <c r="I10" s="475" t="s">
        <v>318</v>
      </c>
      <c r="J10" s="475" t="s">
        <v>319</v>
      </c>
      <c r="K10" s="475" t="s">
        <v>311</v>
      </c>
      <c r="L10" s="478">
        <v>179.65</v>
      </c>
      <c r="M10" s="478">
        <v>179.65</v>
      </c>
      <c r="N10" s="475">
        <v>1</v>
      </c>
      <c r="O10" s="479">
        <v>0.5</v>
      </c>
      <c r="P10" s="478"/>
      <c r="Q10" s="480">
        <v>0</v>
      </c>
      <c r="R10" s="475"/>
      <c r="S10" s="480">
        <v>0</v>
      </c>
      <c r="T10" s="479"/>
      <c r="U10" s="48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E03C513-2AED-49E1-80AD-198CAC95025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323</v>
      </c>
      <c r="B1" s="342"/>
      <c r="C1" s="342"/>
      <c r="D1" s="342"/>
      <c r="E1" s="342"/>
      <c r="F1" s="342"/>
    </row>
    <row r="2" spans="1:6" ht="14.45" customHeight="1" thickBot="1" x14ac:dyDescent="0.25">
      <c r="A2" s="231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2" t="s">
        <v>155</v>
      </c>
      <c r="B4" s="483" t="s">
        <v>13</v>
      </c>
      <c r="C4" s="484" t="s">
        <v>2</v>
      </c>
      <c r="D4" s="483" t="s">
        <v>13</v>
      </c>
      <c r="E4" s="484" t="s">
        <v>2</v>
      </c>
      <c r="F4" s="485" t="s">
        <v>13</v>
      </c>
    </row>
    <row r="5" spans="1:6" ht="14.45" customHeight="1" thickBot="1" x14ac:dyDescent="0.25">
      <c r="A5" s="496" t="s">
        <v>307</v>
      </c>
      <c r="B5" s="486">
        <v>238.89</v>
      </c>
      <c r="C5" s="487">
        <v>0.28707564741933544</v>
      </c>
      <c r="D5" s="486">
        <v>593.26</v>
      </c>
      <c r="E5" s="487">
        <v>0.71292435258066456</v>
      </c>
      <c r="F5" s="488">
        <v>832.15</v>
      </c>
    </row>
    <row r="6" spans="1:6" ht="14.45" customHeight="1" thickBot="1" x14ac:dyDescent="0.25">
      <c r="A6" s="492" t="s">
        <v>3</v>
      </c>
      <c r="B6" s="493">
        <v>238.89</v>
      </c>
      <c r="C6" s="494">
        <v>0.28707564741933544</v>
      </c>
      <c r="D6" s="493">
        <v>593.26</v>
      </c>
      <c r="E6" s="494">
        <v>0.71292435258066456</v>
      </c>
      <c r="F6" s="495">
        <v>832.15</v>
      </c>
    </row>
    <row r="7" spans="1:6" ht="14.45" customHeight="1" thickBot="1" x14ac:dyDescent="0.25"/>
    <row r="8" spans="1:6" ht="14.45" customHeight="1" thickBot="1" x14ac:dyDescent="0.25">
      <c r="A8" s="496" t="s">
        <v>324</v>
      </c>
      <c r="B8" s="486">
        <v>238.89</v>
      </c>
      <c r="C8" s="487">
        <v>0.28707564741933544</v>
      </c>
      <c r="D8" s="486">
        <v>593.26</v>
      </c>
      <c r="E8" s="487">
        <v>0.71292435258066456</v>
      </c>
      <c r="F8" s="488">
        <v>832.15</v>
      </c>
    </row>
    <row r="9" spans="1:6" ht="14.45" customHeight="1" thickBot="1" x14ac:dyDescent="0.25">
      <c r="A9" s="492" t="s">
        <v>3</v>
      </c>
      <c r="B9" s="493">
        <v>238.89</v>
      </c>
      <c r="C9" s="494">
        <v>0.28707564741933544</v>
      </c>
      <c r="D9" s="493">
        <v>593.26</v>
      </c>
      <c r="E9" s="494">
        <v>0.71292435258066456</v>
      </c>
      <c r="F9" s="495">
        <v>832.15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{5068D49A-1214-47E6-BD7B-90AA4D413E56}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{D113B7C4-6B69-4FDB-B780-684C879E6F72}</x14:id>
        </ext>
      </extLst>
    </cfRule>
  </conditionalFormatting>
  <hyperlinks>
    <hyperlink ref="A2" location="Obsah!A1" display="Zpět na Obsah  KL 01  1.-4.měsíc" xr:uid="{1DEA6AA3-5EB0-4610-82DB-58376F72637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68D49A-1214-47E6-BD7B-90AA4D413E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113B7C4-6B69-4FDB-B780-684C879E6F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42" t="s">
        <v>326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1" t="s">
        <v>235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124</v>
      </c>
      <c r="F3" s="43">
        <f>SUBTOTAL(9,F6:F1048576)</f>
        <v>1</v>
      </c>
      <c r="G3" s="43">
        <f>SUBTOTAL(9,G6:G1048576)</f>
        <v>238.89</v>
      </c>
      <c r="H3" s="44">
        <f>IF(M3=0,0,G3/M3)</f>
        <v>0.28707564741933544</v>
      </c>
      <c r="I3" s="43">
        <f>SUBTOTAL(9,I6:I1048576)</f>
        <v>3</v>
      </c>
      <c r="J3" s="43">
        <f>SUBTOTAL(9,J6:J1048576)</f>
        <v>593.26</v>
      </c>
      <c r="K3" s="44">
        <f>IF(M3=0,0,J3/M3)</f>
        <v>0.71292435258066456</v>
      </c>
      <c r="L3" s="43">
        <f>SUBTOTAL(9,L6:L1048576)</f>
        <v>4</v>
      </c>
      <c r="M3" s="45">
        <f>SUBTOTAL(9,M6:M1048576)</f>
        <v>832.15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2" t="s">
        <v>131</v>
      </c>
      <c r="B5" s="498" t="s">
        <v>127</v>
      </c>
      <c r="C5" s="498" t="s">
        <v>69</v>
      </c>
      <c r="D5" s="498" t="s">
        <v>128</v>
      </c>
      <c r="E5" s="498" t="s">
        <v>129</v>
      </c>
      <c r="F5" s="499" t="s">
        <v>27</v>
      </c>
      <c r="G5" s="499" t="s">
        <v>13</v>
      </c>
      <c r="H5" s="484" t="s">
        <v>130</v>
      </c>
      <c r="I5" s="483" t="s">
        <v>27</v>
      </c>
      <c r="J5" s="499" t="s">
        <v>13</v>
      </c>
      <c r="K5" s="484" t="s">
        <v>130</v>
      </c>
      <c r="L5" s="483" t="s">
        <v>27</v>
      </c>
      <c r="M5" s="500" t="s">
        <v>13</v>
      </c>
    </row>
    <row r="6" spans="1:13" ht="14.45" customHeight="1" x14ac:dyDescent="0.2">
      <c r="A6" s="459" t="s">
        <v>307</v>
      </c>
      <c r="B6" s="460" t="s">
        <v>325</v>
      </c>
      <c r="C6" s="460" t="s">
        <v>309</v>
      </c>
      <c r="D6" s="460" t="s">
        <v>310</v>
      </c>
      <c r="E6" s="460" t="s">
        <v>311</v>
      </c>
      <c r="F6" s="116"/>
      <c r="G6" s="116"/>
      <c r="H6" s="465">
        <v>0</v>
      </c>
      <c r="I6" s="116">
        <v>1</v>
      </c>
      <c r="J6" s="116">
        <v>179.65</v>
      </c>
      <c r="K6" s="465">
        <v>1</v>
      </c>
      <c r="L6" s="116">
        <v>1</v>
      </c>
      <c r="M6" s="489">
        <v>179.65</v>
      </c>
    </row>
    <row r="7" spans="1:13" ht="14.45" customHeight="1" x14ac:dyDescent="0.2">
      <c r="A7" s="466" t="s">
        <v>307</v>
      </c>
      <c r="B7" s="467" t="s">
        <v>325</v>
      </c>
      <c r="C7" s="467" t="s">
        <v>312</v>
      </c>
      <c r="D7" s="467" t="s">
        <v>313</v>
      </c>
      <c r="E7" s="467" t="s">
        <v>314</v>
      </c>
      <c r="F7" s="501"/>
      <c r="G7" s="501"/>
      <c r="H7" s="472">
        <v>0</v>
      </c>
      <c r="I7" s="501">
        <v>1</v>
      </c>
      <c r="J7" s="501">
        <v>233.96</v>
      </c>
      <c r="K7" s="472">
        <v>1</v>
      </c>
      <c r="L7" s="501">
        <v>1</v>
      </c>
      <c r="M7" s="502">
        <v>233.96</v>
      </c>
    </row>
    <row r="8" spans="1:13" ht="14.45" customHeight="1" x14ac:dyDescent="0.2">
      <c r="A8" s="466" t="s">
        <v>307</v>
      </c>
      <c r="B8" s="467" t="s">
        <v>325</v>
      </c>
      <c r="C8" s="467" t="s">
        <v>315</v>
      </c>
      <c r="D8" s="467" t="s">
        <v>316</v>
      </c>
      <c r="E8" s="467" t="s">
        <v>317</v>
      </c>
      <c r="F8" s="501">
        <v>1</v>
      </c>
      <c r="G8" s="501">
        <v>238.89</v>
      </c>
      <c r="H8" s="472">
        <v>1</v>
      </c>
      <c r="I8" s="501"/>
      <c r="J8" s="501"/>
      <c r="K8" s="472">
        <v>0</v>
      </c>
      <c r="L8" s="501">
        <v>1</v>
      </c>
      <c r="M8" s="502">
        <v>238.89</v>
      </c>
    </row>
    <row r="9" spans="1:13" ht="14.45" customHeight="1" thickBot="1" x14ac:dyDescent="0.25">
      <c r="A9" s="474" t="s">
        <v>307</v>
      </c>
      <c r="B9" s="475" t="s">
        <v>325</v>
      </c>
      <c r="C9" s="475" t="s">
        <v>318</v>
      </c>
      <c r="D9" s="475" t="s">
        <v>319</v>
      </c>
      <c r="E9" s="475" t="s">
        <v>311</v>
      </c>
      <c r="F9" s="490"/>
      <c r="G9" s="490"/>
      <c r="H9" s="480">
        <v>0</v>
      </c>
      <c r="I9" s="490">
        <v>1</v>
      </c>
      <c r="J9" s="490">
        <v>179.65</v>
      </c>
      <c r="K9" s="480">
        <v>1</v>
      </c>
      <c r="L9" s="490">
        <v>1</v>
      </c>
      <c r="M9" s="491">
        <v>179.65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9B6B225-7966-417E-B015-AF378331F27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1" t="s">
        <v>235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58"/>
      <c r="C3" s="237">
        <v>2019</v>
      </c>
      <c r="D3" s="238">
        <v>2020</v>
      </c>
      <c r="E3" s="7"/>
      <c r="F3" s="314">
        <v>2021</v>
      </c>
      <c r="G3" s="332"/>
      <c r="H3" s="332"/>
      <c r="I3" s="315"/>
    </row>
    <row r="4" spans="1:10" ht="14.45" customHeight="1" thickBot="1" x14ac:dyDescent="0.25">
      <c r="A4" s="242" t="s">
        <v>0</v>
      </c>
      <c r="B4" s="243" t="s">
        <v>172</v>
      </c>
      <c r="C4" s="333" t="s">
        <v>71</v>
      </c>
      <c r="D4" s="334"/>
      <c r="E4" s="244"/>
      <c r="F4" s="239" t="s">
        <v>71</v>
      </c>
      <c r="G4" s="240" t="s">
        <v>72</v>
      </c>
      <c r="H4" s="240" t="s">
        <v>66</v>
      </c>
      <c r="I4" s="241" t="s">
        <v>73</v>
      </c>
    </row>
    <row r="5" spans="1:10" ht="14.45" customHeight="1" x14ac:dyDescent="0.2">
      <c r="A5" s="434" t="s">
        <v>298</v>
      </c>
      <c r="B5" s="435" t="s">
        <v>327</v>
      </c>
      <c r="C5" s="503" t="s">
        <v>236</v>
      </c>
      <c r="D5" s="503" t="s">
        <v>236</v>
      </c>
      <c r="E5" s="503"/>
      <c r="F5" s="503" t="s">
        <v>236</v>
      </c>
      <c r="G5" s="503" t="s">
        <v>236</v>
      </c>
      <c r="H5" s="503" t="s">
        <v>236</v>
      </c>
      <c r="I5" s="504" t="s">
        <v>236</v>
      </c>
      <c r="J5" s="436" t="s">
        <v>67</v>
      </c>
    </row>
    <row r="6" spans="1:10" ht="14.45" customHeight="1" x14ac:dyDescent="0.2">
      <c r="A6" s="434" t="s">
        <v>298</v>
      </c>
      <c r="B6" s="435" t="s">
        <v>328</v>
      </c>
      <c r="C6" s="503">
        <v>147.9373800000001</v>
      </c>
      <c r="D6" s="503">
        <v>242.53563</v>
      </c>
      <c r="E6" s="503"/>
      <c r="F6" s="503">
        <v>196.12011000000012</v>
      </c>
      <c r="G6" s="503">
        <v>0</v>
      </c>
      <c r="H6" s="503">
        <v>196.12011000000012</v>
      </c>
      <c r="I6" s="504" t="s">
        <v>236</v>
      </c>
      <c r="J6" s="436" t="s">
        <v>1</v>
      </c>
    </row>
    <row r="7" spans="1:10" ht="14.45" customHeight="1" x14ac:dyDescent="0.2">
      <c r="A7" s="434" t="s">
        <v>298</v>
      </c>
      <c r="B7" s="435" t="s">
        <v>329</v>
      </c>
      <c r="C7" s="503">
        <v>535.39712000000054</v>
      </c>
      <c r="D7" s="503">
        <v>681.3212000000002</v>
      </c>
      <c r="E7" s="503"/>
      <c r="F7" s="503">
        <v>425.77717999999953</v>
      </c>
      <c r="G7" s="503">
        <v>0</v>
      </c>
      <c r="H7" s="503">
        <v>425.77717999999953</v>
      </c>
      <c r="I7" s="504" t="s">
        <v>236</v>
      </c>
      <c r="J7" s="436" t="s">
        <v>1</v>
      </c>
    </row>
    <row r="8" spans="1:10" ht="14.45" customHeight="1" x14ac:dyDescent="0.2">
      <c r="A8" s="434" t="s">
        <v>298</v>
      </c>
      <c r="B8" s="435" t="s">
        <v>330</v>
      </c>
      <c r="C8" s="503">
        <v>399.53868999999958</v>
      </c>
      <c r="D8" s="503">
        <v>540.3120899999999</v>
      </c>
      <c r="E8" s="503"/>
      <c r="F8" s="503">
        <v>633.07954999999981</v>
      </c>
      <c r="G8" s="503">
        <v>0</v>
      </c>
      <c r="H8" s="503">
        <v>633.07954999999981</v>
      </c>
      <c r="I8" s="504" t="s">
        <v>236</v>
      </c>
      <c r="J8" s="436" t="s">
        <v>1</v>
      </c>
    </row>
    <row r="9" spans="1:10" ht="14.45" customHeight="1" x14ac:dyDescent="0.2">
      <c r="A9" s="434" t="s">
        <v>298</v>
      </c>
      <c r="B9" s="435" t="s">
        <v>331</v>
      </c>
      <c r="C9" s="503">
        <v>23.766050000000003</v>
      </c>
      <c r="D9" s="503">
        <v>42.872310000000013</v>
      </c>
      <c r="E9" s="503"/>
      <c r="F9" s="503">
        <v>52.673690000000001</v>
      </c>
      <c r="G9" s="503">
        <v>0</v>
      </c>
      <c r="H9" s="503">
        <v>52.673690000000001</v>
      </c>
      <c r="I9" s="504" t="s">
        <v>236</v>
      </c>
      <c r="J9" s="436" t="s">
        <v>1</v>
      </c>
    </row>
    <row r="10" spans="1:10" ht="14.45" customHeight="1" x14ac:dyDescent="0.2">
      <c r="A10" s="434" t="s">
        <v>298</v>
      </c>
      <c r="B10" s="435" t="s">
        <v>332</v>
      </c>
      <c r="C10" s="503">
        <v>56.115499999999976</v>
      </c>
      <c r="D10" s="503">
        <v>83.446799999999982</v>
      </c>
      <c r="E10" s="503"/>
      <c r="F10" s="503">
        <v>160.29074</v>
      </c>
      <c r="G10" s="503">
        <v>0</v>
      </c>
      <c r="H10" s="503">
        <v>160.29074</v>
      </c>
      <c r="I10" s="504" t="s">
        <v>236</v>
      </c>
      <c r="J10" s="436" t="s">
        <v>1</v>
      </c>
    </row>
    <row r="11" spans="1:10" ht="14.45" customHeight="1" x14ac:dyDescent="0.2">
      <c r="A11" s="434" t="s">
        <v>298</v>
      </c>
      <c r="B11" s="435" t="s">
        <v>333</v>
      </c>
      <c r="C11" s="503">
        <v>0</v>
      </c>
      <c r="D11" s="503">
        <v>9.2585099999999994</v>
      </c>
      <c r="E11" s="503"/>
      <c r="F11" s="503">
        <v>21.267040000000001</v>
      </c>
      <c r="G11" s="503">
        <v>0</v>
      </c>
      <c r="H11" s="503">
        <v>21.267040000000001</v>
      </c>
      <c r="I11" s="504" t="s">
        <v>236</v>
      </c>
      <c r="J11" s="436" t="s">
        <v>1</v>
      </c>
    </row>
    <row r="12" spans="1:10" ht="14.45" customHeight="1" x14ac:dyDescent="0.2">
      <c r="A12" s="434" t="s">
        <v>298</v>
      </c>
      <c r="B12" s="435" t="s">
        <v>334</v>
      </c>
      <c r="C12" s="503">
        <v>0</v>
      </c>
      <c r="D12" s="503">
        <v>0</v>
      </c>
      <c r="E12" s="503"/>
      <c r="F12" s="503">
        <v>0</v>
      </c>
      <c r="G12" s="503">
        <v>0</v>
      </c>
      <c r="H12" s="503">
        <v>0</v>
      </c>
      <c r="I12" s="504" t="s">
        <v>236</v>
      </c>
      <c r="J12" s="436" t="s">
        <v>1</v>
      </c>
    </row>
    <row r="13" spans="1:10" ht="14.45" customHeight="1" x14ac:dyDescent="0.2">
      <c r="A13" s="434" t="s">
        <v>298</v>
      </c>
      <c r="B13" s="435" t="s">
        <v>335</v>
      </c>
      <c r="C13" s="503">
        <v>0</v>
      </c>
      <c r="D13" s="503">
        <v>0</v>
      </c>
      <c r="E13" s="503"/>
      <c r="F13" s="503">
        <v>0.36899999999999999</v>
      </c>
      <c r="G13" s="503">
        <v>0</v>
      </c>
      <c r="H13" s="503">
        <v>0.36899999999999999</v>
      </c>
      <c r="I13" s="504" t="s">
        <v>236</v>
      </c>
      <c r="J13" s="436" t="s">
        <v>1</v>
      </c>
    </row>
    <row r="14" spans="1:10" ht="14.45" customHeight="1" x14ac:dyDescent="0.2">
      <c r="A14" s="434" t="s">
        <v>298</v>
      </c>
      <c r="B14" s="435" t="s">
        <v>336</v>
      </c>
      <c r="C14" s="503">
        <v>1162.7547400000001</v>
      </c>
      <c r="D14" s="503">
        <v>1599.7465399999999</v>
      </c>
      <c r="E14" s="503"/>
      <c r="F14" s="503">
        <v>1489.5773099999992</v>
      </c>
      <c r="G14" s="503">
        <v>0</v>
      </c>
      <c r="H14" s="503">
        <v>1489.5773099999992</v>
      </c>
      <c r="I14" s="504" t="s">
        <v>236</v>
      </c>
      <c r="J14" s="436" t="s">
        <v>299</v>
      </c>
    </row>
    <row r="16" spans="1:10" ht="14.45" customHeight="1" x14ac:dyDescent="0.2">
      <c r="A16" s="434" t="s">
        <v>298</v>
      </c>
      <c r="B16" s="435" t="s">
        <v>327</v>
      </c>
      <c r="C16" s="503" t="s">
        <v>236</v>
      </c>
      <c r="D16" s="503" t="s">
        <v>236</v>
      </c>
      <c r="E16" s="503"/>
      <c r="F16" s="503" t="s">
        <v>236</v>
      </c>
      <c r="G16" s="503" t="s">
        <v>236</v>
      </c>
      <c r="H16" s="503" t="s">
        <v>236</v>
      </c>
      <c r="I16" s="504" t="s">
        <v>236</v>
      </c>
      <c r="J16" s="436" t="s">
        <v>67</v>
      </c>
    </row>
    <row r="17" spans="1:10" ht="14.45" customHeight="1" x14ac:dyDescent="0.2">
      <c r="A17" s="434" t="s">
        <v>337</v>
      </c>
      <c r="B17" s="435" t="s">
        <v>338</v>
      </c>
      <c r="C17" s="503" t="s">
        <v>236</v>
      </c>
      <c r="D17" s="503" t="s">
        <v>236</v>
      </c>
      <c r="E17" s="503"/>
      <c r="F17" s="503" t="s">
        <v>236</v>
      </c>
      <c r="G17" s="503" t="s">
        <v>236</v>
      </c>
      <c r="H17" s="503" t="s">
        <v>236</v>
      </c>
      <c r="I17" s="504" t="s">
        <v>236</v>
      </c>
      <c r="J17" s="436" t="s">
        <v>0</v>
      </c>
    </row>
    <row r="18" spans="1:10" ht="14.45" customHeight="1" x14ac:dyDescent="0.2">
      <c r="A18" s="434" t="s">
        <v>337</v>
      </c>
      <c r="B18" s="435" t="s">
        <v>328</v>
      </c>
      <c r="C18" s="503">
        <v>147.9373800000001</v>
      </c>
      <c r="D18" s="503">
        <v>242.53563</v>
      </c>
      <c r="E18" s="503"/>
      <c r="F18" s="503">
        <v>196.12011000000012</v>
      </c>
      <c r="G18" s="503">
        <v>0</v>
      </c>
      <c r="H18" s="503">
        <v>196.12011000000012</v>
      </c>
      <c r="I18" s="504" t="s">
        <v>236</v>
      </c>
      <c r="J18" s="436" t="s">
        <v>1</v>
      </c>
    </row>
    <row r="19" spans="1:10" ht="14.45" customHeight="1" x14ac:dyDescent="0.2">
      <c r="A19" s="434" t="s">
        <v>337</v>
      </c>
      <c r="B19" s="435" t="s">
        <v>329</v>
      </c>
      <c r="C19" s="503">
        <v>535.39712000000054</v>
      </c>
      <c r="D19" s="503">
        <v>681.3212000000002</v>
      </c>
      <c r="E19" s="503"/>
      <c r="F19" s="503">
        <v>425.77717999999953</v>
      </c>
      <c r="G19" s="503">
        <v>0</v>
      </c>
      <c r="H19" s="503">
        <v>425.77717999999953</v>
      </c>
      <c r="I19" s="504" t="s">
        <v>236</v>
      </c>
      <c r="J19" s="436" t="s">
        <v>1</v>
      </c>
    </row>
    <row r="20" spans="1:10" ht="14.45" customHeight="1" x14ac:dyDescent="0.2">
      <c r="A20" s="434" t="s">
        <v>337</v>
      </c>
      <c r="B20" s="435" t="s">
        <v>330</v>
      </c>
      <c r="C20" s="503">
        <v>399.53868999999958</v>
      </c>
      <c r="D20" s="503">
        <v>540.3120899999999</v>
      </c>
      <c r="E20" s="503"/>
      <c r="F20" s="503">
        <v>633.07954999999981</v>
      </c>
      <c r="G20" s="503">
        <v>0</v>
      </c>
      <c r="H20" s="503">
        <v>633.07954999999981</v>
      </c>
      <c r="I20" s="504" t="s">
        <v>236</v>
      </c>
      <c r="J20" s="436" t="s">
        <v>1</v>
      </c>
    </row>
    <row r="21" spans="1:10" ht="14.45" customHeight="1" x14ac:dyDescent="0.2">
      <c r="A21" s="434" t="s">
        <v>337</v>
      </c>
      <c r="B21" s="435" t="s">
        <v>331</v>
      </c>
      <c r="C21" s="503">
        <v>23.766050000000003</v>
      </c>
      <c r="D21" s="503">
        <v>42.872310000000013</v>
      </c>
      <c r="E21" s="503"/>
      <c r="F21" s="503">
        <v>52.673690000000001</v>
      </c>
      <c r="G21" s="503">
        <v>0</v>
      </c>
      <c r="H21" s="503">
        <v>52.673690000000001</v>
      </c>
      <c r="I21" s="504" t="s">
        <v>236</v>
      </c>
      <c r="J21" s="436" t="s">
        <v>1</v>
      </c>
    </row>
    <row r="22" spans="1:10" ht="14.45" customHeight="1" x14ac:dyDescent="0.2">
      <c r="A22" s="434" t="s">
        <v>337</v>
      </c>
      <c r="B22" s="435" t="s">
        <v>332</v>
      </c>
      <c r="C22" s="503">
        <v>56.115499999999976</v>
      </c>
      <c r="D22" s="503">
        <v>83.446799999999982</v>
      </c>
      <c r="E22" s="503"/>
      <c r="F22" s="503">
        <v>160.29074</v>
      </c>
      <c r="G22" s="503">
        <v>0</v>
      </c>
      <c r="H22" s="503">
        <v>160.29074</v>
      </c>
      <c r="I22" s="504" t="s">
        <v>236</v>
      </c>
      <c r="J22" s="436" t="s">
        <v>1</v>
      </c>
    </row>
    <row r="23" spans="1:10" ht="14.45" customHeight="1" x14ac:dyDescent="0.2">
      <c r="A23" s="434" t="s">
        <v>337</v>
      </c>
      <c r="B23" s="435" t="s">
        <v>333</v>
      </c>
      <c r="C23" s="503">
        <v>0</v>
      </c>
      <c r="D23" s="503">
        <v>9.2585099999999994</v>
      </c>
      <c r="E23" s="503"/>
      <c r="F23" s="503">
        <v>21.267040000000001</v>
      </c>
      <c r="G23" s="503">
        <v>0</v>
      </c>
      <c r="H23" s="503">
        <v>21.267040000000001</v>
      </c>
      <c r="I23" s="504" t="s">
        <v>236</v>
      </c>
      <c r="J23" s="436" t="s">
        <v>1</v>
      </c>
    </row>
    <row r="24" spans="1:10" ht="14.45" customHeight="1" x14ac:dyDescent="0.2">
      <c r="A24" s="434" t="s">
        <v>337</v>
      </c>
      <c r="B24" s="435" t="s">
        <v>334</v>
      </c>
      <c r="C24" s="503">
        <v>0</v>
      </c>
      <c r="D24" s="503">
        <v>0</v>
      </c>
      <c r="E24" s="503"/>
      <c r="F24" s="503">
        <v>0</v>
      </c>
      <c r="G24" s="503">
        <v>0</v>
      </c>
      <c r="H24" s="503">
        <v>0</v>
      </c>
      <c r="I24" s="504" t="s">
        <v>236</v>
      </c>
      <c r="J24" s="436" t="s">
        <v>1</v>
      </c>
    </row>
    <row r="25" spans="1:10" ht="14.45" customHeight="1" x14ac:dyDescent="0.2">
      <c r="A25" s="434" t="s">
        <v>337</v>
      </c>
      <c r="B25" s="435" t="s">
        <v>335</v>
      </c>
      <c r="C25" s="503">
        <v>0</v>
      </c>
      <c r="D25" s="503">
        <v>0</v>
      </c>
      <c r="E25" s="503"/>
      <c r="F25" s="503">
        <v>0.36899999999999999</v>
      </c>
      <c r="G25" s="503">
        <v>0</v>
      </c>
      <c r="H25" s="503">
        <v>0.36899999999999999</v>
      </c>
      <c r="I25" s="504" t="s">
        <v>236</v>
      </c>
      <c r="J25" s="436" t="s">
        <v>1</v>
      </c>
    </row>
    <row r="26" spans="1:10" ht="14.45" customHeight="1" x14ac:dyDescent="0.2">
      <c r="A26" s="434" t="s">
        <v>337</v>
      </c>
      <c r="B26" s="435" t="s">
        <v>339</v>
      </c>
      <c r="C26" s="503">
        <v>1162.7547400000001</v>
      </c>
      <c r="D26" s="503">
        <v>1599.7465399999999</v>
      </c>
      <c r="E26" s="503"/>
      <c r="F26" s="503">
        <v>1489.5773099999992</v>
      </c>
      <c r="G26" s="503">
        <v>0</v>
      </c>
      <c r="H26" s="503">
        <v>1489.5773099999992</v>
      </c>
      <c r="I26" s="504" t="s">
        <v>236</v>
      </c>
      <c r="J26" s="436" t="s">
        <v>302</v>
      </c>
    </row>
    <row r="27" spans="1:10" ht="14.45" customHeight="1" x14ac:dyDescent="0.2">
      <c r="A27" s="434" t="s">
        <v>236</v>
      </c>
      <c r="B27" s="435" t="s">
        <v>236</v>
      </c>
      <c r="C27" s="503" t="s">
        <v>236</v>
      </c>
      <c r="D27" s="503" t="s">
        <v>236</v>
      </c>
      <c r="E27" s="503"/>
      <c r="F27" s="503" t="s">
        <v>236</v>
      </c>
      <c r="G27" s="503" t="s">
        <v>236</v>
      </c>
      <c r="H27" s="503" t="s">
        <v>236</v>
      </c>
      <c r="I27" s="504" t="s">
        <v>236</v>
      </c>
      <c r="J27" s="436" t="s">
        <v>303</v>
      </c>
    </row>
    <row r="28" spans="1:10" ht="14.45" customHeight="1" x14ac:dyDescent="0.2">
      <c r="A28" s="434" t="s">
        <v>298</v>
      </c>
      <c r="B28" s="435" t="s">
        <v>336</v>
      </c>
      <c r="C28" s="503">
        <v>1162.7547400000001</v>
      </c>
      <c r="D28" s="503">
        <v>1599.7465399999999</v>
      </c>
      <c r="E28" s="503"/>
      <c r="F28" s="503">
        <v>1489.5773099999992</v>
      </c>
      <c r="G28" s="503">
        <v>0</v>
      </c>
      <c r="H28" s="503">
        <v>1489.5773099999992</v>
      </c>
      <c r="I28" s="504" t="s">
        <v>236</v>
      </c>
      <c r="J28" s="436" t="s">
        <v>299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113E2720-ECEC-4A4E-A95E-96EB57E3E6F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40" t="s">
        <v>537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1" t="s">
        <v>235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14.483570626610401</v>
      </c>
      <c r="J3" s="98">
        <f>SUBTOTAL(9,J5:J1048576)</f>
        <v>102846</v>
      </c>
      <c r="K3" s="99">
        <f>SUBTOTAL(9,K5:K1048576)</f>
        <v>1489577.3046643734</v>
      </c>
    </row>
    <row r="4" spans="1:11" s="207" customFormat="1" ht="14.45" customHeight="1" thickBot="1" x14ac:dyDescent="0.25">
      <c r="A4" s="505" t="s">
        <v>4</v>
      </c>
      <c r="B4" s="506" t="s">
        <v>5</v>
      </c>
      <c r="C4" s="506" t="s">
        <v>0</v>
      </c>
      <c r="D4" s="506" t="s">
        <v>6</v>
      </c>
      <c r="E4" s="506" t="s">
        <v>7</v>
      </c>
      <c r="F4" s="506" t="s">
        <v>1</v>
      </c>
      <c r="G4" s="506" t="s">
        <v>69</v>
      </c>
      <c r="H4" s="507" t="s">
        <v>10</v>
      </c>
      <c r="I4" s="508" t="s">
        <v>137</v>
      </c>
      <c r="J4" s="508" t="s">
        <v>12</v>
      </c>
      <c r="K4" s="509" t="s">
        <v>151</v>
      </c>
    </row>
    <row r="5" spans="1:11" ht="14.45" customHeight="1" x14ac:dyDescent="0.2">
      <c r="A5" s="459" t="s">
        <v>298</v>
      </c>
      <c r="B5" s="460" t="s">
        <v>327</v>
      </c>
      <c r="C5" s="463" t="s">
        <v>337</v>
      </c>
      <c r="D5" s="510" t="s">
        <v>338</v>
      </c>
      <c r="E5" s="463" t="s">
        <v>340</v>
      </c>
      <c r="F5" s="510" t="s">
        <v>341</v>
      </c>
      <c r="G5" s="463" t="s">
        <v>342</v>
      </c>
      <c r="H5" s="463" t="s">
        <v>343</v>
      </c>
      <c r="I5" s="116">
        <v>74.75</v>
      </c>
      <c r="J5" s="116">
        <v>400</v>
      </c>
      <c r="K5" s="489">
        <v>29900</v>
      </c>
    </row>
    <row r="6" spans="1:11" ht="14.45" customHeight="1" x14ac:dyDescent="0.2">
      <c r="A6" s="466" t="s">
        <v>298</v>
      </c>
      <c r="B6" s="467" t="s">
        <v>327</v>
      </c>
      <c r="C6" s="470" t="s">
        <v>337</v>
      </c>
      <c r="D6" s="511" t="s">
        <v>338</v>
      </c>
      <c r="E6" s="470" t="s">
        <v>340</v>
      </c>
      <c r="F6" s="511" t="s">
        <v>341</v>
      </c>
      <c r="G6" s="470" t="s">
        <v>344</v>
      </c>
      <c r="H6" s="470" t="s">
        <v>345</v>
      </c>
      <c r="I6" s="501">
        <v>1.012499988079071</v>
      </c>
      <c r="J6" s="501">
        <v>1008</v>
      </c>
      <c r="K6" s="502">
        <v>1018.1599998474121</v>
      </c>
    </row>
    <row r="7" spans="1:11" ht="14.45" customHeight="1" x14ac:dyDescent="0.2">
      <c r="A7" s="466" t="s">
        <v>298</v>
      </c>
      <c r="B7" s="467" t="s">
        <v>327</v>
      </c>
      <c r="C7" s="470" t="s">
        <v>337</v>
      </c>
      <c r="D7" s="511" t="s">
        <v>338</v>
      </c>
      <c r="E7" s="470" t="s">
        <v>340</v>
      </c>
      <c r="F7" s="511" t="s">
        <v>341</v>
      </c>
      <c r="G7" s="470" t="s">
        <v>346</v>
      </c>
      <c r="H7" s="470" t="s">
        <v>347</v>
      </c>
      <c r="I7" s="501">
        <v>0.54000002145767212</v>
      </c>
      <c r="J7" s="501">
        <v>1600</v>
      </c>
      <c r="K7" s="502">
        <v>864</v>
      </c>
    </row>
    <row r="8" spans="1:11" ht="14.45" customHeight="1" x14ac:dyDescent="0.2">
      <c r="A8" s="466" t="s">
        <v>298</v>
      </c>
      <c r="B8" s="467" t="s">
        <v>327</v>
      </c>
      <c r="C8" s="470" t="s">
        <v>337</v>
      </c>
      <c r="D8" s="511" t="s">
        <v>338</v>
      </c>
      <c r="E8" s="470" t="s">
        <v>340</v>
      </c>
      <c r="F8" s="511" t="s">
        <v>341</v>
      </c>
      <c r="G8" s="470" t="s">
        <v>348</v>
      </c>
      <c r="H8" s="470" t="s">
        <v>349</v>
      </c>
      <c r="I8" s="501">
        <v>1.3500000238418579</v>
      </c>
      <c r="J8" s="501">
        <v>3310</v>
      </c>
      <c r="K8" s="502">
        <v>4468.5</v>
      </c>
    </row>
    <row r="9" spans="1:11" ht="14.45" customHeight="1" x14ac:dyDescent="0.2">
      <c r="A9" s="466" t="s">
        <v>298</v>
      </c>
      <c r="B9" s="467" t="s">
        <v>327</v>
      </c>
      <c r="C9" s="470" t="s">
        <v>337</v>
      </c>
      <c r="D9" s="511" t="s">
        <v>338</v>
      </c>
      <c r="E9" s="470" t="s">
        <v>340</v>
      </c>
      <c r="F9" s="511" t="s">
        <v>341</v>
      </c>
      <c r="G9" s="470" t="s">
        <v>350</v>
      </c>
      <c r="H9" s="470" t="s">
        <v>351</v>
      </c>
      <c r="I9" s="501">
        <v>2.5429999589920045</v>
      </c>
      <c r="J9" s="501">
        <v>910</v>
      </c>
      <c r="K9" s="502">
        <v>2314.9000244140625</v>
      </c>
    </row>
    <row r="10" spans="1:11" ht="14.45" customHeight="1" x14ac:dyDescent="0.2">
      <c r="A10" s="466" t="s">
        <v>298</v>
      </c>
      <c r="B10" s="467" t="s">
        <v>327</v>
      </c>
      <c r="C10" s="470" t="s">
        <v>337</v>
      </c>
      <c r="D10" s="511" t="s">
        <v>338</v>
      </c>
      <c r="E10" s="470" t="s">
        <v>340</v>
      </c>
      <c r="F10" s="511" t="s">
        <v>341</v>
      </c>
      <c r="G10" s="470" t="s">
        <v>352</v>
      </c>
      <c r="H10" s="470" t="s">
        <v>353</v>
      </c>
      <c r="I10" s="501">
        <v>171.35000610351563</v>
      </c>
      <c r="J10" s="501">
        <v>10</v>
      </c>
      <c r="K10" s="502">
        <v>1713.5</v>
      </c>
    </row>
    <row r="11" spans="1:11" ht="14.45" customHeight="1" x14ac:dyDescent="0.2">
      <c r="A11" s="466" t="s">
        <v>298</v>
      </c>
      <c r="B11" s="467" t="s">
        <v>327</v>
      </c>
      <c r="C11" s="470" t="s">
        <v>337</v>
      </c>
      <c r="D11" s="511" t="s">
        <v>338</v>
      </c>
      <c r="E11" s="470" t="s">
        <v>340</v>
      </c>
      <c r="F11" s="511" t="s">
        <v>341</v>
      </c>
      <c r="G11" s="470" t="s">
        <v>354</v>
      </c>
      <c r="H11" s="470" t="s">
        <v>355</v>
      </c>
      <c r="I11" s="501">
        <v>171.35000610351563</v>
      </c>
      <c r="J11" s="501">
        <v>40</v>
      </c>
      <c r="K11" s="502">
        <v>6854</v>
      </c>
    </row>
    <row r="12" spans="1:11" ht="14.45" customHeight="1" x14ac:dyDescent="0.2">
      <c r="A12" s="466" t="s">
        <v>298</v>
      </c>
      <c r="B12" s="467" t="s">
        <v>327</v>
      </c>
      <c r="C12" s="470" t="s">
        <v>337</v>
      </c>
      <c r="D12" s="511" t="s">
        <v>338</v>
      </c>
      <c r="E12" s="470" t="s">
        <v>340</v>
      </c>
      <c r="F12" s="511" t="s">
        <v>341</v>
      </c>
      <c r="G12" s="470" t="s">
        <v>356</v>
      </c>
      <c r="H12" s="470" t="s">
        <v>357</v>
      </c>
      <c r="I12" s="501">
        <v>21.200000762939453</v>
      </c>
      <c r="J12" s="501">
        <v>70</v>
      </c>
      <c r="K12" s="502">
        <v>1484.2699584960938</v>
      </c>
    </row>
    <row r="13" spans="1:11" ht="14.45" customHeight="1" x14ac:dyDescent="0.2">
      <c r="A13" s="466" t="s">
        <v>298</v>
      </c>
      <c r="B13" s="467" t="s">
        <v>327</v>
      </c>
      <c r="C13" s="470" t="s">
        <v>337</v>
      </c>
      <c r="D13" s="511" t="s">
        <v>338</v>
      </c>
      <c r="E13" s="470" t="s">
        <v>340</v>
      </c>
      <c r="F13" s="511" t="s">
        <v>341</v>
      </c>
      <c r="G13" s="470" t="s">
        <v>358</v>
      </c>
      <c r="H13" s="470" t="s">
        <v>359</v>
      </c>
      <c r="I13" s="501">
        <v>38.549999237060547</v>
      </c>
      <c r="J13" s="501">
        <v>75</v>
      </c>
      <c r="K13" s="502">
        <v>2891.1000366210938</v>
      </c>
    </row>
    <row r="14" spans="1:11" ht="14.45" customHeight="1" x14ac:dyDescent="0.2">
      <c r="A14" s="466" t="s">
        <v>298</v>
      </c>
      <c r="B14" s="467" t="s">
        <v>327</v>
      </c>
      <c r="C14" s="470" t="s">
        <v>337</v>
      </c>
      <c r="D14" s="511" t="s">
        <v>338</v>
      </c>
      <c r="E14" s="470" t="s">
        <v>340</v>
      </c>
      <c r="F14" s="511" t="s">
        <v>341</v>
      </c>
      <c r="G14" s="470" t="s">
        <v>360</v>
      </c>
      <c r="H14" s="470" t="s">
        <v>361</v>
      </c>
      <c r="I14" s="501">
        <v>14.123333295186361</v>
      </c>
      <c r="J14" s="501">
        <v>150</v>
      </c>
      <c r="K14" s="502">
        <v>2118.5</v>
      </c>
    </row>
    <row r="15" spans="1:11" ht="14.45" customHeight="1" x14ac:dyDescent="0.2">
      <c r="A15" s="466" t="s">
        <v>298</v>
      </c>
      <c r="B15" s="467" t="s">
        <v>327</v>
      </c>
      <c r="C15" s="470" t="s">
        <v>337</v>
      </c>
      <c r="D15" s="511" t="s">
        <v>338</v>
      </c>
      <c r="E15" s="470" t="s">
        <v>340</v>
      </c>
      <c r="F15" s="511" t="s">
        <v>341</v>
      </c>
      <c r="G15" s="470" t="s">
        <v>362</v>
      </c>
      <c r="H15" s="470" t="s">
        <v>363</v>
      </c>
      <c r="I15" s="501">
        <v>14.609999656677246</v>
      </c>
      <c r="J15" s="501">
        <v>200</v>
      </c>
      <c r="K15" s="502">
        <v>2921.8599853515625</v>
      </c>
    </row>
    <row r="16" spans="1:11" ht="14.45" customHeight="1" x14ac:dyDescent="0.2">
      <c r="A16" s="466" t="s">
        <v>298</v>
      </c>
      <c r="B16" s="467" t="s">
        <v>327</v>
      </c>
      <c r="C16" s="470" t="s">
        <v>337</v>
      </c>
      <c r="D16" s="511" t="s">
        <v>338</v>
      </c>
      <c r="E16" s="470" t="s">
        <v>340</v>
      </c>
      <c r="F16" s="511" t="s">
        <v>341</v>
      </c>
      <c r="G16" s="470" t="s">
        <v>364</v>
      </c>
      <c r="H16" s="470" t="s">
        <v>365</v>
      </c>
      <c r="I16" s="501">
        <v>229.00999450683594</v>
      </c>
      <c r="J16" s="501">
        <v>125</v>
      </c>
      <c r="K16" s="502">
        <v>28625.80078125</v>
      </c>
    </row>
    <row r="17" spans="1:11" ht="14.45" customHeight="1" x14ac:dyDescent="0.2">
      <c r="A17" s="466" t="s">
        <v>298</v>
      </c>
      <c r="B17" s="467" t="s">
        <v>327</v>
      </c>
      <c r="C17" s="470" t="s">
        <v>337</v>
      </c>
      <c r="D17" s="511" t="s">
        <v>338</v>
      </c>
      <c r="E17" s="470" t="s">
        <v>340</v>
      </c>
      <c r="F17" s="511" t="s">
        <v>341</v>
      </c>
      <c r="G17" s="470" t="s">
        <v>366</v>
      </c>
      <c r="H17" s="470" t="s">
        <v>367</v>
      </c>
      <c r="I17" s="501">
        <v>240.8453850379357</v>
      </c>
      <c r="J17" s="501">
        <v>325</v>
      </c>
      <c r="K17" s="502">
        <v>78274.44091796875</v>
      </c>
    </row>
    <row r="18" spans="1:11" ht="14.45" customHeight="1" x14ac:dyDescent="0.2">
      <c r="A18" s="466" t="s">
        <v>298</v>
      </c>
      <c r="B18" s="467" t="s">
        <v>327</v>
      </c>
      <c r="C18" s="470" t="s">
        <v>337</v>
      </c>
      <c r="D18" s="511" t="s">
        <v>338</v>
      </c>
      <c r="E18" s="470" t="s">
        <v>340</v>
      </c>
      <c r="F18" s="511" t="s">
        <v>341</v>
      </c>
      <c r="G18" s="470" t="s">
        <v>368</v>
      </c>
      <c r="H18" s="470" t="s">
        <v>369</v>
      </c>
      <c r="I18" s="501">
        <v>43.840000152587891</v>
      </c>
      <c r="J18" s="501">
        <v>450</v>
      </c>
      <c r="K18" s="502">
        <v>19727.199462890625</v>
      </c>
    </row>
    <row r="19" spans="1:11" ht="14.45" customHeight="1" x14ac:dyDescent="0.2">
      <c r="A19" s="466" t="s">
        <v>298</v>
      </c>
      <c r="B19" s="467" t="s">
        <v>327</v>
      </c>
      <c r="C19" s="470" t="s">
        <v>337</v>
      </c>
      <c r="D19" s="511" t="s">
        <v>338</v>
      </c>
      <c r="E19" s="470" t="s">
        <v>340</v>
      </c>
      <c r="F19" s="511" t="s">
        <v>341</v>
      </c>
      <c r="G19" s="470" t="s">
        <v>370</v>
      </c>
      <c r="H19" s="470" t="s">
        <v>371</v>
      </c>
      <c r="I19" s="501">
        <v>29.229999542236328</v>
      </c>
      <c r="J19" s="501">
        <v>100</v>
      </c>
      <c r="K19" s="502">
        <v>2922.840087890625</v>
      </c>
    </row>
    <row r="20" spans="1:11" ht="14.45" customHeight="1" x14ac:dyDescent="0.2">
      <c r="A20" s="466" t="s">
        <v>298</v>
      </c>
      <c r="B20" s="467" t="s">
        <v>327</v>
      </c>
      <c r="C20" s="470" t="s">
        <v>337</v>
      </c>
      <c r="D20" s="511" t="s">
        <v>338</v>
      </c>
      <c r="E20" s="470" t="s">
        <v>340</v>
      </c>
      <c r="F20" s="511" t="s">
        <v>341</v>
      </c>
      <c r="G20" s="470" t="s">
        <v>372</v>
      </c>
      <c r="H20" s="470" t="s">
        <v>373</v>
      </c>
      <c r="I20" s="501">
        <v>1.5133333206176758</v>
      </c>
      <c r="J20" s="501">
        <v>802</v>
      </c>
      <c r="K20" s="502">
        <v>1214.0199999809265</v>
      </c>
    </row>
    <row r="21" spans="1:11" ht="14.45" customHeight="1" x14ac:dyDescent="0.2">
      <c r="A21" s="466" t="s">
        <v>298</v>
      </c>
      <c r="B21" s="467" t="s">
        <v>327</v>
      </c>
      <c r="C21" s="470" t="s">
        <v>337</v>
      </c>
      <c r="D21" s="511" t="s">
        <v>338</v>
      </c>
      <c r="E21" s="470" t="s">
        <v>340</v>
      </c>
      <c r="F21" s="511" t="s">
        <v>341</v>
      </c>
      <c r="G21" s="470" t="s">
        <v>374</v>
      </c>
      <c r="H21" s="470" t="s">
        <v>375</v>
      </c>
      <c r="I21" s="501">
        <v>7.7600002288818359</v>
      </c>
      <c r="J21" s="501">
        <v>24</v>
      </c>
      <c r="K21" s="502">
        <v>186.24000549316406</v>
      </c>
    </row>
    <row r="22" spans="1:11" ht="14.45" customHeight="1" x14ac:dyDescent="0.2">
      <c r="A22" s="466" t="s">
        <v>298</v>
      </c>
      <c r="B22" s="467" t="s">
        <v>327</v>
      </c>
      <c r="C22" s="470" t="s">
        <v>337</v>
      </c>
      <c r="D22" s="511" t="s">
        <v>338</v>
      </c>
      <c r="E22" s="470" t="s">
        <v>340</v>
      </c>
      <c r="F22" s="511" t="s">
        <v>341</v>
      </c>
      <c r="G22" s="470" t="s">
        <v>376</v>
      </c>
      <c r="H22" s="470" t="s">
        <v>377</v>
      </c>
      <c r="I22" s="501">
        <v>123.44999694824219</v>
      </c>
      <c r="J22" s="501">
        <v>12</v>
      </c>
      <c r="K22" s="502">
        <v>1481.3499755859375</v>
      </c>
    </row>
    <row r="23" spans="1:11" ht="14.45" customHeight="1" x14ac:dyDescent="0.2">
      <c r="A23" s="466" t="s">
        <v>298</v>
      </c>
      <c r="B23" s="467" t="s">
        <v>327</v>
      </c>
      <c r="C23" s="470" t="s">
        <v>337</v>
      </c>
      <c r="D23" s="511" t="s">
        <v>338</v>
      </c>
      <c r="E23" s="470" t="s">
        <v>340</v>
      </c>
      <c r="F23" s="511" t="s">
        <v>341</v>
      </c>
      <c r="G23" s="470" t="s">
        <v>378</v>
      </c>
      <c r="H23" s="470" t="s">
        <v>379</v>
      </c>
      <c r="I23" s="501">
        <v>8.3900003433227539</v>
      </c>
      <c r="J23" s="501">
        <v>2</v>
      </c>
      <c r="K23" s="502">
        <v>16.780000686645508</v>
      </c>
    </row>
    <row r="24" spans="1:11" ht="14.45" customHeight="1" x14ac:dyDescent="0.2">
      <c r="A24" s="466" t="s">
        <v>298</v>
      </c>
      <c r="B24" s="467" t="s">
        <v>327</v>
      </c>
      <c r="C24" s="470" t="s">
        <v>337</v>
      </c>
      <c r="D24" s="511" t="s">
        <v>338</v>
      </c>
      <c r="E24" s="470" t="s">
        <v>340</v>
      </c>
      <c r="F24" s="511" t="s">
        <v>341</v>
      </c>
      <c r="G24" s="470" t="s">
        <v>380</v>
      </c>
      <c r="H24" s="470" t="s">
        <v>381</v>
      </c>
      <c r="I24" s="501">
        <v>42.447585796487743</v>
      </c>
      <c r="J24" s="501">
        <v>53</v>
      </c>
      <c r="K24" s="502">
        <v>2249.7899742126465</v>
      </c>
    </row>
    <row r="25" spans="1:11" ht="14.45" customHeight="1" x14ac:dyDescent="0.2">
      <c r="A25" s="466" t="s">
        <v>298</v>
      </c>
      <c r="B25" s="467" t="s">
        <v>327</v>
      </c>
      <c r="C25" s="470" t="s">
        <v>337</v>
      </c>
      <c r="D25" s="511" t="s">
        <v>338</v>
      </c>
      <c r="E25" s="470" t="s">
        <v>340</v>
      </c>
      <c r="F25" s="511" t="s">
        <v>341</v>
      </c>
      <c r="G25" s="470" t="s">
        <v>382</v>
      </c>
      <c r="H25" s="470" t="s">
        <v>383</v>
      </c>
      <c r="I25" s="501">
        <v>72.220001220703125</v>
      </c>
      <c r="J25" s="501">
        <v>3</v>
      </c>
      <c r="K25" s="502">
        <v>216.66000366210938</v>
      </c>
    </row>
    <row r="26" spans="1:11" ht="14.45" customHeight="1" x14ac:dyDescent="0.2">
      <c r="A26" s="466" t="s">
        <v>298</v>
      </c>
      <c r="B26" s="467" t="s">
        <v>327</v>
      </c>
      <c r="C26" s="470" t="s">
        <v>337</v>
      </c>
      <c r="D26" s="511" t="s">
        <v>338</v>
      </c>
      <c r="E26" s="470" t="s">
        <v>340</v>
      </c>
      <c r="F26" s="511" t="s">
        <v>341</v>
      </c>
      <c r="G26" s="470" t="s">
        <v>384</v>
      </c>
      <c r="H26" s="470" t="s">
        <v>385</v>
      </c>
      <c r="I26" s="501">
        <v>0.79296053083319418</v>
      </c>
      <c r="J26" s="501">
        <v>5880</v>
      </c>
      <c r="K26" s="502">
        <v>4656.2000098228455</v>
      </c>
    </row>
    <row r="27" spans="1:11" ht="14.45" customHeight="1" x14ac:dyDescent="0.2">
      <c r="A27" s="466" t="s">
        <v>298</v>
      </c>
      <c r="B27" s="467" t="s">
        <v>327</v>
      </c>
      <c r="C27" s="470" t="s">
        <v>337</v>
      </c>
      <c r="D27" s="511" t="s">
        <v>338</v>
      </c>
      <c r="E27" s="470" t="s">
        <v>386</v>
      </c>
      <c r="F27" s="511" t="s">
        <v>387</v>
      </c>
      <c r="G27" s="470" t="s">
        <v>388</v>
      </c>
      <c r="H27" s="470" t="s">
        <v>389</v>
      </c>
      <c r="I27" s="501">
        <v>70.879997253417969</v>
      </c>
      <c r="J27" s="501">
        <v>60</v>
      </c>
      <c r="K27" s="502">
        <v>4252.89990234375</v>
      </c>
    </row>
    <row r="28" spans="1:11" ht="14.45" customHeight="1" x14ac:dyDescent="0.2">
      <c r="A28" s="466" t="s">
        <v>298</v>
      </c>
      <c r="B28" s="467" t="s">
        <v>327</v>
      </c>
      <c r="C28" s="470" t="s">
        <v>337</v>
      </c>
      <c r="D28" s="511" t="s">
        <v>338</v>
      </c>
      <c r="E28" s="470" t="s">
        <v>386</v>
      </c>
      <c r="F28" s="511" t="s">
        <v>387</v>
      </c>
      <c r="G28" s="470" t="s">
        <v>390</v>
      </c>
      <c r="H28" s="470" t="s">
        <v>391</v>
      </c>
      <c r="I28" s="501">
        <v>2.3399999141693115</v>
      </c>
      <c r="J28" s="501">
        <v>151</v>
      </c>
      <c r="K28" s="502">
        <v>353.33999991416931</v>
      </c>
    </row>
    <row r="29" spans="1:11" ht="14.45" customHeight="1" x14ac:dyDescent="0.2">
      <c r="A29" s="466" t="s">
        <v>298</v>
      </c>
      <c r="B29" s="467" t="s">
        <v>327</v>
      </c>
      <c r="C29" s="470" t="s">
        <v>337</v>
      </c>
      <c r="D29" s="511" t="s">
        <v>338</v>
      </c>
      <c r="E29" s="470" t="s">
        <v>386</v>
      </c>
      <c r="F29" s="511" t="s">
        <v>387</v>
      </c>
      <c r="G29" s="470" t="s">
        <v>392</v>
      </c>
      <c r="H29" s="470" t="s">
        <v>393</v>
      </c>
      <c r="I29" s="501">
        <v>11.144999980926514</v>
      </c>
      <c r="J29" s="501">
        <v>70</v>
      </c>
      <c r="K29" s="502">
        <v>780.30000305175781</v>
      </c>
    </row>
    <row r="30" spans="1:11" ht="14.45" customHeight="1" x14ac:dyDescent="0.2">
      <c r="A30" s="466" t="s">
        <v>298</v>
      </c>
      <c r="B30" s="467" t="s">
        <v>327</v>
      </c>
      <c r="C30" s="470" t="s">
        <v>337</v>
      </c>
      <c r="D30" s="511" t="s">
        <v>338</v>
      </c>
      <c r="E30" s="470" t="s">
        <v>386</v>
      </c>
      <c r="F30" s="511" t="s">
        <v>387</v>
      </c>
      <c r="G30" s="470" t="s">
        <v>394</v>
      </c>
      <c r="H30" s="470" t="s">
        <v>395</v>
      </c>
      <c r="I30" s="501">
        <v>5.293129888199668</v>
      </c>
      <c r="J30" s="501">
        <v>7100</v>
      </c>
      <c r="K30" s="502">
        <v>37592</v>
      </c>
    </row>
    <row r="31" spans="1:11" ht="14.45" customHeight="1" x14ac:dyDescent="0.2">
      <c r="A31" s="466" t="s">
        <v>298</v>
      </c>
      <c r="B31" s="467" t="s">
        <v>327</v>
      </c>
      <c r="C31" s="470" t="s">
        <v>337</v>
      </c>
      <c r="D31" s="511" t="s">
        <v>338</v>
      </c>
      <c r="E31" s="470" t="s">
        <v>386</v>
      </c>
      <c r="F31" s="511" t="s">
        <v>387</v>
      </c>
      <c r="G31" s="470" t="s">
        <v>396</v>
      </c>
      <c r="H31" s="470" t="s">
        <v>397</v>
      </c>
      <c r="I31" s="501">
        <v>3.6300000084771051</v>
      </c>
      <c r="J31" s="501">
        <v>650</v>
      </c>
      <c r="K31" s="502">
        <v>2329.5</v>
      </c>
    </row>
    <row r="32" spans="1:11" ht="14.45" customHeight="1" x14ac:dyDescent="0.2">
      <c r="A32" s="466" t="s">
        <v>298</v>
      </c>
      <c r="B32" s="467" t="s">
        <v>327</v>
      </c>
      <c r="C32" s="470" t="s">
        <v>337</v>
      </c>
      <c r="D32" s="511" t="s">
        <v>338</v>
      </c>
      <c r="E32" s="470" t="s">
        <v>386</v>
      </c>
      <c r="F32" s="511" t="s">
        <v>387</v>
      </c>
      <c r="G32" s="470" t="s">
        <v>398</v>
      </c>
      <c r="H32" s="470" t="s">
        <v>399</v>
      </c>
      <c r="I32" s="501">
        <v>45.979999542236328</v>
      </c>
      <c r="J32" s="501">
        <v>40</v>
      </c>
      <c r="K32" s="502">
        <v>1839.199951171875</v>
      </c>
    </row>
    <row r="33" spans="1:11" ht="14.45" customHeight="1" x14ac:dyDescent="0.2">
      <c r="A33" s="466" t="s">
        <v>298</v>
      </c>
      <c r="B33" s="467" t="s">
        <v>327</v>
      </c>
      <c r="C33" s="470" t="s">
        <v>337</v>
      </c>
      <c r="D33" s="511" t="s">
        <v>338</v>
      </c>
      <c r="E33" s="470" t="s">
        <v>386</v>
      </c>
      <c r="F33" s="511" t="s">
        <v>387</v>
      </c>
      <c r="G33" s="470" t="s">
        <v>400</v>
      </c>
      <c r="H33" s="470" t="s">
        <v>401</v>
      </c>
      <c r="I33" s="501">
        <v>4.0290001869201664</v>
      </c>
      <c r="J33" s="501">
        <v>2020</v>
      </c>
      <c r="K33" s="502">
        <v>8138.5999984741211</v>
      </c>
    </row>
    <row r="34" spans="1:11" ht="14.45" customHeight="1" x14ac:dyDescent="0.2">
      <c r="A34" s="466" t="s">
        <v>298</v>
      </c>
      <c r="B34" s="467" t="s">
        <v>327</v>
      </c>
      <c r="C34" s="470" t="s">
        <v>337</v>
      </c>
      <c r="D34" s="511" t="s">
        <v>338</v>
      </c>
      <c r="E34" s="470" t="s">
        <v>386</v>
      </c>
      <c r="F34" s="511" t="s">
        <v>387</v>
      </c>
      <c r="G34" s="470" t="s">
        <v>402</v>
      </c>
      <c r="H34" s="470" t="s">
        <v>403</v>
      </c>
      <c r="I34" s="501">
        <v>15.729999542236328</v>
      </c>
      <c r="J34" s="501">
        <v>200</v>
      </c>
      <c r="K34" s="502">
        <v>3146</v>
      </c>
    </row>
    <row r="35" spans="1:11" ht="14.45" customHeight="1" x14ac:dyDescent="0.2">
      <c r="A35" s="466" t="s">
        <v>298</v>
      </c>
      <c r="B35" s="467" t="s">
        <v>327</v>
      </c>
      <c r="C35" s="470" t="s">
        <v>337</v>
      </c>
      <c r="D35" s="511" t="s">
        <v>338</v>
      </c>
      <c r="E35" s="470" t="s">
        <v>386</v>
      </c>
      <c r="F35" s="511" t="s">
        <v>387</v>
      </c>
      <c r="G35" s="470" t="s">
        <v>404</v>
      </c>
      <c r="H35" s="470" t="s">
        <v>405</v>
      </c>
      <c r="I35" s="501">
        <v>12.706578907213713</v>
      </c>
      <c r="J35" s="501">
        <v>1810</v>
      </c>
      <c r="K35" s="502">
        <v>22997.599899291992</v>
      </c>
    </row>
    <row r="36" spans="1:11" ht="14.45" customHeight="1" x14ac:dyDescent="0.2">
      <c r="A36" s="466" t="s">
        <v>298</v>
      </c>
      <c r="B36" s="467" t="s">
        <v>327</v>
      </c>
      <c r="C36" s="470" t="s">
        <v>337</v>
      </c>
      <c r="D36" s="511" t="s">
        <v>338</v>
      </c>
      <c r="E36" s="470" t="s">
        <v>386</v>
      </c>
      <c r="F36" s="511" t="s">
        <v>387</v>
      </c>
      <c r="G36" s="470" t="s">
        <v>406</v>
      </c>
      <c r="H36" s="470" t="s">
        <v>407</v>
      </c>
      <c r="I36" s="501">
        <v>7.8657970912214639</v>
      </c>
      <c r="J36" s="501">
        <v>2535</v>
      </c>
      <c r="K36" s="502">
        <v>19939.800193786621</v>
      </c>
    </row>
    <row r="37" spans="1:11" ht="14.45" customHeight="1" x14ac:dyDescent="0.2">
      <c r="A37" s="466" t="s">
        <v>298</v>
      </c>
      <c r="B37" s="467" t="s">
        <v>327</v>
      </c>
      <c r="C37" s="470" t="s">
        <v>337</v>
      </c>
      <c r="D37" s="511" t="s">
        <v>338</v>
      </c>
      <c r="E37" s="470" t="s">
        <v>386</v>
      </c>
      <c r="F37" s="511" t="s">
        <v>387</v>
      </c>
      <c r="G37" s="470" t="s">
        <v>406</v>
      </c>
      <c r="H37" s="470" t="s">
        <v>408</v>
      </c>
      <c r="I37" s="501">
        <v>7.8673332850138342</v>
      </c>
      <c r="J37" s="501">
        <v>690</v>
      </c>
      <c r="K37" s="502">
        <v>5428.5000152587891</v>
      </c>
    </row>
    <row r="38" spans="1:11" ht="14.45" customHeight="1" x14ac:dyDescent="0.2">
      <c r="A38" s="466" t="s">
        <v>298</v>
      </c>
      <c r="B38" s="467" t="s">
        <v>327</v>
      </c>
      <c r="C38" s="470" t="s">
        <v>337</v>
      </c>
      <c r="D38" s="511" t="s">
        <v>338</v>
      </c>
      <c r="E38" s="470" t="s">
        <v>386</v>
      </c>
      <c r="F38" s="511" t="s">
        <v>387</v>
      </c>
      <c r="G38" s="470" t="s">
        <v>409</v>
      </c>
      <c r="H38" s="470" t="s">
        <v>410</v>
      </c>
      <c r="I38" s="501">
        <v>10.074285507202148</v>
      </c>
      <c r="J38" s="501">
        <v>240</v>
      </c>
      <c r="K38" s="502">
        <v>2418</v>
      </c>
    </row>
    <row r="39" spans="1:11" ht="14.45" customHeight="1" x14ac:dyDescent="0.2">
      <c r="A39" s="466" t="s">
        <v>298</v>
      </c>
      <c r="B39" s="467" t="s">
        <v>327</v>
      </c>
      <c r="C39" s="470" t="s">
        <v>337</v>
      </c>
      <c r="D39" s="511" t="s">
        <v>338</v>
      </c>
      <c r="E39" s="470" t="s">
        <v>386</v>
      </c>
      <c r="F39" s="511" t="s">
        <v>387</v>
      </c>
      <c r="G39" s="470" t="s">
        <v>411</v>
      </c>
      <c r="H39" s="470" t="s">
        <v>412</v>
      </c>
      <c r="I39" s="501">
        <v>10.073333104451498</v>
      </c>
      <c r="J39" s="501">
        <v>300</v>
      </c>
      <c r="K39" s="502">
        <v>3022.2000122070313</v>
      </c>
    </row>
    <row r="40" spans="1:11" ht="14.45" customHeight="1" x14ac:dyDescent="0.2">
      <c r="A40" s="466" t="s">
        <v>298</v>
      </c>
      <c r="B40" s="467" t="s">
        <v>327</v>
      </c>
      <c r="C40" s="470" t="s">
        <v>337</v>
      </c>
      <c r="D40" s="511" t="s">
        <v>338</v>
      </c>
      <c r="E40" s="470" t="s">
        <v>386</v>
      </c>
      <c r="F40" s="511" t="s">
        <v>387</v>
      </c>
      <c r="G40" s="470" t="s">
        <v>413</v>
      </c>
      <c r="H40" s="470" t="s">
        <v>414</v>
      </c>
      <c r="I40" s="501">
        <v>10.127142838069371</v>
      </c>
      <c r="J40" s="501">
        <v>510</v>
      </c>
      <c r="K40" s="502">
        <v>5165.1000671386719</v>
      </c>
    </row>
    <row r="41" spans="1:11" ht="14.45" customHeight="1" x14ac:dyDescent="0.2">
      <c r="A41" s="466" t="s">
        <v>298</v>
      </c>
      <c r="B41" s="467" t="s">
        <v>327</v>
      </c>
      <c r="C41" s="470" t="s">
        <v>337</v>
      </c>
      <c r="D41" s="511" t="s">
        <v>338</v>
      </c>
      <c r="E41" s="470" t="s">
        <v>386</v>
      </c>
      <c r="F41" s="511" t="s">
        <v>387</v>
      </c>
      <c r="G41" s="470" t="s">
        <v>415</v>
      </c>
      <c r="H41" s="470" t="s">
        <v>416</v>
      </c>
      <c r="I41" s="501">
        <v>10.110000133514404</v>
      </c>
      <c r="J41" s="501">
        <v>60</v>
      </c>
      <c r="K41" s="502">
        <v>606.55999755859375</v>
      </c>
    </row>
    <row r="42" spans="1:11" ht="14.45" customHeight="1" x14ac:dyDescent="0.2">
      <c r="A42" s="466" t="s">
        <v>298</v>
      </c>
      <c r="B42" s="467" t="s">
        <v>327</v>
      </c>
      <c r="C42" s="470" t="s">
        <v>337</v>
      </c>
      <c r="D42" s="511" t="s">
        <v>338</v>
      </c>
      <c r="E42" s="470" t="s">
        <v>386</v>
      </c>
      <c r="F42" s="511" t="s">
        <v>387</v>
      </c>
      <c r="G42" s="470" t="s">
        <v>417</v>
      </c>
      <c r="H42" s="470" t="s">
        <v>418</v>
      </c>
      <c r="I42" s="501">
        <v>3.1400001049041748</v>
      </c>
      <c r="J42" s="501">
        <v>15</v>
      </c>
      <c r="K42" s="502">
        <v>47.099998474121094</v>
      </c>
    </row>
    <row r="43" spans="1:11" ht="14.45" customHeight="1" x14ac:dyDescent="0.2">
      <c r="A43" s="466" t="s">
        <v>298</v>
      </c>
      <c r="B43" s="467" t="s">
        <v>327</v>
      </c>
      <c r="C43" s="470" t="s">
        <v>337</v>
      </c>
      <c r="D43" s="511" t="s">
        <v>338</v>
      </c>
      <c r="E43" s="470" t="s">
        <v>386</v>
      </c>
      <c r="F43" s="511" t="s">
        <v>387</v>
      </c>
      <c r="G43" s="470" t="s">
        <v>419</v>
      </c>
      <c r="H43" s="470" t="s">
        <v>420</v>
      </c>
      <c r="I43" s="501">
        <v>11.736593896064205</v>
      </c>
      <c r="J43" s="501">
        <v>138</v>
      </c>
      <c r="K43" s="502">
        <v>1619.6499576568604</v>
      </c>
    </row>
    <row r="44" spans="1:11" ht="14.45" customHeight="1" x14ac:dyDescent="0.2">
      <c r="A44" s="466" t="s">
        <v>298</v>
      </c>
      <c r="B44" s="467" t="s">
        <v>327</v>
      </c>
      <c r="C44" s="470" t="s">
        <v>337</v>
      </c>
      <c r="D44" s="511" t="s">
        <v>338</v>
      </c>
      <c r="E44" s="470" t="s">
        <v>386</v>
      </c>
      <c r="F44" s="511" t="s">
        <v>387</v>
      </c>
      <c r="G44" s="470" t="s">
        <v>419</v>
      </c>
      <c r="H44" s="470" t="s">
        <v>421</v>
      </c>
      <c r="I44" s="501">
        <v>11.732499599456787</v>
      </c>
      <c r="J44" s="501">
        <v>8</v>
      </c>
      <c r="K44" s="502">
        <v>93.859996795654297</v>
      </c>
    </row>
    <row r="45" spans="1:11" ht="14.45" customHeight="1" x14ac:dyDescent="0.2">
      <c r="A45" s="466" t="s">
        <v>298</v>
      </c>
      <c r="B45" s="467" t="s">
        <v>327</v>
      </c>
      <c r="C45" s="470" t="s">
        <v>337</v>
      </c>
      <c r="D45" s="511" t="s">
        <v>338</v>
      </c>
      <c r="E45" s="470" t="s">
        <v>386</v>
      </c>
      <c r="F45" s="511" t="s">
        <v>387</v>
      </c>
      <c r="G45" s="470" t="s">
        <v>422</v>
      </c>
      <c r="H45" s="470" t="s">
        <v>423</v>
      </c>
      <c r="I45" s="501">
        <v>35.090000152587891</v>
      </c>
      <c r="J45" s="501">
        <v>40</v>
      </c>
      <c r="K45" s="502">
        <v>1403.5999755859375</v>
      </c>
    </row>
    <row r="46" spans="1:11" ht="14.45" customHeight="1" x14ac:dyDescent="0.2">
      <c r="A46" s="466" t="s">
        <v>298</v>
      </c>
      <c r="B46" s="467" t="s">
        <v>327</v>
      </c>
      <c r="C46" s="470" t="s">
        <v>337</v>
      </c>
      <c r="D46" s="511" t="s">
        <v>338</v>
      </c>
      <c r="E46" s="470" t="s">
        <v>386</v>
      </c>
      <c r="F46" s="511" t="s">
        <v>387</v>
      </c>
      <c r="G46" s="470" t="s">
        <v>424</v>
      </c>
      <c r="H46" s="470" t="s">
        <v>425</v>
      </c>
      <c r="I46" s="501">
        <v>204.40499877929688</v>
      </c>
      <c r="J46" s="501">
        <v>60</v>
      </c>
      <c r="K46" s="502">
        <v>12264.2998046875</v>
      </c>
    </row>
    <row r="47" spans="1:11" ht="14.45" customHeight="1" x14ac:dyDescent="0.2">
      <c r="A47" s="466" t="s">
        <v>298</v>
      </c>
      <c r="B47" s="467" t="s">
        <v>327</v>
      </c>
      <c r="C47" s="470" t="s">
        <v>337</v>
      </c>
      <c r="D47" s="511" t="s">
        <v>338</v>
      </c>
      <c r="E47" s="470" t="s">
        <v>386</v>
      </c>
      <c r="F47" s="511" t="s">
        <v>387</v>
      </c>
      <c r="G47" s="470" t="s">
        <v>426</v>
      </c>
      <c r="H47" s="470" t="s">
        <v>427</v>
      </c>
      <c r="I47" s="501">
        <v>218.08171430315289</v>
      </c>
      <c r="J47" s="501">
        <v>1140</v>
      </c>
      <c r="K47" s="502">
        <v>248644.501953125</v>
      </c>
    </row>
    <row r="48" spans="1:11" ht="14.45" customHeight="1" x14ac:dyDescent="0.2">
      <c r="A48" s="466" t="s">
        <v>298</v>
      </c>
      <c r="B48" s="467" t="s">
        <v>327</v>
      </c>
      <c r="C48" s="470" t="s">
        <v>337</v>
      </c>
      <c r="D48" s="511" t="s">
        <v>338</v>
      </c>
      <c r="E48" s="470" t="s">
        <v>386</v>
      </c>
      <c r="F48" s="511" t="s">
        <v>387</v>
      </c>
      <c r="G48" s="470" t="s">
        <v>428</v>
      </c>
      <c r="H48" s="470" t="s">
        <v>429</v>
      </c>
      <c r="I48" s="501">
        <v>86.976252555847168</v>
      </c>
      <c r="J48" s="501">
        <v>301</v>
      </c>
      <c r="K48" s="502">
        <v>26180.369415283203</v>
      </c>
    </row>
    <row r="49" spans="1:11" ht="14.45" customHeight="1" x14ac:dyDescent="0.2">
      <c r="A49" s="466" t="s">
        <v>298</v>
      </c>
      <c r="B49" s="467" t="s">
        <v>327</v>
      </c>
      <c r="C49" s="470" t="s">
        <v>337</v>
      </c>
      <c r="D49" s="511" t="s">
        <v>338</v>
      </c>
      <c r="E49" s="470" t="s">
        <v>386</v>
      </c>
      <c r="F49" s="511" t="s">
        <v>387</v>
      </c>
      <c r="G49" s="470" t="s">
        <v>430</v>
      </c>
      <c r="H49" s="470" t="s">
        <v>431</v>
      </c>
      <c r="I49" s="501">
        <v>18.149999618530273</v>
      </c>
      <c r="J49" s="501">
        <v>50</v>
      </c>
      <c r="K49" s="502">
        <v>907.5</v>
      </c>
    </row>
    <row r="50" spans="1:11" ht="14.45" customHeight="1" x14ac:dyDescent="0.2">
      <c r="A50" s="466" t="s">
        <v>298</v>
      </c>
      <c r="B50" s="467" t="s">
        <v>327</v>
      </c>
      <c r="C50" s="470" t="s">
        <v>337</v>
      </c>
      <c r="D50" s="511" t="s">
        <v>338</v>
      </c>
      <c r="E50" s="470" t="s">
        <v>386</v>
      </c>
      <c r="F50" s="511" t="s">
        <v>387</v>
      </c>
      <c r="G50" s="470" t="s">
        <v>432</v>
      </c>
      <c r="H50" s="470" t="s">
        <v>433</v>
      </c>
      <c r="I50" s="501">
        <v>0.7986666798591614</v>
      </c>
      <c r="J50" s="501">
        <v>3000</v>
      </c>
      <c r="K50" s="502">
        <v>2396</v>
      </c>
    </row>
    <row r="51" spans="1:11" ht="14.45" customHeight="1" x14ac:dyDescent="0.2">
      <c r="A51" s="466" t="s">
        <v>298</v>
      </c>
      <c r="B51" s="467" t="s">
        <v>327</v>
      </c>
      <c r="C51" s="470" t="s">
        <v>337</v>
      </c>
      <c r="D51" s="511" t="s">
        <v>338</v>
      </c>
      <c r="E51" s="470" t="s">
        <v>386</v>
      </c>
      <c r="F51" s="511" t="s">
        <v>387</v>
      </c>
      <c r="G51" s="470" t="s">
        <v>434</v>
      </c>
      <c r="H51" s="470" t="s">
        <v>435</v>
      </c>
      <c r="I51" s="501">
        <v>0.82124999165534973</v>
      </c>
      <c r="J51" s="501">
        <v>9200</v>
      </c>
      <c r="K51" s="502">
        <v>7555</v>
      </c>
    </row>
    <row r="52" spans="1:11" ht="14.45" customHeight="1" x14ac:dyDescent="0.2">
      <c r="A52" s="466" t="s">
        <v>298</v>
      </c>
      <c r="B52" s="467" t="s">
        <v>327</v>
      </c>
      <c r="C52" s="470" t="s">
        <v>337</v>
      </c>
      <c r="D52" s="511" t="s">
        <v>338</v>
      </c>
      <c r="E52" s="470" t="s">
        <v>386</v>
      </c>
      <c r="F52" s="511" t="s">
        <v>387</v>
      </c>
      <c r="G52" s="470" t="s">
        <v>434</v>
      </c>
      <c r="H52" s="470" t="s">
        <v>436</v>
      </c>
      <c r="I52" s="501">
        <v>0.82599998712539668</v>
      </c>
      <c r="J52" s="501">
        <v>1000</v>
      </c>
      <c r="K52" s="502">
        <v>826</v>
      </c>
    </row>
    <row r="53" spans="1:11" ht="14.45" customHeight="1" x14ac:dyDescent="0.2">
      <c r="A53" s="466" t="s">
        <v>298</v>
      </c>
      <c r="B53" s="467" t="s">
        <v>327</v>
      </c>
      <c r="C53" s="470" t="s">
        <v>337</v>
      </c>
      <c r="D53" s="511" t="s">
        <v>338</v>
      </c>
      <c r="E53" s="470" t="s">
        <v>386</v>
      </c>
      <c r="F53" s="511" t="s">
        <v>387</v>
      </c>
      <c r="G53" s="470" t="s">
        <v>437</v>
      </c>
      <c r="H53" s="470" t="s">
        <v>438</v>
      </c>
      <c r="I53" s="501">
        <v>0.43999999761581421</v>
      </c>
      <c r="J53" s="501">
        <v>300</v>
      </c>
      <c r="K53" s="502">
        <v>132</v>
      </c>
    </row>
    <row r="54" spans="1:11" ht="14.45" customHeight="1" x14ac:dyDescent="0.2">
      <c r="A54" s="466" t="s">
        <v>298</v>
      </c>
      <c r="B54" s="467" t="s">
        <v>327</v>
      </c>
      <c r="C54" s="470" t="s">
        <v>337</v>
      </c>
      <c r="D54" s="511" t="s">
        <v>338</v>
      </c>
      <c r="E54" s="470" t="s">
        <v>386</v>
      </c>
      <c r="F54" s="511" t="s">
        <v>387</v>
      </c>
      <c r="G54" s="470" t="s">
        <v>439</v>
      </c>
      <c r="H54" s="470" t="s">
        <v>440</v>
      </c>
      <c r="I54" s="501">
        <v>1.1499999761581421</v>
      </c>
      <c r="J54" s="501">
        <v>740</v>
      </c>
      <c r="K54" s="502">
        <v>851</v>
      </c>
    </row>
    <row r="55" spans="1:11" ht="14.45" customHeight="1" x14ac:dyDescent="0.2">
      <c r="A55" s="466" t="s">
        <v>298</v>
      </c>
      <c r="B55" s="467" t="s">
        <v>327</v>
      </c>
      <c r="C55" s="470" t="s">
        <v>337</v>
      </c>
      <c r="D55" s="511" t="s">
        <v>338</v>
      </c>
      <c r="E55" s="470" t="s">
        <v>386</v>
      </c>
      <c r="F55" s="511" t="s">
        <v>387</v>
      </c>
      <c r="G55" s="470" t="s">
        <v>441</v>
      </c>
      <c r="H55" s="470" t="s">
        <v>442</v>
      </c>
      <c r="I55" s="501">
        <v>1.1399999856948853</v>
      </c>
      <c r="J55" s="501">
        <v>800</v>
      </c>
      <c r="K55" s="502">
        <v>912</v>
      </c>
    </row>
    <row r="56" spans="1:11" ht="14.45" customHeight="1" x14ac:dyDescent="0.2">
      <c r="A56" s="466" t="s">
        <v>298</v>
      </c>
      <c r="B56" s="467" t="s">
        <v>327</v>
      </c>
      <c r="C56" s="470" t="s">
        <v>337</v>
      </c>
      <c r="D56" s="511" t="s">
        <v>338</v>
      </c>
      <c r="E56" s="470" t="s">
        <v>386</v>
      </c>
      <c r="F56" s="511" t="s">
        <v>387</v>
      </c>
      <c r="G56" s="470" t="s">
        <v>443</v>
      </c>
      <c r="H56" s="470" t="s">
        <v>444</v>
      </c>
      <c r="I56" s="501">
        <v>0.56499999761581421</v>
      </c>
      <c r="J56" s="501">
        <v>200</v>
      </c>
      <c r="K56" s="502">
        <v>113</v>
      </c>
    </row>
    <row r="57" spans="1:11" ht="14.45" customHeight="1" x14ac:dyDescent="0.2">
      <c r="A57" s="466" t="s">
        <v>298</v>
      </c>
      <c r="B57" s="467" t="s">
        <v>327</v>
      </c>
      <c r="C57" s="470" t="s">
        <v>337</v>
      </c>
      <c r="D57" s="511" t="s">
        <v>338</v>
      </c>
      <c r="E57" s="470" t="s">
        <v>386</v>
      </c>
      <c r="F57" s="511" t="s">
        <v>387</v>
      </c>
      <c r="G57" s="470" t="s">
        <v>445</v>
      </c>
      <c r="H57" s="470" t="s">
        <v>446</v>
      </c>
      <c r="I57" s="501">
        <v>0.58499997854232788</v>
      </c>
      <c r="J57" s="501">
        <v>200</v>
      </c>
      <c r="K57" s="502">
        <v>117</v>
      </c>
    </row>
    <row r="58" spans="1:11" ht="14.45" customHeight="1" x14ac:dyDescent="0.2">
      <c r="A58" s="466" t="s">
        <v>298</v>
      </c>
      <c r="B58" s="467" t="s">
        <v>327</v>
      </c>
      <c r="C58" s="470" t="s">
        <v>337</v>
      </c>
      <c r="D58" s="511" t="s">
        <v>338</v>
      </c>
      <c r="E58" s="470" t="s">
        <v>386</v>
      </c>
      <c r="F58" s="511" t="s">
        <v>387</v>
      </c>
      <c r="G58" s="470" t="s">
        <v>447</v>
      </c>
      <c r="H58" s="470" t="s">
        <v>448</v>
      </c>
      <c r="I58" s="501">
        <v>2.119999885559082</v>
      </c>
      <c r="J58" s="501">
        <v>100</v>
      </c>
      <c r="K58" s="502">
        <v>212</v>
      </c>
    </row>
    <row r="59" spans="1:11" ht="14.45" customHeight="1" x14ac:dyDescent="0.2">
      <c r="A59" s="466" t="s">
        <v>298</v>
      </c>
      <c r="B59" s="467" t="s">
        <v>327</v>
      </c>
      <c r="C59" s="470" t="s">
        <v>337</v>
      </c>
      <c r="D59" s="511" t="s">
        <v>338</v>
      </c>
      <c r="E59" s="470" t="s">
        <v>386</v>
      </c>
      <c r="F59" s="511" t="s">
        <v>387</v>
      </c>
      <c r="G59" s="470" t="s">
        <v>449</v>
      </c>
      <c r="H59" s="470" t="s">
        <v>450</v>
      </c>
      <c r="I59" s="501">
        <v>2.3599998950958252</v>
      </c>
      <c r="J59" s="501">
        <v>90</v>
      </c>
      <c r="K59" s="502">
        <v>212.40000915527344</v>
      </c>
    </row>
    <row r="60" spans="1:11" ht="14.45" customHeight="1" x14ac:dyDescent="0.2">
      <c r="A60" s="466" t="s">
        <v>298</v>
      </c>
      <c r="B60" s="467" t="s">
        <v>327</v>
      </c>
      <c r="C60" s="470" t="s">
        <v>337</v>
      </c>
      <c r="D60" s="511" t="s">
        <v>338</v>
      </c>
      <c r="E60" s="470" t="s">
        <v>386</v>
      </c>
      <c r="F60" s="511" t="s">
        <v>387</v>
      </c>
      <c r="G60" s="470" t="s">
        <v>451</v>
      </c>
      <c r="H60" s="470" t="s">
        <v>452</v>
      </c>
      <c r="I60" s="501">
        <v>2.2200000286102295</v>
      </c>
      <c r="J60" s="501">
        <v>60</v>
      </c>
      <c r="K60" s="502">
        <v>133.19999694824219</v>
      </c>
    </row>
    <row r="61" spans="1:11" ht="14.45" customHeight="1" x14ac:dyDescent="0.2">
      <c r="A61" s="466" t="s">
        <v>298</v>
      </c>
      <c r="B61" s="467" t="s">
        <v>327</v>
      </c>
      <c r="C61" s="470" t="s">
        <v>337</v>
      </c>
      <c r="D61" s="511" t="s">
        <v>338</v>
      </c>
      <c r="E61" s="470" t="s">
        <v>386</v>
      </c>
      <c r="F61" s="511" t="s">
        <v>387</v>
      </c>
      <c r="G61" s="470" t="s">
        <v>453</v>
      </c>
      <c r="H61" s="470" t="s">
        <v>454</v>
      </c>
      <c r="I61" s="501">
        <v>5.5666667620340986</v>
      </c>
      <c r="J61" s="501">
        <v>270</v>
      </c>
      <c r="K61" s="502">
        <v>1502.9000244140625</v>
      </c>
    </row>
    <row r="62" spans="1:11" ht="14.45" customHeight="1" x14ac:dyDescent="0.2">
      <c r="A62" s="466" t="s">
        <v>298</v>
      </c>
      <c r="B62" s="467" t="s">
        <v>327</v>
      </c>
      <c r="C62" s="470" t="s">
        <v>337</v>
      </c>
      <c r="D62" s="511" t="s">
        <v>338</v>
      </c>
      <c r="E62" s="470" t="s">
        <v>386</v>
      </c>
      <c r="F62" s="511" t="s">
        <v>387</v>
      </c>
      <c r="G62" s="470" t="s">
        <v>455</v>
      </c>
      <c r="H62" s="470" t="s">
        <v>456</v>
      </c>
      <c r="I62" s="501">
        <v>31.940000534057617</v>
      </c>
      <c r="J62" s="501">
        <v>50</v>
      </c>
      <c r="K62" s="502">
        <v>1597.199951171875</v>
      </c>
    </row>
    <row r="63" spans="1:11" ht="14.45" customHeight="1" x14ac:dyDescent="0.2">
      <c r="A63" s="466" t="s">
        <v>298</v>
      </c>
      <c r="B63" s="467" t="s">
        <v>327</v>
      </c>
      <c r="C63" s="470" t="s">
        <v>337</v>
      </c>
      <c r="D63" s="511" t="s">
        <v>338</v>
      </c>
      <c r="E63" s="470" t="s">
        <v>386</v>
      </c>
      <c r="F63" s="511" t="s">
        <v>387</v>
      </c>
      <c r="G63" s="470" t="s">
        <v>457</v>
      </c>
      <c r="H63" s="470" t="s">
        <v>458</v>
      </c>
      <c r="I63" s="501">
        <v>0.4699999988079071</v>
      </c>
      <c r="J63" s="501">
        <v>100</v>
      </c>
      <c r="K63" s="502">
        <v>47</v>
      </c>
    </row>
    <row r="64" spans="1:11" ht="14.45" customHeight="1" x14ac:dyDescent="0.2">
      <c r="A64" s="466" t="s">
        <v>298</v>
      </c>
      <c r="B64" s="467" t="s">
        <v>327</v>
      </c>
      <c r="C64" s="470" t="s">
        <v>337</v>
      </c>
      <c r="D64" s="511" t="s">
        <v>338</v>
      </c>
      <c r="E64" s="470" t="s">
        <v>459</v>
      </c>
      <c r="F64" s="511" t="s">
        <v>460</v>
      </c>
      <c r="G64" s="470" t="s">
        <v>461</v>
      </c>
      <c r="H64" s="470" t="s">
        <v>462</v>
      </c>
      <c r="I64" s="501">
        <v>183.01230445274939</v>
      </c>
      <c r="J64" s="501">
        <v>480</v>
      </c>
      <c r="K64" s="502">
        <v>87846.01904296875</v>
      </c>
    </row>
    <row r="65" spans="1:11" ht="14.45" customHeight="1" x14ac:dyDescent="0.2">
      <c r="A65" s="466" t="s">
        <v>298</v>
      </c>
      <c r="B65" s="467" t="s">
        <v>327</v>
      </c>
      <c r="C65" s="470" t="s">
        <v>337</v>
      </c>
      <c r="D65" s="511" t="s">
        <v>338</v>
      </c>
      <c r="E65" s="470" t="s">
        <v>459</v>
      </c>
      <c r="F65" s="511" t="s">
        <v>460</v>
      </c>
      <c r="G65" s="470" t="s">
        <v>463</v>
      </c>
      <c r="H65" s="470" t="s">
        <v>464</v>
      </c>
      <c r="I65" s="501">
        <v>27.38370340841788</v>
      </c>
      <c r="J65" s="501">
        <v>2760</v>
      </c>
      <c r="K65" s="502">
        <v>74261.589881896973</v>
      </c>
    </row>
    <row r="66" spans="1:11" ht="14.45" customHeight="1" x14ac:dyDescent="0.2">
      <c r="A66" s="466" t="s">
        <v>298</v>
      </c>
      <c r="B66" s="467" t="s">
        <v>327</v>
      </c>
      <c r="C66" s="470" t="s">
        <v>337</v>
      </c>
      <c r="D66" s="511" t="s">
        <v>338</v>
      </c>
      <c r="E66" s="470" t="s">
        <v>459</v>
      </c>
      <c r="F66" s="511" t="s">
        <v>460</v>
      </c>
      <c r="G66" s="470" t="s">
        <v>465</v>
      </c>
      <c r="H66" s="470" t="s">
        <v>466</v>
      </c>
      <c r="I66" s="501">
        <v>9.177026997815382</v>
      </c>
      <c r="J66" s="501">
        <v>5490</v>
      </c>
      <c r="K66" s="502">
        <v>55794.129609107971</v>
      </c>
    </row>
    <row r="67" spans="1:11" ht="14.45" customHeight="1" x14ac:dyDescent="0.2">
      <c r="A67" s="466" t="s">
        <v>298</v>
      </c>
      <c r="B67" s="467" t="s">
        <v>327</v>
      </c>
      <c r="C67" s="470" t="s">
        <v>337</v>
      </c>
      <c r="D67" s="511" t="s">
        <v>338</v>
      </c>
      <c r="E67" s="470" t="s">
        <v>459</v>
      </c>
      <c r="F67" s="511" t="s">
        <v>460</v>
      </c>
      <c r="G67" s="470" t="s">
        <v>467</v>
      </c>
      <c r="H67" s="470" t="s">
        <v>468</v>
      </c>
      <c r="I67" s="501">
        <v>424.36174077573031</v>
      </c>
      <c r="J67" s="501">
        <v>940</v>
      </c>
      <c r="K67" s="502">
        <v>398154.615234375</v>
      </c>
    </row>
    <row r="68" spans="1:11" ht="14.45" customHeight="1" x14ac:dyDescent="0.2">
      <c r="A68" s="466" t="s">
        <v>298</v>
      </c>
      <c r="B68" s="467" t="s">
        <v>327</v>
      </c>
      <c r="C68" s="470" t="s">
        <v>337</v>
      </c>
      <c r="D68" s="511" t="s">
        <v>338</v>
      </c>
      <c r="E68" s="470" t="s">
        <v>459</v>
      </c>
      <c r="F68" s="511" t="s">
        <v>460</v>
      </c>
      <c r="G68" s="470" t="s">
        <v>469</v>
      </c>
      <c r="H68" s="470" t="s">
        <v>470</v>
      </c>
      <c r="I68" s="501">
        <v>56.73750114440918</v>
      </c>
      <c r="J68" s="501">
        <v>270</v>
      </c>
      <c r="K68" s="502">
        <v>15318.790161132813</v>
      </c>
    </row>
    <row r="69" spans="1:11" ht="14.45" customHeight="1" x14ac:dyDescent="0.2">
      <c r="A69" s="466" t="s">
        <v>298</v>
      </c>
      <c r="B69" s="467" t="s">
        <v>327</v>
      </c>
      <c r="C69" s="470" t="s">
        <v>337</v>
      </c>
      <c r="D69" s="511" t="s">
        <v>338</v>
      </c>
      <c r="E69" s="470" t="s">
        <v>459</v>
      </c>
      <c r="F69" s="511" t="s">
        <v>460</v>
      </c>
      <c r="G69" s="470" t="s">
        <v>471</v>
      </c>
      <c r="H69" s="470" t="s">
        <v>472</v>
      </c>
      <c r="I69" s="501">
        <v>7.744999885559082</v>
      </c>
      <c r="J69" s="501">
        <v>220</v>
      </c>
      <c r="K69" s="502">
        <v>1704.3999938964844</v>
      </c>
    </row>
    <row r="70" spans="1:11" ht="14.45" customHeight="1" x14ac:dyDescent="0.2">
      <c r="A70" s="466" t="s">
        <v>298</v>
      </c>
      <c r="B70" s="467" t="s">
        <v>327</v>
      </c>
      <c r="C70" s="470" t="s">
        <v>337</v>
      </c>
      <c r="D70" s="511" t="s">
        <v>338</v>
      </c>
      <c r="E70" s="470" t="s">
        <v>473</v>
      </c>
      <c r="F70" s="511" t="s">
        <v>474</v>
      </c>
      <c r="G70" s="470" t="s">
        <v>475</v>
      </c>
      <c r="H70" s="470" t="s">
        <v>476</v>
      </c>
      <c r="I70" s="501">
        <v>125.47643116542271</v>
      </c>
      <c r="J70" s="501">
        <v>168</v>
      </c>
      <c r="K70" s="502">
        <v>21080.119750976563</v>
      </c>
    </row>
    <row r="71" spans="1:11" ht="14.45" customHeight="1" x14ac:dyDescent="0.2">
      <c r="A71" s="466" t="s">
        <v>298</v>
      </c>
      <c r="B71" s="467" t="s">
        <v>327</v>
      </c>
      <c r="C71" s="470" t="s">
        <v>337</v>
      </c>
      <c r="D71" s="511" t="s">
        <v>338</v>
      </c>
      <c r="E71" s="470" t="s">
        <v>473</v>
      </c>
      <c r="F71" s="511" t="s">
        <v>474</v>
      </c>
      <c r="G71" s="470" t="s">
        <v>477</v>
      </c>
      <c r="H71" s="470" t="s">
        <v>478</v>
      </c>
      <c r="I71" s="501">
        <v>0.54405798860218213</v>
      </c>
      <c r="J71" s="501">
        <v>15600</v>
      </c>
      <c r="K71" s="502">
        <v>8494</v>
      </c>
    </row>
    <row r="72" spans="1:11" ht="14.45" customHeight="1" x14ac:dyDescent="0.2">
      <c r="A72" s="466" t="s">
        <v>298</v>
      </c>
      <c r="B72" s="467" t="s">
        <v>327</v>
      </c>
      <c r="C72" s="470" t="s">
        <v>337</v>
      </c>
      <c r="D72" s="511" t="s">
        <v>338</v>
      </c>
      <c r="E72" s="470" t="s">
        <v>473</v>
      </c>
      <c r="F72" s="511" t="s">
        <v>474</v>
      </c>
      <c r="G72" s="470" t="s">
        <v>479</v>
      </c>
      <c r="H72" s="470" t="s">
        <v>480</v>
      </c>
      <c r="I72" s="501">
        <v>139.9977789984809</v>
      </c>
      <c r="J72" s="501">
        <v>135</v>
      </c>
      <c r="K72" s="502">
        <v>18899.649658203125</v>
      </c>
    </row>
    <row r="73" spans="1:11" ht="14.45" customHeight="1" x14ac:dyDescent="0.2">
      <c r="A73" s="466" t="s">
        <v>298</v>
      </c>
      <c r="B73" s="467" t="s">
        <v>327</v>
      </c>
      <c r="C73" s="470" t="s">
        <v>337</v>
      </c>
      <c r="D73" s="511" t="s">
        <v>338</v>
      </c>
      <c r="E73" s="470" t="s">
        <v>473</v>
      </c>
      <c r="F73" s="511" t="s">
        <v>474</v>
      </c>
      <c r="G73" s="470" t="s">
        <v>481</v>
      </c>
      <c r="H73" s="470" t="s">
        <v>482</v>
      </c>
      <c r="I73" s="501">
        <v>140</v>
      </c>
      <c r="J73" s="501">
        <v>30</v>
      </c>
      <c r="K73" s="502">
        <v>4199.919921875</v>
      </c>
    </row>
    <row r="74" spans="1:11" ht="14.45" customHeight="1" x14ac:dyDescent="0.2">
      <c r="A74" s="466" t="s">
        <v>298</v>
      </c>
      <c r="B74" s="467" t="s">
        <v>327</v>
      </c>
      <c r="C74" s="470" t="s">
        <v>337</v>
      </c>
      <c r="D74" s="511" t="s">
        <v>338</v>
      </c>
      <c r="E74" s="470" t="s">
        <v>483</v>
      </c>
      <c r="F74" s="511" t="s">
        <v>484</v>
      </c>
      <c r="G74" s="470" t="s">
        <v>485</v>
      </c>
      <c r="H74" s="470" t="s">
        <v>486</v>
      </c>
      <c r="I74" s="501">
        <v>13.693999862670898</v>
      </c>
      <c r="J74" s="501">
        <v>250</v>
      </c>
      <c r="K74" s="502">
        <v>3423.5</v>
      </c>
    </row>
    <row r="75" spans="1:11" ht="14.45" customHeight="1" x14ac:dyDescent="0.2">
      <c r="A75" s="466" t="s">
        <v>298</v>
      </c>
      <c r="B75" s="467" t="s">
        <v>327</v>
      </c>
      <c r="C75" s="470" t="s">
        <v>337</v>
      </c>
      <c r="D75" s="511" t="s">
        <v>338</v>
      </c>
      <c r="E75" s="470" t="s">
        <v>483</v>
      </c>
      <c r="F75" s="511" t="s">
        <v>484</v>
      </c>
      <c r="G75" s="470" t="s">
        <v>487</v>
      </c>
      <c r="H75" s="470" t="s">
        <v>488</v>
      </c>
      <c r="I75" s="501">
        <v>13.718641752078209</v>
      </c>
      <c r="J75" s="501">
        <v>5050</v>
      </c>
      <c r="K75" s="502">
        <v>69293.5</v>
      </c>
    </row>
    <row r="76" spans="1:11" ht="14.45" customHeight="1" x14ac:dyDescent="0.2">
      <c r="A76" s="466" t="s">
        <v>298</v>
      </c>
      <c r="B76" s="467" t="s">
        <v>327</v>
      </c>
      <c r="C76" s="470" t="s">
        <v>337</v>
      </c>
      <c r="D76" s="511" t="s">
        <v>338</v>
      </c>
      <c r="E76" s="470" t="s">
        <v>483</v>
      </c>
      <c r="F76" s="511" t="s">
        <v>484</v>
      </c>
      <c r="G76" s="470" t="s">
        <v>489</v>
      </c>
      <c r="H76" s="470" t="s">
        <v>490</v>
      </c>
      <c r="I76" s="501">
        <v>13.526176564833698</v>
      </c>
      <c r="J76" s="501">
        <v>1851</v>
      </c>
      <c r="K76" s="502">
        <v>25066.739999771118</v>
      </c>
    </row>
    <row r="77" spans="1:11" ht="14.45" customHeight="1" x14ac:dyDescent="0.2">
      <c r="A77" s="466" t="s">
        <v>298</v>
      </c>
      <c r="B77" s="467" t="s">
        <v>327</v>
      </c>
      <c r="C77" s="470" t="s">
        <v>337</v>
      </c>
      <c r="D77" s="511" t="s">
        <v>338</v>
      </c>
      <c r="E77" s="470" t="s">
        <v>483</v>
      </c>
      <c r="F77" s="511" t="s">
        <v>484</v>
      </c>
      <c r="G77" s="470" t="s">
        <v>491</v>
      </c>
      <c r="H77" s="470" t="s">
        <v>492</v>
      </c>
      <c r="I77" s="501">
        <v>8.1</v>
      </c>
      <c r="J77" s="501">
        <v>250</v>
      </c>
      <c r="K77" s="502">
        <v>2025</v>
      </c>
    </row>
    <row r="78" spans="1:11" ht="14.45" customHeight="1" x14ac:dyDescent="0.2">
      <c r="A78" s="466" t="s">
        <v>298</v>
      </c>
      <c r="B78" s="467" t="s">
        <v>327</v>
      </c>
      <c r="C78" s="470" t="s">
        <v>337</v>
      </c>
      <c r="D78" s="511" t="s">
        <v>338</v>
      </c>
      <c r="E78" s="470" t="s">
        <v>483</v>
      </c>
      <c r="F78" s="511" t="s">
        <v>484</v>
      </c>
      <c r="G78" s="470" t="s">
        <v>493</v>
      </c>
      <c r="H78" s="470" t="s">
        <v>494</v>
      </c>
      <c r="I78" s="501">
        <v>2.8739999771118163</v>
      </c>
      <c r="J78" s="501">
        <v>500</v>
      </c>
      <c r="K78" s="502">
        <v>1437</v>
      </c>
    </row>
    <row r="79" spans="1:11" ht="14.45" customHeight="1" x14ac:dyDescent="0.2">
      <c r="A79" s="466" t="s">
        <v>298</v>
      </c>
      <c r="B79" s="467" t="s">
        <v>327</v>
      </c>
      <c r="C79" s="470" t="s">
        <v>337</v>
      </c>
      <c r="D79" s="511" t="s">
        <v>338</v>
      </c>
      <c r="E79" s="470" t="s">
        <v>483</v>
      </c>
      <c r="F79" s="511" t="s">
        <v>484</v>
      </c>
      <c r="G79" s="470" t="s">
        <v>495</v>
      </c>
      <c r="H79" s="470" t="s">
        <v>496</v>
      </c>
      <c r="I79" s="501">
        <v>2.8878948437540153</v>
      </c>
      <c r="J79" s="501">
        <v>3300</v>
      </c>
      <c r="K79" s="502">
        <v>9533</v>
      </c>
    </row>
    <row r="80" spans="1:11" ht="14.45" customHeight="1" x14ac:dyDescent="0.2">
      <c r="A80" s="466" t="s">
        <v>298</v>
      </c>
      <c r="B80" s="467" t="s">
        <v>327</v>
      </c>
      <c r="C80" s="470" t="s">
        <v>337</v>
      </c>
      <c r="D80" s="511" t="s">
        <v>338</v>
      </c>
      <c r="E80" s="470" t="s">
        <v>483</v>
      </c>
      <c r="F80" s="511" t="s">
        <v>484</v>
      </c>
      <c r="G80" s="470" t="s">
        <v>497</v>
      </c>
      <c r="H80" s="470" t="s">
        <v>498</v>
      </c>
      <c r="I80" s="501">
        <v>2.2999999523162842</v>
      </c>
      <c r="J80" s="501">
        <v>2800</v>
      </c>
      <c r="K80" s="502">
        <v>6440</v>
      </c>
    </row>
    <row r="81" spans="1:11" ht="14.45" customHeight="1" x14ac:dyDescent="0.2">
      <c r="A81" s="466" t="s">
        <v>298</v>
      </c>
      <c r="B81" s="467" t="s">
        <v>327</v>
      </c>
      <c r="C81" s="470" t="s">
        <v>337</v>
      </c>
      <c r="D81" s="511" t="s">
        <v>338</v>
      </c>
      <c r="E81" s="470" t="s">
        <v>483</v>
      </c>
      <c r="F81" s="511" t="s">
        <v>484</v>
      </c>
      <c r="G81" s="470" t="s">
        <v>497</v>
      </c>
      <c r="H81" s="470" t="s">
        <v>499</v>
      </c>
      <c r="I81" s="501">
        <v>2.2999999523162842</v>
      </c>
      <c r="J81" s="501">
        <v>1300</v>
      </c>
      <c r="K81" s="502">
        <v>2990</v>
      </c>
    </row>
    <row r="82" spans="1:11" ht="14.45" customHeight="1" x14ac:dyDescent="0.2">
      <c r="A82" s="466" t="s">
        <v>298</v>
      </c>
      <c r="B82" s="467" t="s">
        <v>327</v>
      </c>
      <c r="C82" s="470" t="s">
        <v>337</v>
      </c>
      <c r="D82" s="511" t="s">
        <v>338</v>
      </c>
      <c r="E82" s="470" t="s">
        <v>483</v>
      </c>
      <c r="F82" s="511" t="s">
        <v>484</v>
      </c>
      <c r="G82" s="470" t="s">
        <v>500</v>
      </c>
      <c r="H82" s="470" t="s">
        <v>501</v>
      </c>
      <c r="I82" s="501">
        <v>3.3900001049041748</v>
      </c>
      <c r="J82" s="501">
        <v>200</v>
      </c>
      <c r="K82" s="502">
        <v>678</v>
      </c>
    </row>
    <row r="83" spans="1:11" ht="14.45" customHeight="1" x14ac:dyDescent="0.2">
      <c r="A83" s="466" t="s">
        <v>298</v>
      </c>
      <c r="B83" s="467" t="s">
        <v>327</v>
      </c>
      <c r="C83" s="470" t="s">
        <v>337</v>
      </c>
      <c r="D83" s="511" t="s">
        <v>338</v>
      </c>
      <c r="E83" s="470" t="s">
        <v>483</v>
      </c>
      <c r="F83" s="511" t="s">
        <v>484</v>
      </c>
      <c r="G83" s="470" t="s">
        <v>502</v>
      </c>
      <c r="H83" s="470" t="s">
        <v>503</v>
      </c>
      <c r="I83" s="501">
        <v>3.3900001049041748</v>
      </c>
      <c r="J83" s="501">
        <v>1000</v>
      </c>
      <c r="K83" s="502">
        <v>3390</v>
      </c>
    </row>
    <row r="84" spans="1:11" ht="14.45" customHeight="1" x14ac:dyDescent="0.2">
      <c r="A84" s="466" t="s">
        <v>298</v>
      </c>
      <c r="B84" s="467" t="s">
        <v>327</v>
      </c>
      <c r="C84" s="470" t="s">
        <v>337</v>
      </c>
      <c r="D84" s="511" t="s">
        <v>338</v>
      </c>
      <c r="E84" s="470" t="s">
        <v>483</v>
      </c>
      <c r="F84" s="511" t="s">
        <v>484</v>
      </c>
      <c r="G84" s="470" t="s">
        <v>504</v>
      </c>
      <c r="H84" s="470" t="s">
        <v>505</v>
      </c>
      <c r="I84" s="501">
        <v>3.0199999809265137</v>
      </c>
      <c r="J84" s="501">
        <v>500</v>
      </c>
      <c r="K84" s="502">
        <v>1510</v>
      </c>
    </row>
    <row r="85" spans="1:11" ht="14.45" customHeight="1" x14ac:dyDescent="0.2">
      <c r="A85" s="466" t="s">
        <v>298</v>
      </c>
      <c r="B85" s="467" t="s">
        <v>327</v>
      </c>
      <c r="C85" s="470" t="s">
        <v>337</v>
      </c>
      <c r="D85" s="511" t="s">
        <v>338</v>
      </c>
      <c r="E85" s="470" t="s">
        <v>483</v>
      </c>
      <c r="F85" s="511" t="s">
        <v>484</v>
      </c>
      <c r="G85" s="470" t="s">
        <v>506</v>
      </c>
      <c r="H85" s="470" t="s">
        <v>507</v>
      </c>
      <c r="I85" s="501">
        <v>4.8299999237060547</v>
      </c>
      <c r="J85" s="501">
        <v>200</v>
      </c>
      <c r="K85" s="502">
        <v>966</v>
      </c>
    </row>
    <row r="86" spans="1:11" ht="14.45" customHeight="1" x14ac:dyDescent="0.2">
      <c r="A86" s="466" t="s">
        <v>298</v>
      </c>
      <c r="B86" s="467" t="s">
        <v>327</v>
      </c>
      <c r="C86" s="470" t="s">
        <v>337</v>
      </c>
      <c r="D86" s="511" t="s">
        <v>338</v>
      </c>
      <c r="E86" s="470" t="s">
        <v>483</v>
      </c>
      <c r="F86" s="511" t="s">
        <v>484</v>
      </c>
      <c r="G86" s="470" t="s">
        <v>508</v>
      </c>
      <c r="H86" s="470" t="s">
        <v>509</v>
      </c>
      <c r="I86" s="501">
        <v>3.0299999713897705</v>
      </c>
      <c r="J86" s="501">
        <v>100</v>
      </c>
      <c r="K86" s="502">
        <v>303</v>
      </c>
    </row>
    <row r="87" spans="1:11" ht="14.45" customHeight="1" x14ac:dyDescent="0.2">
      <c r="A87" s="466" t="s">
        <v>298</v>
      </c>
      <c r="B87" s="467" t="s">
        <v>327</v>
      </c>
      <c r="C87" s="470" t="s">
        <v>337</v>
      </c>
      <c r="D87" s="511" t="s">
        <v>338</v>
      </c>
      <c r="E87" s="470" t="s">
        <v>483</v>
      </c>
      <c r="F87" s="511" t="s">
        <v>484</v>
      </c>
      <c r="G87" s="470" t="s">
        <v>510</v>
      </c>
      <c r="H87" s="470" t="s">
        <v>511</v>
      </c>
      <c r="I87" s="501">
        <v>3.7300000190734863</v>
      </c>
      <c r="J87" s="501">
        <v>1400</v>
      </c>
      <c r="K87" s="502">
        <v>5222</v>
      </c>
    </row>
    <row r="88" spans="1:11" ht="14.45" customHeight="1" x14ac:dyDescent="0.2">
      <c r="A88" s="466" t="s">
        <v>298</v>
      </c>
      <c r="B88" s="467" t="s">
        <v>327</v>
      </c>
      <c r="C88" s="470" t="s">
        <v>337</v>
      </c>
      <c r="D88" s="511" t="s">
        <v>338</v>
      </c>
      <c r="E88" s="470" t="s">
        <v>483</v>
      </c>
      <c r="F88" s="511" t="s">
        <v>484</v>
      </c>
      <c r="G88" s="470" t="s">
        <v>512</v>
      </c>
      <c r="H88" s="470" t="s">
        <v>513</v>
      </c>
      <c r="I88" s="501">
        <v>3.869999885559082</v>
      </c>
      <c r="J88" s="501">
        <v>800</v>
      </c>
      <c r="K88" s="502">
        <v>3096</v>
      </c>
    </row>
    <row r="89" spans="1:11" ht="14.45" customHeight="1" x14ac:dyDescent="0.2">
      <c r="A89" s="466" t="s">
        <v>298</v>
      </c>
      <c r="B89" s="467" t="s">
        <v>327</v>
      </c>
      <c r="C89" s="470" t="s">
        <v>337</v>
      </c>
      <c r="D89" s="511" t="s">
        <v>338</v>
      </c>
      <c r="E89" s="470" t="s">
        <v>483</v>
      </c>
      <c r="F89" s="511" t="s">
        <v>484</v>
      </c>
      <c r="G89" s="470" t="s">
        <v>514</v>
      </c>
      <c r="H89" s="470" t="s">
        <v>515</v>
      </c>
      <c r="I89" s="501">
        <v>3.869999885559082</v>
      </c>
      <c r="J89" s="501">
        <v>2100</v>
      </c>
      <c r="K89" s="502">
        <v>8127</v>
      </c>
    </row>
    <row r="90" spans="1:11" ht="14.45" customHeight="1" x14ac:dyDescent="0.2">
      <c r="A90" s="466" t="s">
        <v>298</v>
      </c>
      <c r="B90" s="467" t="s">
        <v>327</v>
      </c>
      <c r="C90" s="470" t="s">
        <v>337</v>
      </c>
      <c r="D90" s="511" t="s">
        <v>338</v>
      </c>
      <c r="E90" s="470" t="s">
        <v>483</v>
      </c>
      <c r="F90" s="511" t="s">
        <v>484</v>
      </c>
      <c r="G90" s="470" t="s">
        <v>514</v>
      </c>
      <c r="H90" s="470" t="s">
        <v>516</v>
      </c>
      <c r="I90" s="501">
        <v>3.869999885559082</v>
      </c>
      <c r="J90" s="501">
        <v>1900</v>
      </c>
      <c r="K90" s="502">
        <v>7353</v>
      </c>
    </row>
    <row r="91" spans="1:11" ht="14.45" customHeight="1" x14ac:dyDescent="0.2">
      <c r="A91" s="466" t="s">
        <v>298</v>
      </c>
      <c r="B91" s="467" t="s">
        <v>327</v>
      </c>
      <c r="C91" s="470" t="s">
        <v>337</v>
      </c>
      <c r="D91" s="511" t="s">
        <v>338</v>
      </c>
      <c r="E91" s="470" t="s">
        <v>483</v>
      </c>
      <c r="F91" s="511" t="s">
        <v>484</v>
      </c>
      <c r="G91" s="470" t="s">
        <v>517</v>
      </c>
      <c r="H91" s="470" t="s">
        <v>518</v>
      </c>
      <c r="I91" s="501">
        <v>3.1500000953674316</v>
      </c>
      <c r="J91" s="501">
        <v>500</v>
      </c>
      <c r="K91" s="502">
        <v>1575</v>
      </c>
    </row>
    <row r="92" spans="1:11" ht="14.45" customHeight="1" x14ac:dyDescent="0.2">
      <c r="A92" s="466" t="s">
        <v>298</v>
      </c>
      <c r="B92" s="467" t="s">
        <v>327</v>
      </c>
      <c r="C92" s="470" t="s">
        <v>337</v>
      </c>
      <c r="D92" s="511" t="s">
        <v>338</v>
      </c>
      <c r="E92" s="470" t="s">
        <v>483</v>
      </c>
      <c r="F92" s="511" t="s">
        <v>484</v>
      </c>
      <c r="G92" s="470" t="s">
        <v>519</v>
      </c>
      <c r="H92" s="470" t="s">
        <v>520</v>
      </c>
      <c r="I92" s="501">
        <v>2.8181817531585693</v>
      </c>
      <c r="J92" s="501">
        <v>2200</v>
      </c>
      <c r="K92" s="502">
        <v>6200</v>
      </c>
    </row>
    <row r="93" spans="1:11" ht="14.45" customHeight="1" x14ac:dyDescent="0.2">
      <c r="A93" s="466" t="s">
        <v>298</v>
      </c>
      <c r="B93" s="467" t="s">
        <v>327</v>
      </c>
      <c r="C93" s="470" t="s">
        <v>337</v>
      </c>
      <c r="D93" s="511" t="s">
        <v>338</v>
      </c>
      <c r="E93" s="470" t="s">
        <v>483</v>
      </c>
      <c r="F93" s="511" t="s">
        <v>484</v>
      </c>
      <c r="G93" s="470" t="s">
        <v>521</v>
      </c>
      <c r="H93" s="470" t="s">
        <v>522</v>
      </c>
      <c r="I93" s="501">
        <v>4.679999828338623</v>
      </c>
      <c r="J93" s="501">
        <v>200</v>
      </c>
      <c r="K93" s="502">
        <v>936</v>
      </c>
    </row>
    <row r="94" spans="1:11" ht="14.45" customHeight="1" x14ac:dyDescent="0.2">
      <c r="A94" s="466" t="s">
        <v>298</v>
      </c>
      <c r="B94" s="467" t="s">
        <v>327</v>
      </c>
      <c r="C94" s="470" t="s">
        <v>337</v>
      </c>
      <c r="D94" s="511" t="s">
        <v>338</v>
      </c>
      <c r="E94" s="470" t="s">
        <v>483</v>
      </c>
      <c r="F94" s="511" t="s">
        <v>484</v>
      </c>
      <c r="G94" s="470" t="s">
        <v>523</v>
      </c>
      <c r="H94" s="470" t="s">
        <v>524</v>
      </c>
      <c r="I94" s="501">
        <v>3.630000114440918</v>
      </c>
      <c r="J94" s="501">
        <v>200</v>
      </c>
      <c r="K94" s="502">
        <v>726</v>
      </c>
    </row>
    <row r="95" spans="1:11" ht="14.45" customHeight="1" x14ac:dyDescent="0.2">
      <c r="A95" s="466" t="s">
        <v>298</v>
      </c>
      <c r="B95" s="467" t="s">
        <v>327</v>
      </c>
      <c r="C95" s="470" t="s">
        <v>337</v>
      </c>
      <c r="D95" s="511" t="s">
        <v>338</v>
      </c>
      <c r="E95" s="470" t="s">
        <v>525</v>
      </c>
      <c r="F95" s="511" t="s">
        <v>526</v>
      </c>
      <c r="G95" s="470" t="s">
        <v>527</v>
      </c>
      <c r="H95" s="470" t="s">
        <v>528</v>
      </c>
      <c r="I95" s="501">
        <v>2750</v>
      </c>
      <c r="J95" s="501">
        <v>1</v>
      </c>
      <c r="K95" s="502">
        <v>2750</v>
      </c>
    </row>
    <row r="96" spans="1:11" ht="14.45" customHeight="1" x14ac:dyDescent="0.2">
      <c r="A96" s="466" t="s">
        <v>298</v>
      </c>
      <c r="B96" s="467" t="s">
        <v>327</v>
      </c>
      <c r="C96" s="470" t="s">
        <v>337</v>
      </c>
      <c r="D96" s="511" t="s">
        <v>338</v>
      </c>
      <c r="E96" s="470" t="s">
        <v>525</v>
      </c>
      <c r="F96" s="511" t="s">
        <v>526</v>
      </c>
      <c r="G96" s="470" t="s">
        <v>529</v>
      </c>
      <c r="H96" s="470" t="s">
        <v>530</v>
      </c>
      <c r="I96" s="501">
        <v>4629.259765625</v>
      </c>
      <c r="J96" s="501">
        <v>4</v>
      </c>
      <c r="K96" s="502">
        <v>18517.0390625</v>
      </c>
    </row>
    <row r="97" spans="1:11" ht="14.45" customHeight="1" x14ac:dyDescent="0.2">
      <c r="A97" s="466" t="s">
        <v>298</v>
      </c>
      <c r="B97" s="467" t="s">
        <v>327</v>
      </c>
      <c r="C97" s="470" t="s">
        <v>337</v>
      </c>
      <c r="D97" s="511" t="s">
        <v>338</v>
      </c>
      <c r="E97" s="470" t="s">
        <v>531</v>
      </c>
      <c r="F97" s="511" t="s">
        <v>532</v>
      </c>
      <c r="G97" s="470" t="s">
        <v>533</v>
      </c>
      <c r="H97" s="470" t="s">
        <v>534</v>
      </c>
      <c r="I97" s="501">
        <v>0.49000000953674316</v>
      </c>
      <c r="J97" s="501">
        <v>100</v>
      </c>
      <c r="K97" s="502">
        <v>49</v>
      </c>
    </row>
    <row r="98" spans="1:11" ht="14.45" customHeight="1" thickBot="1" x14ac:dyDescent="0.25">
      <c r="A98" s="474" t="s">
        <v>298</v>
      </c>
      <c r="B98" s="475" t="s">
        <v>327</v>
      </c>
      <c r="C98" s="478" t="s">
        <v>337</v>
      </c>
      <c r="D98" s="512" t="s">
        <v>338</v>
      </c>
      <c r="E98" s="478" t="s">
        <v>531</v>
      </c>
      <c r="F98" s="512" t="s">
        <v>532</v>
      </c>
      <c r="G98" s="478" t="s">
        <v>535</v>
      </c>
      <c r="H98" s="478" t="s">
        <v>536</v>
      </c>
      <c r="I98" s="490">
        <v>1.6000000238418579</v>
      </c>
      <c r="J98" s="490">
        <v>200</v>
      </c>
      <c r="K98" s="491">
        <v>320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F4F071C-49D6-4A12-8378-E82C2C0D9130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61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67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1"/>
      <c r="B2" s="232"/>
    </row>
    <row r="3" spans="1:19" x14ac:dyDescent="0.25">
      <c r="A3" s="381" t="s">
        <v>168</v>
      </c>
      <c r="B3" s="382"/>
      <c r="C3" s="383" t="s">
        <v>157</v>
      </c>
      <c r="D3" s="384"/>
      <c r="E3" s="384"/>
      <c r="F3" s="385"/>
      <c r="G3" s="386" t="s">
        <v>158</v>
      </c>
      <c r="H3" s="387"/>
      <c r="I3" s="387"/>
      <c r="J3" s="388"/>
      <c r="K3" s="389" t="s">
        <v>167</v>
      </c>
      <c r="L3" s="390"/>
      <c r="M3" s="390"/>
      <c r="N3" s="390"/>
      <c r="O3" s="391"/>
      <c r="P3" s="387" t="s">
        <v>208</v>
      </c>
      <c r="Q3" s="387"/>
      <c r="R3" s="387"/>
      <c r="S3" s="388"/>
    </row>
    <row r="4" spans="1:19" ht="15.75" thickBot="1" x14ac:dyDescent="0.3">
      <c r="A4" s="400">
        <v>2021</v>
      </c>
      <c r="B4" s="401"/>
      <c r="C4" s="402" t="s">
        <v>207</v>
      </c>
      <c r="D4" s="404" t="s">
        <v>105</v>
      </c>
      <c r="E4" s="404" t="s">
        <v>73</v>
      </c>
      <c r="F4" s="379" t="s">
        <v>66</v>
      </c>
      <c r="G4" s="394" t="s">
        <v>159</v>
      </c>
      <c r="H4" s="396" t="s">
        <v>163</v>
      </c>
      <c r="I4" s="396" t="s">
        <v>206</v>
      </c>
      <c r="J4" s="398" t="s">
        <v>160</v>
      </c>
      <c r="K4" s="376" t="s">
        <v>205</v>
      </c>
      <c r="L4" s="377"/>
      <c r="M4" s="377"/>
      <c r="N4" s="378"/>
      <c r="O4" s="379" t="s">
        <v>204</v>
      </c>
      <c r="P4" s="368" t="s">
        <v>203</v>
      </c>
      <c r="Q4" s="368" t="s">
        <v>170</v>
      </c>
      <c r="R4" s="370" t="s">
        <v>73</v>
      </c>
      <c r="S4" s="372" t="s">
        <v>169</v>
      </c>
    </row>
    <row r="5" spans="1:19" s="296" customFormat="1" ht="19.149999999999999" customHeight="1" x14ac:dyDescent="0.25">
      <c r="A5" s="374" t="s">
        <v>202</v>
      </c>
      <c r="B5" s="375"/>
      <c r="C5" s="403"/>
      <c r="D5" s="405"/>
      <c r="E5" s="405"/>
      <c r="F5" s="380"/>
      <c r="G5" s="395"/>
      <c r="H5" s="397"/>
      <c r="I5" s="397"/>
      <c r="J5" s="399"/>
      <c r="K5" s="299" t="s">
        <v>161</v>
      </c>
      <c r="L5" s="298" t="s">
        <v>162</v>
      </c>
      <c r="M5" s="298" t="s">
        <v>201</v>
      </c>
      <c r="N5" s="297" t="s">
        <v>3</v>
      </c>
      <c r="O5" s="380"/>
      <c r="P5" s="369"/>
      <c r="Q5" s="369"/>
      <c r="R5" s="371"/>
      <c r="S5" s="373"/>
    </row>
    <row r="6" spans="1:19" ht="15.75" thickBot="1" x14ac:dyDescent="0.3">
      <c r="A6" s="392" t="s">
        <v>156</v>
      </c>
      <c r="B6" s="393"/>
      <c r="C6" s="295" t="e">
        <f ca="1">SUM(Tabulka[01 uv_sk])/2</f>
        <v>#REF!</v>
      </c>
      <c r="D6" s="293"/>
      <c r="E6" s="293"/>
      <c r="F6" s="292"/>
      <c r="G6" s="294" t="e">
        <f ca="1">SUM(Tabulka[05 h_vram])/2</f>
        <v>#REF!</v>
      </c>
      <c r="H6" s="293" t="e">
        <f ca="1">SUM(Tabulka[06 h_naduv])/2</f>
        <v>#REF!</v>
      </c>
      <c r="I6" s="293" t="e">
        <f ca="1">SUM(Tabulka[07 h_nadzk])/2</f>
        <v>#REF!</v>
      </c>
      <c r="J6" s="292" t="e">
        <f ca="1">SUM(Tabulka[08 h_oon])/2</f>
        <v>#REF!</v>
      </c>
      <c r="K6" s="294" t="e">
        <f ca="1">SUM(Tabulka[09 m_kl])/2</f>
        <v>#REF!</v>
      </c>
      <c r="L6" s="293" t="e">
        <f ca="1">SUM(Tabulka[10 m_gr])/2</f>
        <v>#REF!</v>
      </c>
      <c r="M6" s="293" t="e">
        <f ca="1">SUM(Tabulka[11 m_jo])/2</f>
        <v>#REF!</v>
      </c>
      <c r="N6" s="293" t="e">
        <f ca="1">SUM(Tabulka[12 m_oc])/2</f>
        <v>#REF!</v>
      </c>
      <c r="O6" s="292" t="e">
        <f ca="1">SUM(Tabulka[13 m_sk])/2</f>
        <v>#REF!</v>
      </c>
      <c r="P6" s="291" t="e">
        <f ca="1">SUM(Tabulka[14_vzsk])/2</f>
        <v>#REF!</v>
      </c>
      <c r="Q6" s="291" t="e">
        <f ca="1">SUM(Tabulka[15_vzpl])/2</f>
        <v>#REF!</v>
      </c>
      <c r="R6" s="290" t="e">
        <f ca="1">IF(Q6=0,0,P6/Q6)</f>
        <v>#REF!</v>
      </c>
      <c r="S6" s="289" t="e">
        <f ca="1">Q6-P6</f>
        <v>#REF!</v>
      </c>
    </row>
    <row r="7" spans="1:19" hidden="1" x14ac:dyDescent="0.25">
      <c r="A7" s="288" t="s">
        <v>200</v>
      </c>
      <c r="B7" s="287" t="s">
        <v>199</v>
      </c>
      <c r="C7" s="286" t="s">
        <v>198</v>
      </c>
      <c r="D7" s="285" t="s">
        <v>197</v>
      </c>
      <c r="E7" s="284" t="s">
        <v>196</v>
      </c>
      <c r="F7" s="283" t="s">
        <v>195</v>
      </c>
      <c r="G7" s="282" t="s">
        <v>194</v>
      </c>
      <c r="H7" s="280" t="s">
        <v>193</v>
      </c>
      <c r="I7" s="280" t="s">
        <v>192</v>
      </c>
      <c r="J7" s="279" t="s">
        <v>191</v>
      </c>
      <c r="K7" s="281" t="s">
        <v>190</v>
      </c>
      <c r="L7" s="280" t="s">
        <v>189</v>
      </c>
      <c r="M7" s="280" t="s">
        <v>188</v>
      </c>
      <c r="N7" s="279" t="s">
        <v>187</v>
      </c>
      <c r="O7" s="278" t="s">
        <v>186</v>
      </c>
      <c r="P7" s="277" t="s">
        <v>185</v>
      </c>
      <c r="Q7" s="276" t="s">
        <v>184</v>
      </c>
      <c r="R7" s="275" t="s">
        <v>183</v>
      </c>
      <c r="S7" s="274" t="s">
        <v>182</v>
      </c>
    </row>
    <row r="8" spans="1:19" x14ac:dyDescent="0.25">
      <c r="A8" s="271" t="s">
        <v>181</v>
      </c>
      <c r="B8" s="270"/>
      <c r="C8" s="264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3" t="e">
        <f ca="1">IF(Tabulka[[#This Row],[15_vzpl]]=0,"",Tabulka[[#This Row],[14_vzsk]]/Tabulka[[#This Row],[15_vzpl]])</f>
        <v>#REF!</v>
      </c>
      <c r="S8" s="272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3" t="s">
        <v>179</v>
      </c>
    </row>
    <row r="13" spans="1:19" x14ac:dyDescent="0.25">
      <c r="A13" s="234" t="s">
        <v>166</v>
      </c>
    </row>
    <row r="14" spans="1:19" x14ac:dyDescent="0.25">
      <c r="A14" s="23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06" t="s">
        <v>540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124</v>
      </c>
      <c r="B3" s="220">
        <f>SUBTOTAL(9,B6:B1048576)/4</f>
        <v>3599768.33</v>
      </c>
      <c r="C3" s="221">
        <f t="shared" ref="C3:Z3" si="0">SUBTOTAL(9,C6:C1048576)</f>
        <v>0</v>
      </c>
      <c r="D3" s="221"/>
      <c r="E3" s="221">
        <f>SUBTOTAL(9,E6:E1048576)/4</f>
        <v>5815648.4399999995</v>
      </c>
      <c r="F3" s="221"/>
      <c r="G3" s="221">
        <f t="shared" si="0"/>
        <v>0</v>
      </c>
      <c r="H3" s="221">
        <f>SUBTOTAL(9,H6:H1048576)/4</f>
        <v>6282736.1000000006</v>
      </c>
      <c r="I3" s="224">
        <f>IF(B3&lt;&gt;0,H3/B3,"")</f>
        <v>1.7453167882056455</v>
      </c>
      <c r="J3" s="222">
        <f>IF(E3&lt;&gt;0,H3/E3,"")</f>
        <v>1.0803156629598472</v>
      </c>
      <c r="K3" s="223">
        <f t="shared" si="0"/>
        <v>2242.6800000000003</v>
      </c>
      <c r="L3" s="223"/>
      <c r="M3" s="221">
        <f t="shared" si="0"/>
        <v>0</v>
      </c>
      <c r="N3" s="221">
        <f t="shared" si="0"/>
        <v>75.08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3"/>
      <c r="B5" s="514">
        <v>2019</v>
      </c>
      <c r="C5" s="515"/>
      <c r="D5" s="515"/>
      <c r="E5" s="515">
        <v>2020</v>
      </c>
      <c r="F5" s="515"/>
      <c r="G5" s="515"/>
      <c r="H5" s="515">
        <v>2021</v>
      </c>
      <c r="I5" s="516" t="s">
        <v>234</v>
      </c>
      <c r="J5" s="517" t="s">
        <v>2</v>
      </c>
      <c r="K5" s="514">
        <v>2015</v>
      </c>
      <c r="L5" s="515"/>
      <c r="M5" s="515"/>
      <c r="N5" s="515">
        <v>2020</v>
      </c>
      <c r="O5" s="515"/>
      <c r="P5" s="515"/>
      <c r="Q5" s="515">
        <v>2021</v>
      </c>
      <c r="R5" s="516" t="s">
        <v>234</v>
      </c>
      <c r="S5" s="517" t="s">
        <v>2</v>
      </c>
      <c r="T5" s="514">
        <v>2015</v>
      </c>
      <c r="U5" s="515"/>
      <c r="V5" s="515"/>
      <c r="W5" s="515">
        <v>2020</v>
      </c>
      <c r="X5" s="515"/>
      <c r="Y5" s="515"/>
      <c r="Z5" s="515">
        <v>2021</v>
      </c>
      <c r="AA5" s="516" t="s">
        <v>234</v>
      </c>
      <c r="AB5" s="517" t="s">
        <v>2</v>
      </c>
    </row>
    <row r="6" spans="1:28" ht="14.45" customHeight="1" x14ac:dyDescent="0.25">
      <c r="A6" s="518" t="s">
        <v>538</v>
      </c>
      <c r="B6" s="519">
        <v>3599768.33</v>
      </c>
      <c r="C6" s="520"/>
      <c r="D6" s="520"/>
      <c r="E6" s="519">
        <v>5815648.4399999995</v>
      </c>
      <c r="F6" s="520"/>
      <c r="G6" s="520"/>
      <c r="H6" s="519">
        <v>6282736.0999999996</v>
      </c>
      <c r="I6" s="520"/>
      <c r="J6" s="520"/>
      <c r="K6" s="519">
        <v>1121.3400000000001</v>
      </c>
      <c r="L6" s="520"/>
      <c r="M6" s="520"/>
      <c r="N6" s="519">
        <v>37.54</v>
      </c>
      <c r="O6" s="520"/>
      <c r="P6" s="520"/>
      <c r="Q6" s="519"/>
      <c r="R6" s="520"/>
      <c r="S6" s="520"/>
      <c r="T6" s="519"/>
      <c r="U6" s="520"/>
      <c r="V6" s="520"/>
      <c r="W6" s="519"/>
      <c r="X6" s="520"/>
      <c r="Y6" s="520"/>
      <c r="Z6" s="519"/>
      <c r="AA6" s="520"/>
      <c r="AB6" s="521"/>
    </row>
    <row r="7" spans="1:28" ht="14.45" customHeight="1" thickBot="1" x14ac:dyDescent="0.3">
      <c r="A7" s="525" t="s">
        <v>539</v>
      </c>
      <c r="B7" s="522">
        <v>3599768.33</v>
      </c>
      <c r="C7" s="523"/>
      <c r="D7" s="523"/>
      <c r="E7" s="522">
        <v>5815648.4399999995</v>
      </c>
      <c r="F7" s="523"/>
      <c r="G7" s="523"/>
      <c r="H7" s="522">
        <v>6282736.0999999996</v>
      </c>
      <c r="I7" s="523"/>
      <c r="J7" s="523"/>
      <c r="K7" s="522">
        <v>1121.3400000000001</v>
      </c>
      <c r="L7" s="523"/>
      <c r="M7" s="523"/>
      <c r="N7" s="522">
        <v>37.54</v>
      </c>
      <c r="O7" s="523"/>
      <c r="P7" s="523"/>
      <c r="Q7" s="522"/>
      <c r="R7" s="523"/>
      <c r="S7" s="523"/>
      <c r="T7" s="522"/>
      <c r="U7" s="523"/>
      <c r="V7" s="523"/>
      <c r="W7" s="522"/>
      <c r="X7" s="523"/>
      <c r="Y7" s="523"/>
      <c r="Z7" s="522"/>
      <c r="AA7" s="523"/>
      <c r="AB7" s="524"/>
    </row>
    <row r="8" spans="1:28" ht="14.45" customHeight="1" thickBot="1" x14ac:dyDescent="0.25"/>
    <row r="9" spans="1:28" ht="14.45" customHeight="1" x14ac:dyDescent="0.25">
      <c r="A9" s="518" t="s">
        <v>337</v>
      </c>
      <c r="B9" s="519">
        <v>3599768.33</v>
      </c>
      <c r="C9" s="520"/>
      <c r="D9" s="520"/>
      <c r="E9" s="519">
        <v>5815648.4399999995</v>
      </c>
      <c r="F9" s="520"/>
      <c r="G9" s="520"/>
      <c r="H9" s="519">
        <v>6282736.1000000006</v>
      </c>
      <c r="I9" s="520"/>
      <c r="J9" s="521"/>
    </row>
    <row r="10" spans="1:28" ht="14.45" customHeight="1" thickBot="1" x14ac:dyDescent="0.3">
      <c r="A10" s="525" t="s">
        <v>541</v>
      </c>
      <c r="B10" s="522">
        <v>3599768.33</v>
      </c>
      <c r="C10" s="523"/>
      <c r="D10" s="523"/>
      <c r="E10" s="522">
        <v>5815648.4399999995</v>
      </c>
      <c r="F10" s="523"/>
      <c r="G10" s="523"/>
      <c r="H10" s="522">
        <v>6282736.1000000006</v>
      </c>
      <c r="I10" s="523"/>
      <c r="J10" s="524"/>
    </row>
    <row r="11" spans="1:28" ht="14.45" customHeight="1" x14ac:dyDescent="0.2">
      <c r="A11" s="438" t="s">
        <v>209</v>
      </c>
    </row>
    <row r="12" spans="1:28" ht="14.45" customHeight="1" x14ac:dyDescent="0.2">
      <c r="A12" s="439" t="s">
        <v>305</v>
      </c>
    </row>
    <row r="13" spans="1:28" ht="14.45" customHeight="1" x14ac:dyDescent="0.2">
      <c r="A13" s="438" t="s">
        <v>542</v>
      </c>
    </row>
    <row r="14" spans="1:28" ht="14.45" customHeight="1" x14ac:dyDescent="0.2">
      <c r="A14" s="438" t="s">
        <v>543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5F8AA17-7755-4B63-948D-7D868342ECC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554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0" t="s">
        <v>124</v>
      </c>
      <c r="B3" s="247">
        <f t="shared" ref="B3:G3" si="0">SUBTOTAL(9,B6:B1048576)</f>
        <v>4340</v>
      </c>
      <c r="C3" s="248">
        <f t="shared" si="0"/>
        <v>7824</v>
      </c>
      <c r="D3" s="259">
        <f t="shared" si="0"/>
        <v>8116</v>
      </c>
      <c r="E3" s="223">
        <f t="shared" si="0"/>
        <v>3599768.33</v>
      </c>
      <c r="F3" s="221">
        <f t="shared" si="0"/>
        <v>5815648.4399999995</v>
      </c>
      <c r="G3" s="249">
        <f t="shared" si="0"/>
        <v>6282736.0999999996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3"/>
      <c r="B5" s="514">
        <v>2019</v>
      </c>
      <c r="C5" s="515">
        <v>2020</v>
      </c>
      <c r="D5" s="526">
        <v>2021</v>
      </c>
      <c r="E5" s="514">
        <v>2019</v>
      </c>
      <c r="F5" s="515">
        <v>2020</v>
      </c>
      <c r="G5" s="526">
        <v>2021</v>
      </c>
    </row>
    <row r="6" spans="1:7" ht="14.45" customHeight="1" x14ac:dyDescent="0.2">
      <c r="A6" s="533" t="s">
        <v>544</v>
      </c>
      <c r="B6" s="116">
        <v>65</v>
      </c>
      <c r="C6" s="116">
        <v>111</v>
      </c>
      <c r="D6" s="116">
        <v>112</v>
      </c>
      <c r="E6" s="527">
        <v>3717</v>
      </c>
      <c r="F6" s="527">
        <v>24059</v>
      </c>
      <c r="G6" s="528">
        <v>11965</v>
      </c>
    </row>
    <row r="7" spans="1:7" ht="14.45" customHeight="1" x14ac:dyDescent="0.2">
      <c r="A7" s="534" t="s">
        <v>545</v>
      </c>
      <c r="B7" s="501">
        <v>1</v>
      </c>
      <c r="C7" s="501"/>
      <c r="D7" s="501"/>
      <c r="E7" s="529">
        <v>38</v>
      </c>
      <c r="F7" s="529"/>
      <c r="G7" s="530"/>
    </row>
    <row r="8" spans="1:7" ht="14.45" customHeight="1" x14ac:dyDescent="0.2">
      <c r="A8" s="534" t="s">
        <v>546</v>
      </c>
      <c r="B8" s="501">
        <v>337</v>
      </c>
      <c r="C8" s="501">
        <v>300</v>
      </c>
      <c r="D8" s="501">
        <v>309</v>
      </c>
      <c r="E8" s="529">
        <v>74370</v>
      </c>
      <c r="F8" s="529">
        <v>67235.549999999988</v>
      </c>
      <c r="G8" s="530">
        <v>78441.55</v>
      </c>
    </row>
    <row r="9" spans="1:7" ht="14.45" customHeight="1" x14ac:dyDescent="0.2">
      <c r="A9" s="534" t="s">
        <v>547</v>
      </c>
      <c r="B9" s="501"/>
      <c r="C9" s="501">
        <v>1</v>
      </c>
      <c r="D9" s="501"/>
      <c r="E9" s="529"/>
      <c r="F9" s="529">
        <v>153</v>
      </c>
      <c r="G9" s="530"/>
    </row>
    <row r="10" spans="1:7" ht="14.45" customHeight="1" x14ac:dyDescent="0.2">
      <c r="A10" s="534" t="s">
        <v>548</v>
      </c>
      <c r="B10" s="501">
        <v>1</v>
      </c>
      <c r="C10" s="501"/>
      <c r="D10" s="501"/>
      <c r="E10" s="529">
        <v>151</v>
      </c>
      <c r="F10" s="529"/>
      <c r="G10" s="530"/>
    </row>
    <row r="11" spans="1:7" ht="14.45" customHeight="1" x14ac:dyDescent="0.2">
      <c r="A11" s="534" t="s">
        <v>549</v>
      </c>
      <c r="B11" s="501">
        <v>1</v>
      </c>
      <c r="C11" s="501"/>
      <c r="D11" s="501"/>
      <c r="E11" s="529">
        <v>61</v>
      </c>
      <c r="F11" s="529"/>
      <c r="G11" s="530"/>
    </row>
    <row r="12" spans="1:7" ht="14.45" customHeight="1" x14ac:dyDescent="0.2">
      <c r="A12" s="534" t="s">
        <v>550</v>
      </c>
      <c r="B12" s="501">
        <v>1</v>
      </c>
      <c r="C12" s="501"/>
      <c r="D12" s="501"/>
      <c r="E12" s="529">
        <v>38</v>
      </c>
      <c r="F12" s="529"/>
      <c r="G12" s="530"/>
    </row>
    <row r="13" spans="1:7" ht="14.45" customHeight="1" x14ac:dyDescent="0.2">
      <c r="A13" s="534" t="s">
        <v>551</v>
      </c>
      <c r="B13" s="501">
        <v>1</v>
      </c>
      <c r="C13" s="501"/>
      <c r="D13" s="501"/>
      <c r="E13" s="529">
        <v>38</v>
      </c>
      <c r="F13" s="529"/>
      <c r="G13" s="530"/>
    </row>
    <row r="14" spans="1:7" ht="14.45" customHeight="1" x14ac:dyDescent="0.2">
      <c r="A14" s="534" t="s">
        <v>552</v>
      </c>
      <c r="B14" s="501">
        <v>3932</v>
      </c>
      <c r="C14" s="501">
        <v>7412</v>
      </c>
      <c r="D14" s="501">
        <v>7695</v>
      </c>
      <c r="E14" s="529">
        <v>3521317.33</v>
      </c>
      <c r="F14" s="529">
        <v>5724200.8899999997</v>
      </c>
      <c r="G14" s="530">
        <v>6192329.5499999998</v>
      </c>
    </row>
    <row r="15" spans="1:7" ht="14.45" customHeight="1" thickBot="1" x14ac:dyDescent="0.25">
      <c r="A15" s="535" t="s">
        <v>553</v>
      </c>
      <c r="B15" s="490">
        <v>1</v>
      </c>
      <c r="C15" s="490"/>
      <c r="D15" s="490"/>
      <c r="E15" s="531">
        <v>38</v>
      </c>
      <c r="F15" s="531"/>
      <c r="G15" s="532"/>
    </row>
    <row r="16" spans="1:7" ht="14.45" customHeight="1" x14ac:dyDescent="0.2">
      <c r="A16" s="438" t="s">
        <v>209</v>
      </c>
    </row>
    <row r="17" spans="1:1" ht="14.45" customHeight="1" x14ac:dyDescent="0.2">
      <c r="A17" s="439" t="s">
        <v>305</v>
      </c>
    </row>
    <row r="18" spans="1:1" ht="14.45" customHeight="1" x14ac:dyDescent="0.2">
      <c r="A18" s="438" t="s">
        <v>542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6F9C8B5-D843-47FF-AA8E-27E1F1B6728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05" t="s">
        <v>591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1" t="s">
        <v>235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124</v>
      </c>
      <c r="G3" s="102">
        <f t="shared" ref="G3:P3" si="0">SUBTOTAL(9,G6:G1048576)</f>
        <v>4342</v>
      </c>
      <c r="H3" s="103">
        <f t="shared" si="0"/>
        <v>3600889.67</v>
      </c>
      <c r="I3" s="74"/>
      <c r="J3" s="74"/>
      <c r="K3" s="103">
        <f t="shared" si="0"/>
        <v>7824.1</v>
      </c>
      <c r="L3" s="103">
        <f t="shared" si="0"/>
        <v>5815685.9800000004</v>
      </c>
      <c r="M3" s="74"/>
      <c r="N3" s="74"/>
      <c r="O3" s="103">
        <f t="shared" si="0"/>
        <v>8116</v>
      </c>
      <c r="P3" s="103">
        <f t="shared" si="0"/>
        <v>6282736.0999999996</v>
      </c>
      <c r="Q3" s="75">
        <f>IF(L3=0,0,P3/L3)</f>
        <v>1.0803086895692395</v>
      </c>
      <c r="R3" s="104">
        <f>IF(O3=0,0,P3/O3)</f>
        <v>774.1173114834894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2019</v>
      </c>
      <c r="H4" s="419"/>
      <c r="I4" s="101"/>
      <c r="J4" s="101"/>
      <c r="K4" s="418">
        <v>2020</v>
      </c>
      <c r="L4" s="419"/>
      <c r="M4" s="101"/>
      <c r="N4" s="101"/>
      <c r="O4" s="418">
        <v>2021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6"/>
      <c r="B5" s="536"/>
      <c r="C5" s="537"/>
      <c r="D5" s="538"/>
      <c r="E5" s="539"/>
      <c r="F5" s="540"/>
      <c r="G5" s="541" t="s">
        <v>70</v>
      </c>
      <c r="H5" s="542" t="s">
        <v>13</v>
      </c>
      <c r="I5" s="543"/>
      <c r="J5" s="543"/>
      <c r="K5" s="541" t="s">
        <v>70</v>
      </c>
      <c r="L5" s="542" t="s">
        <v>13</v>
      </c>
      <c r="M5" s="543"/>
      <c r="N5" s="543"/>
      <c r="O5" s="541" t="s">
        <v>70</v>
      </c>
      <c r="P5" s="542" t="s">
        <v>13</v>
      </c>
      <c r="Q5" s="544"/>
      <c r="R5" s="545"/>
    </row>
    <row r="6" spans="1:18" ht="14.45" customHeight="1" x14ac:dyDescent="0.2">
      <c r="A6" s="459" t="s">
        <v>555</v>
      </c>
      <c r="B6" s="460" t="s">
        <v>556</v>
      </c>
      <c r="C6" s="460" t="s">
        <v>337</v>
      </c>
      <c r="D6" s="460" t="s">
        <v>557</v>
      </c>
      <c r="E6" s="460" t="s">
        <v>558</v>
      </c>
      <c r="F6" s="460"/>
      <c r="G6" s="116">
        <v>1</v>
      </c>
      <c r="H6" s="116">
        <v>2.44</v>
      </c>
      <c r="I6" s="460"/>
      <c r="J6" s="460">
        <v>2.44</v>
      </c>
      <c r="K6" s="116"/>
      <c r="L6" s="116"/>
      <c r="M6" s="460"/>
      <c r="N6" s="460"/>
      <c r="O6" s="116"/>
      <c r="P6" s="116"/>
      <c r="Q6" s="465"/>
      <c r="R6" s="489"/>
    </row>
    <row r="7" spans="1:18" ht="14.45" customHeight="1" x14ac:dyDescent="0.2">
      <c r="A7" s="466" t="s">
        <v>555</v>
      </c>
      <c r="B7" s="467" t="s">
        <v>556</v>
      </c>
      <c r="C7" s="467" t="s">
        <v>337</v>
      </c>
      <c r="D7" s="467" t="s">
        <v>557</v>
      </c>
      <c r="E7" s="467" t="s">
        <v>559</v>
      </c>
      <c r="F7" s="467" t="s">
        <v>560</v>
      </c>
      <c r="G7" s="501">
        <v>1</v>
      </c>
      <c r="H7" s="501">
        <v>1118.9000000000001</v>
      </c>
      <c r="I7" s="467"/>
      <c r="J7" s="467">
        <v>1118.9000000000001</v>
      </c>
      <c r="K7" s="501"/>
      <c r="L7" s="501"/>
      <c r="M7" s="467"/>
      <c r="N7" s="467"/>
      <c r="O7" s="501"/>
      <c r="P7" s="501"/>
      <c r="Q7" s="472"/>
      <c r="R7" s="502"/>
    </row>
    <row r="8" spans="1:18" ht="14.45" customHeight="1" x14ac:dyDescent="0.2">
      <c r="A8" s="466" t="s">
        <v>555</v>
      </c>
      <c r="B8" s="467" t="s">
        <v>556</v>
      </c>
      <c r="C8" s="467" t="s">
        <v>337</v>
      </c>
      <c r="D8" s="467" t="s">
        <v>557</v>
      </c>
      <c r="E8" s="467" t="s">
        <v>561</v>
      </c>
      <c r="F8" s="467" t="s">
        <v>562</v>
      </c>
      <c r="G8" s="501"/>
      <c r="H8" s="501"/>
      <c r="I8" s="467"/>
      <c r="J8" s="467"/>
      <c r="K8" s="501">
        <v>0.1</v>
      </c>
      <c r="L8" s="501">
        <v>37.54</v>
      </c>
      <c r="M8" s="467"/>
      <c r="N8" s="467">
        <v>375.4</v>
      </c>
      <c r="O8" s="501"/>
      <c r="P8" s="501"/>
      <c r="Q8" s="472"/>
      <c r="R8" s="502"/>
    </row>
    <row r="9" spans="1:18" ht="14.45" customHeight="1" x14ac:dyDescent="0.2">
      <c r="A9" s="466" t="s">
        <v>555</v>
      </c>
      <c r="B9" s="467" t="s">
        <v>556</v>
      </c>
      <c r="C9" s="467" t="s">
        <v>337</v>
      </c>
      <c r="D9" s="467" t="s">
        <v>557</v>
      </c>
      <c r="E9" s="467" t="s">
        <v>563</v>
      </c>
      <c r="F9" s="467" t="s">
        <v>564</v>
      </c>
      <c r="G9" s="501">
        <v>0</v>
      </c>
      <c r="H9" s="501">
        <v>0</v>
      </c>
      <c r="I9" s="467"/>
      <c r="J9" s="467"/>
      <c r="K9" s="501"/>
      <c r="L9" s="501"/>
      <c r="M9" s="467"/>
      <c r="N9" s="467"/>
      <c r="O9" s="501"/>
      <c r="P9" s="501"/>
      <c r="Q9" s="472"/>
      <c r="R9" s="502"/>
    </row>
    <row r="10" spans="1:18" ht="14.45" customHeight="1" x14ac:dyDescent="0.2">
      <c r="A10" s="466" t="s">
        <v>555</v>
      </c>
      <c r="B10" s="467" t="s">
        <v>556</v>
      </c>
      <c r="C10" s="467" t="s">
        <v>337</v>
      </c>
      <c r="D10" s="467" t="s">
        <v>565</v>
      </c>
      <c r="E10" s="467" t="s">
        <v>566</v>
      </c>
      <c r="F10" s="467" t="s">
        <v>567</v>
      </c>
      <c r="G10" s="501">
        <v>1</v>
      </c>
      <c r="H10" s="501">
        <v>151</v>
      </c>
      <c r="I10" s="467"/>
      <c r="J10" s="467">
        <v>151</v>
      </c>
      <c r="K10" s="501">
        <v>1</v>
      </c>
      <c r="L10" s="501">
        <v>153</v>
      </c>
      <c r="M10" s="467"/>
      <c r="N10" s="467">
        <v>153</v>
      </c>
      <c r="O10" s="501"/>
      <c r="P10" s="501"/>
      <c r="Q10" s="472"/>
      <c r="R10" s="502"/>
    </row>
    <row r="11" spans="1:18" ht="14.45" customHeight="1" x14ac:dyDescent="0.2">
      <c r="A11" s="466" t="s">
        <v>555</v>
      </c>
      <c r="B11" s="467" t="s">
        <v>556</v>
      </c>
      <c r="C11" s="467" t="s">
        <v>337</v>
      </c>
      <c r="D11" s="467" t="s">
        <v>565</v>
      </c>
      <c r="E11" s="467" t="s">
        <v>568</v>
      </c>
      <c r="F11" s="467" t="s">
        <v>569</v>
      </c>
      <c r="G11" s="501">
        <v>255</v>
      </c>
      <c r="H11" s="501">
        <v>9690</v>
      </c>
      <c r="I11" s="467"/>
      <c r="J11" s="467">
        <v>38</v>
      </c>
      <c r="K11" s="501">
        <v>419</v>
      </c>
      <c r="L11" s="501">
        <v>15922</v>
      </c>
      <c r="M11" s="467"/>
      <c r="N11" s="467">
        <v>38</v>
      </c>
      <c r="O11" s="501">
        <v>501</v>
      </c>
      <c r="P11" s="501">
        <v>20040</v>
      </c>
      <c r="Q11" s="472"/>
      <c r="R11" s="502">
        <v>40</v>
      </c>
    </row>
    <row r="12" spans="1:18" ht="14.45" customHeight="1" x14ac:dyDescent="0.2">
      <c r="A12" s="466" t="s">
        <v>555</v>
      </c>
      <c r="B12" s="467" t="s">
        <v>556</v>
      </c>
      <c r="C12" s="467" t="s">
        <v>337</v>
      </c>
      <c r="D12" s="467" t="s">
        <v>565</v>
      </c>
      <c r="E12" s="467" t="s">
        <v>570</v>
      </c>
      <c r="F12" s="467" t="s">
        <v>571</v>
      </c>
      <c r="G12" s="501">
        <v>0</v>
      </c>
      <c r="H12" s="501">
        <v>0</v>
      </c>
      <c r="I12" s="467"/>
      <c r="J12" s="467"/>
      <c r="K12" s="501"/>
      <c r="L12" s="501"/>
      <c r="M12" s="467"/>
      <c r="N12" s="467"/>
      <c r="O12" s="501"/>
      <c r="P12" s="501"/>
      <c r="Q12" s="472"/>
      <c r="R12" s="502"/>
    </row>
    <row r="13" spans="1:18" ht="14.45" customHeight="1" x14ac:dyDescent="0.2">
      <c r="A13" s="466" t="s">
        <v>555</v>
      </c>
      <c r="B13" s="467" t="s">
        <v>556</v>
      </c>
      <c r="C13" s="467" t="s">
        <v>337</v>
      </c>
      <c r="D13" s="467" t="s">
        <v>565</v>
      </c>
      <c r="E13" s="467" t="s">
        <v>572</v>
      </c>
      <c r="F13" s="467" t="s">
        <v>573</v>
      </c>
      <c r="G13" s="501">
        <v>379</v>
      </c>
      <c r="H13" s="501">
        <v>179646</v>
      </c>
      <c r="I13" s="467"/>
      <c r="J13" s="467">
        <v>474</v>
      </c>
      <c r="K13" s="501">
        <v>485</v>
      </c>
      <c r="L13" s="501">
        <v>231345</v>
      </c>
      <c r="M13" s="467"/>
      <c r="N13" s="467">
        <v>477</v>
      </c>
      <c r="O13" s="501">
        <v>657</v>
      </c>
      <c r="P13" s="501">
        <v>337698</v>
      </c>
      <c r="Q13" s="472"/>
      <c r="R13" s="502">
        <v>514</v>
      </c>
    </row>
    <row r="14" spans="1:18" ht="14.45" customHeight="1" x14ac:dyDescent="0.2">
      <c r="A14" s="466" t="s">
        <v>555</v>
      </c>
      <c r="B14" s="467" t="s">
        <v>556</v>
      </c>
      <c r="C14" s="467" t="s">
        <v>337</v>
      </c>
      <c r="D14" s="467" t="s">
        <v>565</v>
      </c>
      <c r="E14" s="467" t="s">
        <v>574</v>
      </c>
      <c r="F14" s="467" t="s">
        <v>575</v>
      </c>
      <c r="G14" s="501">
        <v>334</v>
      </c>
      <c r="H14" s="501">
        <v>11133.33</v>
      </c>
      <c r="I14" s="467"/>
      <c r="J14" s="467">
        <v>33.333323353293416</v>
      </c>
      <c r="K14" s="501">
        <v>497</v>
      </c>
      <c r="L14" s="501">
        <v>19194.440000000002</v>
      </c>
      <c r="M14" s="467"/>
      <c r="N14" s="467">
        <v>38.620603621730389</v>
      </c>
      <c r="O14" s="501">
        <v>654</v>
      </c>
      <c r="P14" s="501">
        <v>26741.1</v>
      </c>
      <c r="Q14" s="472"/>
      <c r="R14" s="502">
        <v>40.888532110091738</v>
      </c>
    </row>
    <row r="15" spans="1:18" ht="14.45" customHeight="1" x14ac:dyDescent="0.2">
      <c r="A15" s="466" t="s">
        <v>555</v>
      </c>
      <c r="B15" s="467" t="s">
        <v>556</v>
      </c>
      <c r="C15" s="467" t="s">
        <v>337</v>
      </c>
      <c r="D15" s="467" t="s">
        <v>565</v>
      </c>
      <c r="E15" s="467" t="s">
        <v>576</v>
      </c>
      <c r="F15" s="467" t="s">
        <v>577</v>
      </c>
      <c r="G15" s="501">
        <v>43</v>
      </c>
      <c r="H15" s="501">
        <v>1634</v>
      </c>
      <c r="I15" s="467"/>
      <c r="J15" s="467">
        <v>38</v>
      </c>
      <c r="K15" s="501">
        <v>59</v>
      </c>
      <c r="L15" s="501">
        <v>2242</v>
      </c>
      <c r="M15" s="467"/>
      <c r="N15" s="467">
        <v>38</v>
      </c>
      <c r="O15" s="501">
        <v>34</v>
      </c>
      <c r="P15" s="501">
        <v>1326</v>
      </c>
      <c r="Q15" s="472"/>
      <c r="R15" s="502">
        <v>39</v>
      </c>
    </row>
    <row r="16" spans="1:18" ht="14.45" customHeight="1" x14ac:dyDescent="0.2">
      <c r="A16" s="466" t="s">
        <v>555</v>
      </c>
      <c r="B16" s="467" t="s">
        <v>556</v>
      </c>
      <c r="C16" s="467" t="s">
        <v>337</v>
      </c>
      <c r="D16" s="467" t="s">
        <v>565</v>
      </c>
      <c r="E16" s="467" t="s">
        <v>578</v>
      </c>
      <c r="F16" s="467" t="s">
        <v>579</v>
      </c>
      <c r="G16" s="501">
        <v>7</v>
      </c>
      <c r="H16" s="501">
        <v>938</v>
      </c>
      <c r="I16" s="467"/>
      <c r="J16" s="467">
        <v>134</v>
      </c>
      <c r="K16" s="501">
        <v>13</v>
      </c>
      <c r="L16" s="501">
        <v>1755</v>
      </c>
      <c r="M16" s="467"/>
      <c r="N16" s="467">
        <v>135</v>
      </c>
      <c r="O16" s="501">
        <v>5</v>
      </c>
      <c r="P16" s="501">
        <v>725</v>
      </c>
      <c r="Q16" s="472"/>
      <c r="R16" s="502">
        <v>145</v>
      </c>
    </row>
    <row r="17" spans="1:18" ht="14.45" customHeight="1" x14ac:dyDescent="0.2">
      <c r="A17" s="466" t="s">
        <v>555</v>
      </c>
      <c r="B17" s="467" t="s">
        <v>556</v>
      </c>
      <c r="C17" s="467" t="s">
        <v>337</v>
      </c>
      <c r="D17" s="467" t="s">
        <v>565</v>
      </c>
      <c r="E17" s="467" t="s">
        <v>580</v>
      </c>
      <c r="F17" s="467" t="s">
        <v>581</v>
      </c>
      <c r="G17" s="501">
        <v>15</v>
      </c>
      <c r="H17" s="501">
        <v>3555</v>
      </c>
      <c r="I17" s="467"/>
      <c r="J17" s="467">
        <v>237</v>
      </c>
      <c r="K17" s="501">
        <v>19</v>
      </c>
      <c r="L17" s="501">
        <v>4541</v>
      </c>
      <c r="M17" s="467"/>
      <c r="N17" s="467">
        <v>239</v>
      </c>
      <c r="O17" s="501">
        <v>23</v>
      </c>
      <c r="P17" s="501">
        <v>5934</v>
      </c>
      <c r="Q17" s="472"/>
      <c r="R17" s="502">
        <v>258</v>
      </c>
    </row>
    <row r="18" spans="1:18" ht="14.45" customHeight="1" x14ac:dyDescent="0.2">
      <c r="A18" s="466" t="s">
        <v>555</v>
      </c>
      <c r="B18" s="467" t="s">
        <v>556</v>
      </c>
      <c r="C18" s="467" t="s">
        <v>337</v>
      </c>
      <c r="D18" s="467" t="s">
        <v>565</v>
      </c>
      <c r="E18" s="467" t="s">
        <v>582</v>
      </c>
      <c r="F18" s="467" t="s">
        <v>583</v>
      </c>
      <c r="G18" s="501"/>
      <c r="H18" s="501"/>
      <c r="I18" s="467"/>
      <c r="J18" s="467"/>
      <c r="K18" s="501">
        <v>6</v>
      </c>
      <c r="L18" s="501">
        <v>456</v>
      </c>
      <c r="M18" s="467"/>
      <c r="N18" s="467">
        <v>76</v>
      </c>
      <c r="O18" s="501"/>
      <c r="P18" s="501"/>
      <c r="Q18" s="472"/>
      <c r="R18" s="502"/>
    </row>
    <row r="19" spans="1:18" ht="14.45" customHeight="1" x14ac:dyDescent="0.2">
      <c r="A19" s="466" t="s">
        <v>555</v>
      </c>
      <c r="B19" s="467" t="s">
        <v>556</v>
      </c>
      <c r="C19" s="467" t="s">
        <v>337</v>
      </c>
      <c r="D19" s="467" t="s">
        <v>565</v>
      </c>
      <c r="E19" s="467" t="s">
        <v>584</v>
      </c>
      <c r="F19" s="467" t="s">
        <v>585</v>
      </c>
      <c r="G19" s="501">
        <v>29</v>
      </c>
      <c r="H19" s="501">
        <v>1769</v>
      </c>
      <c r="I19" s="467"/>
      <c r="J19" s="467">
        <v>61</v>
      </c>
      <c r="K19" s="501">
        <v>35</v>
      </c>
      <c r="L19" s="501">
        <v>2170</v>
      </c>
      <c r="M19" s="467"/>
      <c r="N19" s="467">
        <v>62</v>
      </c>
      <c r="O19" s="501">
        <v>47</v>
      </c>
      <c r="P19" s="501">
        <v>3102</v>
      </c>
      <c r="Q19" s="472"/>
      <c r="R19" s="502">
        <v>66</v>
      </c>
    </row>
    <row r="20" spans="1:18" ht="14.45" customHeight="1" x14ac:dyDescent="0.2">
      <c r="A20" s="466" t="s">
        <v>555</v>
      </c>
      <c r="B20" s="467" t="s">
        <v>556</v>
      </c>
      <c r="C20" s="467" t="s">
        <v>337</v>
      </c>
      <c r="D20" s="467" t="s">
        <v>565</v>
      </c>
      <c r="E20" s="467" t="s">
        <v>586</v>
      </c>
      <c r="F20" s="467" t="s">
        <v>587</v>
      </c>
      <c r="G20" s="501">
        <v>2534</v>
      </c>
      <c r="H20" s="501">
        <v>663908</v>
      </c>
      <c r="I20" s="467"/>
      <c r="J20" s="467">
        <v>262</v>
      </c>
      <c r="K20" s="501">
        <v>5162</v>
      </c>
      <c r="L20" s="501">
        <v>1352444</v>
      </c>
      <c r="M20" s="467"/>
      <c r="N20" s="467">
        <v>262</v>
      </c>
      <c r="O20" s="501">
        <v>4952</v>
      </c>
      <c r="P20" s="501">
        <v>1297424</v>
      </c>
      <c r="Q20" s="472"/>
      <c r="R20" s="502">
        <v>262</v>
      </c>
    </row>
    <row r="21" spans="1:18" ht="14.45" customHeight="1" x14ac:dyDescent="0.2">
      <c r="A21" s="466" t="s">
        <v>555</v>
      </c>
      <c r="B21" s="467" t="s">
        <v>556</v>
      </c>
      <c r="C21" s="467" t="s">
        <v>337</v>
      </c>
      <c r="D21" s="467" t="s">
        <v>565</v>
      </c>
      <c r="E21" s="467" t="s">
        <v>588</v>
      </c>
      <c r="F21" s="467" t="s">
        <v>589</v>
      </c>
      <c r="G21" s="501">
        <v>704</v>
      </c>
      <c r="H21" s="501">
        <v>2524544</v>
      </c>
      <c r="I21" s="467"/>
      <c r="J21" s="467">
        <v>3586</v>
      </c>
      <c r="K21" s="501">
        <v>1041</v>
      </c>
      <c r="L21" s="501">
        <v>3733026</v>
      </c>
      <c r="M21" s="467"/>
      <c r="N21" s="467">
        <v>3586</v>
      </c>
      <c r="O21" s="501">
        <v>1161</v>
      </c>
      <c r="P21" s="501">
        <v>4163346</v>
      </c>
      <c r="Q21" s="472"/>
      <c r="R21" s="502">
        <v>3586</v>
      </c>
    </row>
    <row r="22" spans="1:18" ht="14.45" customHeight="1" thickBot="1" x14ac:dyDescent="0.25">
      <c r="A22" s="474" t="s">
        <v>555</v>
      </c>
      <c r="B22" s="475" t="s">
        <v>556</v>
      </c>
      <c r="C22" s="475" t="s">
        <v>337</v>
      </c>
      <c r="D22" s="475" t="s">
        <v>565</v>
      </c>
      <c r="E22" s="475" t="s">
        <v>590</v>
      </c>
      <c r="F22" s="475" t="s">
        <v>589</v>
      </c>
      <c r="G22" s="490">
        <v>39</v>
      </c>
      <c r="H22" s="490">
        <v>202800</v>
      </c>
      <c r="I22" s="475"/>
      <c r="J22" s="475">
        <v>5200</v>
      </c>
      <c r="K22" s="490">
        <v>87</v>
      </c>
      <c r="L22" s="490">
        <v>452400</v>
      </c>
      <c r="M22" s="475"/>
      <c r="N22" s="475">
        <v>5200</v>
      </c>
      <c r="O22" s="490">
        <v>82</v>
      </c>
      <c r="P22" s="490">
        <v>426400</v>
      </c>
      <c r="Q22" s="480"/>
      <c r="R22" s="491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247AE8E-9B5C-4E11-B77B-89CCDB7AD2F4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05" t="s">
        <v>592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1" t="s">
        <v>235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124</v>
      </c>
      <c r="H3" s="102">
        <f t="shared" ref="H3:Q3" si="0">SUBTOTAL(9,H6:H1048576)</f>
        <v>4342</v>
      </c>
      <c r="I3" s="103">
        <f t="shared" si="0"/>
        <v>3600889.67</v>
      </c>
      <c r="J3" s="74"/>
      <c r="K3" s="74"/>
      <c r="L3" s="103">
        <f t="shared" si="0"/>
        <v>7824.1</v>
      </c>
      <c r="M3" s="103">
        <f t="shared" si="0"/>
        <v>5815685.9799999995</v>
      </c>
      <c r="N3" s="74"/>
      <c r="O3" s="74"/>
      <c r="P3" s="103">
        <f t="shared" si="0"/>
        <v>8116</v>
      </c>
      <c r="Q3" s="103">
        <f t="shared" si="0"/>
        <v>6282736.0999999996</v>
      </c>
      <c r="R3" s="75">
        <f>IF(M3=0,0,Q3/M3)</f>
        <v>1.0803086895692398</v>
      </c>
      <c r="S3" s="104">
        <f>IF(P3=0,0,Q3/P3)</f>
        <v>774.1173114834894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4" t="s">
        <v>131</v>
      </c>
      <c r="E4" s="416" t="s">
        <v>94</v>
      </c>
      <c r="F4" s="421" t="s">
        <v>69</v>
      </c>
      <c r="G4" s="417" t="s">
        <v>68</v>
      </c>
      <c r="H4" s="418">
        <v>2019</v>
      </c>
      <c r="I4" s="419"/>
      <c r="J4" s="101"/>
      <c r="K4" s="101"/>
      <c r="L4" s="418">
        <v>2020</v>
      </c>
      <c r="M4" s="419"/>
      <c r="N4" s="101"/>
      <c r="O4" s="101"/>
      <c r="P4" s="418">
        <v>2021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6"/>
      <c r="B5" s="536"/>
      <c r="C5" s="537"/>
      <c r="D5" s="546"/>
      <c r="E5" s="538"/>
      <c r="F5" s="539"/>
      <c r="G5" s="540"/>
      <c r="H5" s="541" t="s">
        <v>70</v>
      </c>
      <c r="I5" s="542" t="s">
        <v>13</v>
      </c>
      <c r="J5" s="543"/>
      <c r="K5" s="543"/>
      <c r="L5" s="541" t="s">
        <v>70</v>
      </c>
      <c r="M5" s="542" t="s">
        <v>13</v>
      </c>
      <c r="N5" s="543"/>
      <c r="O5" s="543"/>
      <c r="P5" s="541" t="s">
        <v>70</v>
      </c>
      <c r="Q5" s="542" t="s">
        <v>13</v>
      </c>
      <c r="R5" s="544"/>
      <c r="S5" s="545"/>
    </row>
    <row r="6" spans="1:19" ht="14.45" customHeight="1" x14ac:dyDescent="0.2">
      <c r="A6" s="459" t="s">
        <v>555</v>
      </c>
      <c r="B6" s="460" t="s">
        <v>556</v>
      </c>
      <c r="C6" s="460" t="s">
        <v>337</v>
      </c>
      <c r="D6" s="460" t="s">
        <v>544</v>
      </c>
      <c r="E6" s="460" t="s">
        <v>557</v>
      </c>
      <c r="F6" s="460" t="s">
        <v>563</v>
      </c>
      <c r="G6" s="460" t="s">
        <v>564</v>
      </c>
      <c r="H6" s="116">
        <v>0</v>
      </c>
      <c r="I6" s="116">
        <v>0</v>
      </c>
      <c r="J6" s="460"/>
      <c r="K6" s="460"/>
      <c r="L6" s="116"/>
      <c r="M6" s="116"/>
      <c r="N6" s="460"/>
      <c r="O6" s="460"/>
      <c r="P6" s="116"/>
      <c r="Q6" s="116"/>
      <c r="R6" s="465"/>
      <c r="S6" s="489"/>
    </row>
    <row r="7" spans="1:19" ht="14.45" customHeight="1" x14ac:dyDescent="0.2">
      <c r="A7" s="466" t="s">
        <v>555</v>
      </c>
      <c r="B7" s="467" t="s">
        <v>556</v>
      </c>
      <c r="C7" s="467" t="s">
        <v>337</v>
      </c>
      <c r="D7" s="467" t="s">
        <v>544</v>
      </c>
      <c r="E7" s="467" t="s">
        <v>565</v>
      </c>
      <c r="F7" s="467" t="s">
        <v>570</v>
      </c>
      <c r="G7" s="467" t="s">
        <v>571</v>
      </c>
      <c r="H7" s="501">
        <v>0</v>
      </c>
      <c r="I7" s="501">
        <v>0</v>
      </c>
      <c r="J7" s="467"/>
      <c r="K7" s="467"/>
      <c r="L7" s="501"/>
      <c r="M7" s="501"/>
      <c r="N7" s="467"/>
      <c r="O7" s="467"/>
      <c r="P7" s="501"/>
      <c r="Q7" s="501"/>
      <c r="R7" s="472"/>
      <c r="S7" s="502"/>
    </row>
    <row r="8" spans="1:19" ht="14.45" customHeight="1" x14ac:dyDescent="0.2">
      <c r="A8" s="466" t="s">
        <v>555</v>
      </c>
      <c r="B8" s="467" t="s">
        <v>556</v>
      </c>
      <c r="C8" s="467" t="s">
        <v>337</v>
      </c>
      <c r="D8" s="467" t="s">
        <v>544</v>
      </c>
      <c r="E8" s="467" t="s">
        <v>565</v>
      </c>
      <c r="F8" s="467" t="s">
        <v>576</v>
      </c>
      <c r="G8" s="467" t="s">
        <v>577</v>
      </c>
      <c r="H8" s="501">
        <v>33</v>
      </c>
      <c r="I8" s="501">
        <v>1254</v>
      </c>
      <c r="J8" s="467"/>
      <c r="K8" s="467">
        <v>38</v>
      </c>
      <c r="L8" s="501">
        <v>58</v>
      </c>
      <c r="M8" s="501">
        <v>2204</v>
      </c>
      <c r="N8" s="467"/>
      <c r="O8" s="467">
        <v>38</v>
      </c>
      <c r="P8" s="501">
        <v>34</v>
      </c>
      <c r="Q8" s="501">
        <v>1326</v>
      </c>
      <c r="R8" s="472"/>
      <c r="S8" s="502">
        <v>39</v>
      </c>
    </row>
    <row r="9" spans="1:19" ht="14.45" customHeight="1" x14ac:dyDescent="0.2">
      <c r="A9" s="466" t="s">
        <v>555</v>
      </c>
      <c r="B9" s="467" t="s">
        <v>556</v>
      </c>
      <c r="C9" s="467" t="s">
        <v>337</v>
      </c>
      <c r="D9" s="467" t="s">
        <v>544</v>
      </c>
      <c r="E9" s="467" t="s">
        <v>565</v>
      </c>
      <c r="F9" s="467" t="s">
        <v>578</v>
      </c>
      <c r="G9" s="467" t="s">
        <v>579</v>
      </c>
      <c r="H9" s="501">
        <v>7</v>
      </c>
      <c r="I9" s="501">
        <v>938</v>
      </c>
      <c r="J9" s="467"/>
      <c r="K9" s="467">
        <v>134</v>
      </c>
      <c r="L9" s="501">
        <v>13</v>
      </c>
      <c r="M9" s="501">
        <v>1755</v>
      </c>
      <c r="N9" s="467"/>
      <c r="O9" s="467">
        <v>135</v>
      </c>
      <c r="P9" s="501">
        <v>5</v>
      </c>
      <c r="Q9" s="501">
        <v>725</v>
      </c>
      <c r="R9" s="472"/>
      <c r="S9" s="502">
        <v>145</v>
      </c>
    </row>
    <row r="10" spans="1:19" ht="14.45" customHeight="1" x14ac:dyDescent="0.2">
      <c r="A10" s="466" t="s">
        <v>555</v>
      </c>
      <c r="B10" s="467" t="s">
        <v>556</v>
      </c>
      <c r="C10" s="467" t="s">
        <v>337</v>
      </c>
      <c r="D10" s="467" t="s">
        <v>544</v>
      </c>
      <c r="E10" s="467" t="s">
        <v>565</v>
      </c>
      <c r="F10" s="467" t="s">
        <v>584</v>
      </c>
      <c r="G10" s="467" t="s">
        <v>585</v>
      </c>
      <c r="H10" s="501">
        <v>25</v>
      </c>
      <c r="I10" s="501">
        <v>1525</v>
      </c>
      <c r="J10" s="467"/>
      <c r="K10" s="467">
        <v>61</v>
      </c>
      <c r="L10" s="501">
        <v>35</v>
      </c>
      <c r="M10" s="501">
        <v>2170</v>
      </c>
      <c r="N10" s="467"/>
      <c r="O10" s="467">
        <v>62</v>
      </c>
      <c r="P10" s="501">
        <v>47</v>
      </c>
      <c r="Q10" s="501">
        <v>3102</v>
      </c>
      <c r="R10" s="472"/>
      <c r="S10" s="502">
        <v>66</v>
      </c>
    </row>
    <row r="11" spans="1:19" ht="14.45" customHeight="1" x14ac:dyDescent="0.2">
      <c r="A11" s="466" t="s">
        <v>555</v>
      </c>
      <c r="B11" s="467" t="s">
        <v>556</v>
      </c>
      <c r="C11" s="467" t="s">
        <v>337</v>
      </c>
      <c r="D11" s="467" t="s">
        <v>544</v>
      </c>
      <c r="E11" s="467" t="s">
        <v>565</v>
      </c>
      <c r="F11" s="467" t="s">
        <v>586</v>
      </c>
      <c r="G11" s="467" t="s">
        <v>587</v>
      </c>
      <c r="H11" s="501"/>
      <c r="I11" s="501"/>
      <c r="J11" s="467"/>
      <c r="K11" s="467"/>
      <c r="L11" s="501"/>
      <c r="M11" s="501"/>
      <c r="N11" s="467"/>
      <c r="O11" s="467"/>
      <c r="P11" s="501">
        <v>26</v>
      </c>
      <c r="Q11" s="501">
        <v>6812</v>
      </c>
      <c r="R11" s="472"/>
      <c r="S11" s="502">
        <v>262</v>
      </c>
    </row>
    <row r="12" spans="1:19" ht="14.45" customHeight="1" x14ac:dyDescent="0.2">
      <c r="A12" s="466" t="s">
        <v>555</v>
      </c>
      <c r="B12" s="467" t="s">
        <v>556</v>
      </c>
      <c r="C12" s="467" t="s">
        <v>337</v>
      </c>
      <c r="D12" s="467" t="s">
        <v>544</v>
      </c>
      <c r="E12" s="467" t="s">
        <v>565</v>
      </c>
      <c r="F12" s="467" t="s">
        <v>588</v>
      </c>
      <c r="G12" s="467" t="s">
        <v>589</v>
      </c>
      <c r="H12" s="501"/>
      <c r="I12" s="501"/>
      <c r="J12" s="467"/>
      <c r="K12" s="467"/>
      <c r="L12" s="501">
        <v>5</v>
      </c>
      <c r="M12" s="501">
        <v>17930</v>
      </c>
      <c r="N12" s="467"/>
      <c r="O12" s="467">
        <v>3586</v>
      </c>
      <c r="P12" s="501"/>
      <c r="Q12" s="501"/>
      <c r="R12" s="472"/>
      <c r="S12" s="502"/>
    </row>
    <row r="13" spans="1:19" ht="14.45" customHeight="1" x14ac:dyDescent="0.2">
      <c r="A13" s="466" t="s">
        <v>555</v>
      </c>
      <c r="B13" s="467" t="s">
        <v>556</v>
      </c>
      <c r="C13" s="467" t="s">
        <v>337</v>
      </c>
      <c r="D13" s="467" t="s">
        <v>546</v>
      </c>
      <c r="E13" s="467" t="s">
        <v>565</v>
      </c>
      <c r="F13" s="467" t="s">
        <v>568</v>
      </c>
      <c r="G13" s="467" t="s">
        <v>569</v>
      </c>
      <c r="H13" s="501">
        <v>74</v>
      </c>
      <c r="I13" s="501">
        <v>2812</v>
      </c>
      <c r="J13" s="467"/>
      <c r="K13" s="467">
        <v>38</v>
      </c>
      <c r="L13" s="501">
        <v>39</v>
      </c>
      <c r="M13" s="501">
        <v>1482</v>
      </c>
      <c r="N13" s="467"/>
      <c r="O13" s="467">
        <v>38</v>
      </c>
      <c r="P13" s="501">
        <v>34</v>
      </c>
      <c r="Q13" s="501">
        <v>1360</v>
      </c>
      <c r="R13" s="472"/>
      <c r="S13" s="502">
        <v>40</v>
      </c>
    </row>
    <row r="14" spans="1:19" ht="14.45" customHeight="1" x14ac:dyDescent="0.2">
      <c r="A14" s="466" t="s">
        <v>555</v>
      </c>
      <c r="B14" s="467" t="s">
        <v>556</v>
      </c>
      <c r="C14" s="467" t="s">
        <v>337</v>
      </c>
      <c r="D14" s="467" t="s">
        <v>546</v>
      </c>
      <c r="E14" s="467" t="s">
        <v>565</v>
      </c>
      <c r="F14" s="467" t="s">
        <v>572</v>
      </c>
      <c r="G14" s="467" t="s">
        <v>573</v>
      </c>
      <c r="H14" s="501">
        <v>141</v>
      </c>
      <c r="I14" s="501">
        <v>66834</v>
      </c>
      <c r="J14" s="467"/>
      <c r="K14" s="467">
        <v>474</v>
      </c>
      <c r="L14" s="501">
        <v>125</v>
      </c>
      <c r="M14" s="501">
        <v>59625</v>
      </c>
      <c r="N14" s="467"/>
      <c r="O14" s="467">
        <v>477</v>
      </c>
      <c r="P14" s="501">
        <v>138</v>
      </c>
      <c r="Q14" s="501">
        <v>70932</v>
      </c>
      <c r="R14" s="472"/>
      <c r="S14" s="502">
        <v>514</v>
      </c>
    </row>
    <row r="15" spans="1:19" ht="14.45" customHeight="1" x14ac:dyDescent="0.2">
      <c r="A15" s="466" t="s">
        <v>555</v>
      </c>
      <c r="B15" s="467" t="s">
        <v>556</v>
      </c>
      <c r="C15" s="467" t="s">
        <v>337</v>
      </c>
      <c r="D15" s="467" t="s">
        <v>546</v>
      </c>
      <c r="E15" s="467" t="s">
        <v>565</v>
      </c>
      <c r="F15" s="467" t="s">
        <v>574</v>
      </c>
      <c r="G15" s="467" t="s">
        <v>575</v>
      </c>
      <c r="H15" s="501">
        <v>114</v>
      </c>
      <c r="I15" s="501">
        <v>3800</v>
      </c>
      <c r="J15" s="467"/>
      <c r="K15" s="467">
        <v>33.333333333333336</v>
      </c>
      <c r="L15" s="501">
        <v>130</v>
      </c>
      <c r="M15" s="501">
        <v>4895.55</v>
      </c>
      <c r="N15" s="467"/>
      <c r="O15" s="467">
        <v>37.658076923076926</v>
      </c>
      <c r="P15" s="501">
        <v>134</v>
      </c>
      <c r="Q15" s="501">
        <v>5375.5499999999993</v>
      </c>
      <c r="R15" s="472"/>
      <c r="S15" s="502">
        <v>40.116044776119395</v>
      </c>
    </row>
    <row r="16" spans="1:19" ht="14.45" customHeight="1" x14ac:dyDescent="0.2">
      <c r="A16" s="466" t="s">
        <v>555</v>
      </c>
      <c r="B16" s="467" t="s">
        <v>556</v>
      </c>
      <c r="C16" s="467" t="s">
        <v>337</v>
      </c>
      <c r="D16" s="467" t="s">
        <v>546</v>
      </c>
      <c r="E16" s="467" t="s">
        <v>565</v>
      </c>
      <c r="F16" s="467" t="s">
        <v>576</v>
      </c>
      <c r="G16" s="467" t="s">
        <v>577</v>
      </c>
      <c r="H16" s="501">
        <v>4</v>
      </c>
      <c r="I16" s="501">
        <v>152</v>
      </c>
      <c r="J16" s="467"/>
      <c r="K16" s="467">
        <v>38</v>
      </c>
      <c r="L16" s="501">
        <v>1</v>
      </c>
      <c r="M16" s="501">
        <v>38</v>
      </c>
      <c r="N16" s="467"/>
      <c r="O16" s="467">
        <v>38</v>
      </c>
      <c r="P16" s="501"/>
      <c r="Q16" s="501"/>
      <c r="R16" s="472"/>
      <c r="S16" s="502"/>
    </row>
    <row r="17" spans="1:19" ht="14.45" customHeight="1" x14ac:dyDescent="0.2">
      <c r="A17" s="466" t="s">
        <v>555</v>
      </c>
      <c r="B17" s="467" t="s">
        <v>556</v>
      </c>
      <c r="C17" s="467" t="s">
        <v>337</v>
      </c>
      <c r="D17" s="467" t="s">
        <v>546</v>
      </c>
      <c r="E17" s="467" t="s">
        <v>565</v>
      </c>
      <c r="F17" s="467" t="s">
        <v>580</v>
      </c>
      <c r="G17" s="467" t="s">
        <v>581</v>
      </c>
      <c r="H17" s="501">
        <v>3</v>
      </c>
      <c r="I17" s="501">
        <v>711</v>
      </c>
      <c r="J17" s="467"/>
      <c r="K17" s="467">
        <v>237</v>
      </c>
      <c r="L17" s="501">
        <v>5</v>
      </c>
      <c r="M17" s="501">
        <v>1195</v>
      </c>
      <c r="N17" s="467"/>
      <c r="O17" s="467">
        <v>239</v>
      </c>
      <c r="P17" s="501">
        <v>3</v>
      </c>
      <c r="Q17" s="501">
        <v>774</v>
      </c>
      <c r="R17" s="472"/>
      <c r="S17" s="502">
        <v>258</v>
      </c>
    </row>
    <row r="18" spans="1:19" ht="14.45" customHeight="1" x14ac:dyDescent="0.2">
      <c r="A18" s="466" t="s">
        <v>555</v>
      </c>
      <c r="B18" s="467" t="s">
        <v>556</v>
      </c>
      <c r="C18" s="467" t="s">
        <v>337</v>
      </c>
      <c r="D18" s="467" t="s">
        <v>546</v>
      </c>
      <c r="E18" s="467" t="s">
        <v>565</v>
      </c>
      <c r="F18" s="467" t="s">
        <v>584</v>
      </c>
      <c r="G18" s="467" t="s">
        <v>585</v>
      </c>
      <c r="H18" s="501">
        <v>1</v>
      </c>
      <c r="I18" s="501">
        <v>61</v>
      </c>
      <c r="J18" s="467"/>
      <c r="K18" s="467">
        <v>61</v>
      </c>
      <c r="L18" s="501"/>
      <c r="M18" s="501"/>
      <c r="N18" s="467"/>
      <c r="O18" s="467"/>
      <c r="P18" s="501"/>
      <c r="Q18" s="501"/>
      <c r="R18" s="472"/>
      <c r="S18" s="502"/>
    </row>
    <row r="19" spans="1:19" ht="14.45" customHeight="1" x14ac:dyDescent="0.2">
      <c r="A19" s="466" t="s">
        <v>555</v>
      </c>
      <c r="B19" s="467" t="s">
        <v>556</v>
      </c>
      <c r="C19" s="467" t="s">
        <v>337</v>
      </c>
      <c r="D19" s="467" t="s">
        <v>548</v>
      </c>
      <c r="E19" s="467" t="s">
        <v>557</v>
      </c>
      <c r="F19" s="467" t="s">
        <v>558</v>
      </c>
      <c r="G19" s="467"/>
      <c r="H19" s="501">
        <v>1</v>
      </c>
      <c r="I19" s="501">
        <v>2.44</v>
      </c>
      <c r="J19" s="467"/>
      <c r="K19" s="467">
        <v>2.44</v>
      </c>
      <c r="L19" s="501"/>
      <c r="M19" s="501"/>
      <c r="N19" s="467"/>
      <c r="O19" s="467"/>
      <c r="P19" s="501"/>
      <c r="Q19" s="501"/>
      <c r="R19" s="472"/>
      <c r="S19" s="502"/>
    </row>
    <row r="20" spans="1:19" ht="14.45" customHeight="1" x14ac:dyDescent="0.2">
      <c r="A20" s="466" t="s">
        <v>555</v>
      </c>
      <c r="B20" s="467" t="s">
        <v>556</v>
      </c>
      <c r="C20" s="467" t="s">
        <v>337</v>
      </c>
      <c r="D20" s="467" t="s">
        <v>548</v>
      </c>
      <c r="E20" s="467" t="s">
        <v>557</v>
      </c>
      <c r="F20" s="467" t="s">
        <v>559</v>
      </c>
      <c r="G20" s="467" t="s">
        <v>560</v>
      </c>
      <c r="H20" s="501">
        <v>1</v>
      </c>
      <c r="I20" s="501">
        <v>1118.9000000000001</v>
      </c>
      <c r="J20" s="467"/>
      <c r="K20" s="467">
        <v>1118.9000000000001</v>
      </c>
      <c r="L20" s="501"/>
      <c r="M20" s="501"/>
      <c r="N20" s="467"/>
      <c r="O20" s="467"/>
      <c r="P20" s="501"/>
      <c r="Q20" s="501"/>
      <c r="R20" s="472"/>
      <c r="S20" s="502"/>
    </row>
    <row r="21" spans="1:19" ht="14.45" customHeight="1" x14ac:dyDescent="0.2">
      <c r="A21" s="466" t="s">
        <v>555</v>
      </c>
      <c r="B21" s="467" t="s">
        <v>556</v>
      </c>
      <c r="C21" s="467" t="s">
        <v>337</v>
      </c>
      <c r="D21" s="467" t="s">
        <v>548</v>
      </c>
      <c r="E21" s="467" t="s">
        <v>565</v>
      </c>
      <c r="F21" s="467" t="s">
        <v>566</v>
      </c>
      <c r="G21" s="467" t="s">
        <v>567</v>
      </c>
      <c r="H21" s="501">
        <v>1</v>
      </c>
      <c r="I21" s="501">
        <v>151</v>
      </c>
      <c r="J21" s="467"/>
      <c r="K21" s="467">
        <v>151</v>
      </c>
      <c r="L21" s="501"/>
      <c r="M21" s="501"/>
      <c r="N21" s="467"/>
      <c r="O21" s="467"/>
      <c r="P21" s="501"/>
      <c r="Q21" s="501"/>
      <c r="R21" s="472"/>
      <c r="S21" s="502"/>
    </row>
    <row r="22" spans="1:19" ht="14.45" customHeight="1" x14ac:dyDescent="0.2">
      <c r="A22" s="466" t="s">
        <v>555</v>
      </c>
      <c r="B22" s="467" t="s">
        <v>556</v>
      </c>
      <c r="C22" s="467" t="s">
        <v>337</v>
      </c>
      <c r="D22" s="467" t="s">
        <v>549</v>
      </c>
      <c r="E22" s="467" t="s">
        <v>565</v>
      </c>
      <c r="F22" s="467" t="s">
        <v>584</v>
      </c>
      <c r="G22" s="467" t="s">
        <v>585</v>
      </c>
      <c r="H22" s="501">
        <v>1</v>
      </c>
      <c r="I22" s="501">
        <v>61</v>
      </c>
      <c r="J22" s="467"/>
      <c r="K22" s="467">
        <v>61</v>
      </c>
      <c r="L22" s="501"/>
      <c r="M22" s="501"/>
      <c r="N22" s="467"/>
      <c r="O22" s="467"/>
      <c r="P22" s="501"/>
      <c r="Q22" s="501"/>
      <c r="R22" s="472"/>
      <c r="S22" s="502"/>
    </row>
    <row r="23" spans="1:19" ht="14.45" customHeight="1" x14ac:dyDescent="0.2">
      <c r="A23" s="466" t="s">
        <v>555</v>
      </c>
      <c r="B23" s="467" t="s">
        <v>556</v>
      </c>
      <c r="C23" s="467" t="s">
        <v>337</v>
      </c>
      <c r="D23" s="467" t="s">
        <v>551</v>
      </c>
      <c r="E23" s="467" t="s">
        <v>565</v>
      </c>
      <c r="F23" s="467" t="s">
        <v>576</v>
      </c>
      <c r="G23" s="467" t="s">
        <v>577</v>
      </c>
      <c r="H23" s="501">
        <v>1</v>
      </c>
      <c r="I23" s="501">
        <v>38</v>
      </c>
      <c r="J23" s="467"/>
      <c r="K23" s="467">
        <v>38</v>
      </c>
      <c r="L23" s="501"/>
      <c r="M23" s="501"/>
      <c r="N23" s="467"/>
      <c r="O23" s="467"/>
      <c r="P23" s="501"/>
      <c r="Q23" s="501"/>
      <c r="R23" s="472"/>
      <c r="S23" s="502"/>
    </row>
    <row r="24" spans="1:19" ht="14.45" customHeight="1" x14ac:dyDescent="0.2">
      <c r="A24" s="466" t="s">
        <v>555</v>
      </c>
      <c r="B24" s="467" t="s">
        <v>556</v>
      </c>
      <c r="C24" s="467" t="s">
        <v>337</v>
      </c>
      <c r="D24" s="467" t="s">
        <v>552</v>
      </c>
      <c r="E24" s="467" t="s">
        <v>565</v>
      </c>
      <c r="F24" s="467" t="s">
        <v>568</v>
      </c>
      <c r="G24" s="467" t="s">
        <v>569</v>
      </c>
      <c r="H24" s="501">
        <v>181</v>
      </c>
      <c r="I24" s="501">
        <v>6878</v>
      </c>
      <c r="J24" s="467"/>
      <c r="K24" s="467">
        <v>38</v>
      </c>
      <c r="L24" s="501">
        <v>380</v>
      </c>
      <c r="M24" s="501">
        <v>14440</v>
      </c>
      <c r="N24" s="467"/>
      <c r="O24" s="467">
        <v>38</v>
      </c>
      <c r="P24" s="501">
        <v>467</v>
      </c>
      <c r="Q24" s="501">
        <v>18680</v>
      </c>
      <c r="R24" s="472"/>
      <c r="S24" s="502">
        <v>40</v>
      </c>
    </row>
    <row r="25" spans="1:19" ht="14.45" customHeight="1" x14ac:dyDescent="0.2">
      <c r="A25" s="466" t="s">
        <v>555</v>
      </c>
      <c r="B25" s="467" t="s">
        <v>556</v>
      </c>
      <c r="C25" s="467" t="s">
        <v>337</v>
      </c>
      <c r="D25" s="467" t="s">
        <v>552</v>
      </c>
      <c r="E25" s="467" t="s">
        <v>565</v>
      </c>
      <c r="F25" s="467" t="s">
        <v>572</v>
      </c>
      <c r="G25" s="467" t="s">
        <v>573</v>
      </c>
      <c r="H25" s="501">
        <v>238</v>
      </c>
      <c r="I25" s="501">
        <v>112812</v>
      </c>
      <c r="J25" s="467"/>
      <c r="K25" s="467">
        <v>474</v>
      </c>
      <c r="L25" s="501">
        <v>360</v>
      </c>
      <c r="M25" s="501">
        <v>171720</v>
      </c>
      <c r="N25" s="467"/>
      <c r="O25" s="467">
        <v>477</v>
      </c>
      <c r="P25" s="501">
        <v>519</v>
      </c>
      <c r="Q25" s="501">
        <v>266766</v>
      </c>
      <c r="R25" s="472"/>
      <c r="S25" s="502">
        <v>514</v>
      </c>
    </row>
    <row r="26" spans="1:19" ht="14.45" customHeight="1" x14ac:dyDescent="0.2">
      <c r="A26" s="466" t="s">
        <v>555</v>
      </c>
      <c r="B26" s="467" t="s">
        <v>556</v>
      </c>
      <c r="C26" s="467" t="s">
        <v>337</v>
      </c>
      <c r="D26" s="467" t="s">
        <v>552</v>
      </c>
      <c r="E26" s="467" t="s">
        <v>565</v>
      </c>
      <c r="F26" s="467" t="s">
        <v>574</v>
      </c>
      <c r="G26" s="467" t="s">
        <v>575</v>
      </c>
      <c r="H26" s="501">
        <v>220</v>
      </c>
      <c r="I26" s="501">
        <v>7333.33</v>
      </c>
      <c r="J26" s="467"/>
      <c r="K26" s="467">
        <v>33.333318181818179</v>
      </c>
      <c r="L26" s="501">
        <v>367</v>
      </c>
      <c r="M26" s="501">
        <v>14298.89</v>
      </c>
      <c r="N26" s="467"/>
      <c r="O26" s="467">
        <v>38.961553133514983</v>
      </c>
      <c r="P26" s="501">
        <v>520</v>
      </c>
      <c r="Q26" s="501">
        <v>21365.55</v>
      </c>
      <c r="R26" s="472"/>
      <c r="S26" s="502">
        <v>41.08759615384615</v>
      </c>
    </row>
    <row r="27" spans="1:19" ht="14.45" customHeight="1" x14ac:dyDescent="0.2">
      <c r="A27" s="466" t="s">
        <v>555</v>
      </c>
      <c r="B27" s="467" t="s">
        <v>556</v>
      </c>
      <c r="C27" s="467" t="s">
        <v>337</v>
      </c>
      <c r="D27" s="467" t="s">
        <v>552</v>
      </c>
      <c r="E27" s="467" t="s">
        <v>565</v>
      </c>
      <c r="F27" s="467" t="s">
        <v>576</v>
      </c>
      <c r="G27" s="467" t="s">
        <v>577</v>
      </c>
      <c r="H27" s="501">
        <v>2</v>
      </c>
      <c r="I27" s="501">
        <v>76</v>
      </c>
      <c r="J27" s="467"/>
      <c r="K27" s="467">
        <v>38</v>
      </c>
      <c r="L27" s="501"/>
      <c r="M27" s="501"/>
      <c r="N27" s="467"/>
      <c r="O27" s="467"/>
      <c r="P27" s="501"/>
      <c r="Q27" s="501"/>
      <c r="R27" s="472"/>
      <c r="S27" s="502"/>
    </row>
    <row r="28" spans="1:19" ht="14.45" customHeight="1" x14ac:dyDescent="0.2">
      <c r="A28" s="466" t="s">
        <v>555</v>
      </c>
      <c r="B28" s="467" t="s">
        <v>556</v>
      </c>
      <c r="C28" s="467" t="s">
        <v>337</v>
      </c>
      <c r="D28" s="467" t="s">
        <v>552</v>
      </c>
      <c r="E28" s="467" t="s">
        <v>565</v>
      </c>
      <c r="F28" s="467" t="s">
        <v>580</v>
      </c>
      <c r="G28" s="467" t="s">
        <v>581</v>
      </c>
      <c r="H28" s="501">
        <v>12</v>
      </c>
      <c r="I28" s="501">
        <v>2844</v>
      </c>
      <c r="J28" s="467"/>
      <c r="K28" s="467">
        <v>237</v>
      </c>
      <c r="L28" s="501">
        <v>14</v>
      </c>
      <c r="M28" s="501">
        <v>3346</v>
      </c>
      <c r="N28" s="467"/>
      <c r="O28" s="467">
        <v>239</v>
      </c>
      <c r="P28" s="501">
        <v>20</v>
      </c>
      <c r="Q28" s="501">
        <v>5160</v>
      </c>
      <c r="R28" s="472"/>
      <c r="S28" s="502">
        <v>258</v>
      </c>
    </row>
    <row r="29" spans="1:19" ht="14.45" customHeight="1" x14ac:dyDescent="0.2">
      <c r="A29" s="466" t="s">
        <v>555</v>
      </c>
      <c r="B29" s="467" t="s">
        <v>556</v>
      </c>
      <c r="C29" s="467" t="s">
        <v>337</v>
      </c>
      <c r="D29" s="467" t="s">
        <v>552</v>
      </c>
      <c r="E29" s="467" t="s">
        <v>565</v>
      </c>
      <c r="F29" s="467" t="s">
        <v>582</v>
      </c>
      <c r="G29" s="467" t="s">
        <v>583</v>
      </c>
      <c r="H29" s="501"/>
      <c r="I29" s="501"/>
      <c r="J29" s="467"/>
      <c r="K29" s="467"/>
      <c r="L29" s="501">
        <v>6</v>
      </c>
      <c r="M29" s="501">
        <v>456</v>
      </c>
      <c r="N29" s="467"/>
      <c r="O29" s="467">
        <v>76</v>
      </c>
      <c r="P29" s="501"/>
      <c r="Q29" s="501"/>
      <c r="R29" s="472"/>
      <c r="S29" s="502"/>
    </row>
    <row r="30" spans="1:19" ht="14.45" customHeight="1" x14ac:dyDescent="0.2">
      <c r="A30" s="466" t="s">
        <v>555</v>
      </c>
      <c r="B30" s="467" t="s">
        <v>556</v>
      </c>
      <c r="C30" s="467" t="s">
        <v>337</v>
      </c>
      <c r="D30" s="467" t="s">
        <v>552</v>
      </c>
      <c r="E30" s="467" t="s">
        <v>565</v>
      </c>
      <c r="F30" s="467" t="s">
        <v>584</v>
      </c>
      <c r="G30" s="467" t="s">
        <v>585</v>
      </c>
      <c r="H30" s="501">
        <v>2</v>
      </c>
      <c r="I30" s="501">
        <v>122</v>
      </c>
      <c r="J30" s="467"/>
      <c r="K30" s="467">
        <v>61</v>
      </c>
      <c r="L30" s="501"/>
      <c r="M30" s="501"/>
      <c r="N30" s="467"/>
      <c r="O30" s="467"/>
      <c r="P30" s="501"/>
      <c r="Q30" s="501"/>
      <c r="R30" s="472"/>
      <c r="S30" s="502"/>
    </row>
    <row r="31" spans="1:19" ht="14.45" customHeight="1" x14ac:dyDescent="0.2">
      <c r="A31" s="466" t="s">
        <v>555</v>
      </c>
      <c r="B31" s="467" t="s">
        <v>556</v>
      </c>
      <c r="C31" s="467" t="s">
        <v>337</v>
      </c>
      <c r="D31" s="467" t="s">
        <v>552</v>
      </c>
      <c r="E31" s="467" t="s">
        <v>565</v>
      </c>
      <c r="F31" s="467" t="s">
        <v>586</v>
      </c>
      <c r="G31" s="467" t="s">
        <v>587</v>
      </c>
      <c r="H31" s="501">
        <v>2534</v>
      </c>
      <c r="I31" s="501">
        <v>663908</v>
      </c>
      <c r="J31" s="467"/>
      <c r="K31" s="467">
        <v>262</v>
      </c>
      <c r="L31" s="501">
        <v>5162</v>
      </c>
      <c r="M31" s="501">
        <v>1352444</v>
      </c>
      <c r="N31" s="467"/>
      <c r="O31" s="467">
        <v>262</v>
      </c>
      <c r="P31" s="501">
        <v>4926</v>
      </c>
      <c r="Q31" s="501">
        <v>1290612</v>
      </c>
      <c r="R31" s="472"/>
      <c r="S31" s="502">
        <v>262</v>
      </c>
    </row>
    <row r="32" spans="1:19" ht="14.45" customHeight="1" x14ac:dyDescent="0.2">
      <c r="A32" s="466" t="s">
        <v>555</v>
      </c>
      <c r="B32" s="467" t="s">
        <v>556</v>
      </c>
      <c r="C32" s="467" t="s">
        <v>337</v>
      </c>
      <c r="D32" s="467" t="s">
        <v>552</v>
      </c>
      <c r="E32" s="467" t="s">
        <v>565</v>
      </c>
      <c r="F32" s="467" t="s">
        <v>588</v>
      </c>
      <c r="G32" s="467" t="s">
        <v>589</v>
      </c>
      <c r="H32" s="501">
        <v>704</v>
      </c>
      <c r="I32" s="501">
        <v>2524544</v>
      </c>
      <c r="J32" s="467"/>
      <c r="K32" s="467">
        <v>3586</v>
      </c>
      <c r="L32" s="501">
        <v>1036</v>
      </c>
      <c r="M32" s="501">
        <v>3715096</v>
      </c>
      <c r="N32" s="467"/>
      <c r="O32" s="467">
        <v>3586</v>
      </c>
      <c r="P32" s="501">
        <v>1161</v>
      </c>
      <c r="Q32" s="501">
        <v>4163346</v>
      </c>
      <c r="R32" s="472"/>
      <c r="S32" s="502">
        <v>3586</v>
      </c>
    </row>
    <row r="33" spans="1:19" ht="14.45" customHeight="1" x14ac:dyDescent="0.2">
      <c r="A33" s="466" t="s">
        <v>555</v>
      </c>
      <c r="B33" s="467" t="s">
        <v>556</v>
      </c>
      <c r="C33" s="467" t="s">
        <v>337</v>
      </c>
      <c r="D33" s="467" t="s">
        <v>552</v>
      </c>
      <c r="E33" s="467" t="s">
        <v>565</v>
      </c>
      <c r="F33" s="467" t="s">
        <v>590</v>
      </c>
      <c r="G33" s="467" t="s">
        <v>589</v>
      </c>
      <c r="H33" s="501">
        <v>39</v>
      </c>
      <c r="I33" s="501">
        <v>202800</v>
      </c>
      <c r="J33" s="467"/>
      <c r="K33" s="467">
        <v>5200</v>
      </c>
      <c r="L33" s="501">
        <v>87</v>
      </c>
      <c r="M33" s="501">
        <v>452400</v>
      </c>
      <c r="N33" s="467"/>
      <c r="O33" s="467">
        <v>5200</v>
      </c>
      <c r="P33" s="501">
        <v>82</v>
      </c>
      <c r="Q33" s="501">
        <v>426400</v>
      </c>
      <c r="R33" s="472"/>
      <c r="S33" s="502">
        <v>5200</v>
      </c>
    </row>
    <row r="34" spans="1:19" ht="14.45" customHeight="1" x14ac:dyDescent="0.2">
      <c r="A34" s="466" t="s">
        <v>555</v>
      </c>
      <c r="B34" s="467" t="s">
        <v>556</v>
      </c>
      <c r="C34" s="467" t="s">
        <v>337</v>
      </c>
      <c r="D34" s="467" t="s">
        <v>553</v>
      </c>
      <c r="E34" s="467" t="s">
        <v>565</v>
      </c>
      <c r="F34" s="467" t="s">
        <v>576</v>
      </c>
      <c r="G34" s="467" t="s">
        <v>577</v>
      </c>
      <c r="H34" s="501">
        <v>1</v>
      </c>
      <c r="I34" s="501">
        <v>38</v>
      </c>
      <c r="J34" s="467"/>
      <c r="K34" s="467">
        <v>38</v>
      </c>
      <c r="L34" s="501"/>
      <c r="M34" s="501"/>
      <c r="N34" s="467"/>
      <c r="O34" s="467"/>
      <c r="P34" s="501"/>
      <c r="Q34" s="501"/>
      <c r="R34" s="472"/>
      <c r="S34" s="502"/>
    </row>
    <row r="35" spans="1:19" ht="14.45" customHeight="1" x14ac:dyDescent="0.2">
      <c r="A35" s="466" t="s">
        <v>555</v>
      </c>
      <c r="B35" s="467" t="s">
        <v>556</v>
      </c>
      <c r="C35" s="467" t="s">
        <v>337</v>
      </c>
      <c r="D35" s="467" t="s">
        <v>545</v>
      </c>
      <c r="E35" s="467" t="s">
        <v>565</v>
      </c>
      <c r="F35" s="467" t="s">
        <v>576</v>
      </c>
      <c r="G35" s="467" t="s">
        <v>577</v>
      </c>
      <c r="H35" s="501">
        <v>1</v>
      </c>
      <c r="I35" s="501">
        <v>38</v>
      </c>
      <c r="J35" s="467"/>
      <c r="K35" s="467">
        <v>38</v>
      </c>
      <c r="L35" s="501"/>
      <c r="M35" s="501"/>
      <c r="N35" s="467"/>
      <c r="O35" s="467"/>
      <c r="P35" s="501"/>
      <c r="Q35" s="501"/>
      <c r="R35" s="472"/>
      <c r="S35" s="502"/>
    </row>
    <row r="36" spans="1:19" ht="14.45" customHeight="1" x14ac:dyDescent="0.2">
      <c r="A36" s="466" t="s">
        <v>555</v>
      </c>
      <c r="B36" s="467" t="s">
        <v>556</v>
      </c>
      <c r="C36" s="467" t="s">
        <v>337</v>
      </c>
      <c r="D36" s="467" t="s">
        <v>550</v>
      </c>
      <c r="E36" s="467" t="s">
        <v>565</v>
      </c>
      <c r="F36" s="467" t="s">
        <v>576</v>
      </c>
      <c r="G36" s="467" t="s">
        <v>577</v>
      </c>
      <c r="H36" s="501">
        <v>1</v>
      </c>
      <c r="I36" s="501">
        <v>38</v>
      </c>
      <c r="J36" s="467"/>
      <c r="K36" s="467">
        <v>38</v>
      </c>
      <c r="L36" s="501"/>
      <c r="M36" s="501"/>
      <c r="N36" s="467"/>
      <c r="O36" s="467"/>
      <c r="P36" s="501"/>
      <c r="Q36" s="501"/>
      <c r="R36" s="472"/>
      <c r="S36" s="502"/>
    </row>
    <row r="37" spans="1:19" ht="14.45" customHeight="1" x14ac:dyDescent="0.2">
      <c r="A37" s="466" t="s">
        <v>555</v>
      </c>
      <c r="B37" s="467" t="s">
        <v>556</v>
      </c>
      <c r="C37" s="467" t="s">
        <v>337</v>
      </c>
      <c r="D37" s="467" t="s">
        <v>547</v>
      </c>
      <c r="E37" s="467" t="s">
        <v>557</v>
      </c>
      <c r="F37" s="467" t="s">
        <v>561</v>
      </c>
      <c r="G37" s="467" t="s">
        <v>562</v>
      </c>
      <c r="H37" s="501"/>
      <c r="I37" s="501"/>
      <c r="J37" s="467"/>
      <c r="K37" s="467"/>
      <c r="L37" s="501">
        <v>0.1</v>
      </c>
      <c r="M37" s="501">
        <v>37.54</v>
      </c>
      <c r="N37" s="467"/>
      <c r="O37" s="467">
        <v>375.4</v>
      </c>
      <c r="P37" s="501"/>
      <c r="Q37" s="501"/>
      <c r="R37" s="472"/>
      <c r="S37" s="502"/>
    </row>
    <row r="38" spans="1:19" ht="14.45" customHeight="1" thickBot="1" x14ac:dyDescent="0.25">
      <c r="A38" s="474" t="s">
        <v>555</v>
      </c>
      <c r="B38" s="475" t="s">
        <v>556</v>
      </c>
      <c r="C38" s="475" t="s">
        <v>337</v>
      </c>
      <c r="D38" s="475" t="s">
        <v>547</v>
      </c>
      <c r="E38" s="475" t="s">
        <v>565</v>
      </c>
      <c r="F38" s="475" t="s">
        <v>566</v>
      </c>
      <c r="G38" s="475" t="s">
        <v>567</v>
      </c>
      <c r="H38" s="490"/>
      <c r="I38" s="490"/>
      <c r="J38" s="475"/>
      <c r="K38" s="475"/>
      <c r="L38" s="490">
        <v>1</v>
      </c>
      <c r="M38" s="490">
        <v>153</v>
      </c>
      <c r="N38" s="475"/>
      <c r="O38" s="475">
        <v>153</v>
      </c>
      <c r="P38" s="490"/>
      <c r="Q38" s="490"/>
      <c r="R38" s="480"/>
      <c r="S38" s="491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63E2BEF-E7E8-459B-BF9F-0FF755F0F795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1" t="s">
        <v>235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124</v>
      </c>
      <c r="B3" s="220">
        <f>SUBTOTAL(9,B6:B1048576)</f>
        <v>20000</v>
      </c>
      <c r="C3" s="221">
        <f t="shared" ref="C3:R3" si="0">SUBTOTAL(9,C6:C1048576)</f>
        <v>0</v>
      </c>
      <c r="D3" s="221">
        <f t="shared" si="0"/>
        <v>21095</v>
      </c>
      <c r="E3" s="221">
        <f t="shared" si="0"/>
        <v>0</v>
      </c>
      <c r="F3" s="221">
        <f t="shared" si="0"/>
        <v>14987.56</v>
      </c>
      <c r="G3" s="224">
        <f>IF(D3&lt;&gt;0,F3/D3,"")</f>
        <v>0.71047926048826737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3"/>
      <c r="B5" s="514">
        <v>2019</v>
      </c>
      <c r="C5" s="515"/>
      <c r="D5" s="515">
        <v>2020</v>
      </c>
      <c r="E5" s="515"/>
      <c r="F5" s="515">
        <v>2021</v>
      </c>
      <c r="G5" s="547" t="s">
        <v>2</v>
      </c>
      <c r="H5" s="514">
        <v>2019</v>
      </c>
      <c r="I5" s="515"/>
      <c r="J5" s="515">
        <v>2020</v>
      </c>
      <c r="K5" s="515"/>
      <c r="L5" s="515">
        <v>2021</v>
      </c>
      <c r="M5" s="547" t="s">
        <v>2</v>
      </c>
      <c r="N5" s="514">
        <v>2019</v>
      </c>
      <c r="O5" s="515"/>
      <c r="P5" s="515">
        <v>2020</v>
      </c>
      <c r="Q5" s="515"/>
      <c r="R5" s="515">
        <v>2021</v>
      </c>
      <c r="S5" s="547" t="s">
        <v>2</v>
      </c>
    </row>
    <row r="6" spans="1:19" ht="14.45" customHeight="1" x14ac:dyDescent="0.2">
      <c r="A6" s="533" t="s">
        <v>593</v>
      </c>
      <c r="B6" s="527"/>
      <c r="C6" s="460"/>
      <c r="D6" s="527">
        <v>315</v>
      </c>
      <c r="E6" s="460"/>
      <c r="F6" s="527">
        <v>514</v>
      </c>
      <c r="G6" s="465"/>
      <c r="H6" s="527"/>
      <c r="I6" s="460"/>
      <c r="J6" s="527"/>
      <c r="K6" s="460"/>
      <c r="L6" s="527"/>
      <c r="M6" s="465"/>
      <c r="N6" s="527"/>
      <c r="O6" s="460"/>
      <c r="P6" s="527"/>
      <c r="Q6" s="460"/>
      <c r="R6" s="527"/>
      <c r="S6" s="122"/>
    </row>
    <row r="7" spans="1:19" ht="14.45" customHeight="1" x14ac:dyDescent="0.2">
      <c r="A7" s="534" t="s">
        <v>594</v>
      </c>
      <c r="B7" s="529">
        <v>8035</v>
      </c>
      <c r="C7" s="467"/>
      <c r="D7" s="529">
        <v>6168</v>
      </c>
      <c r="E7" s="467"/>
      <c r="F7" s="529">
        <v>4637.5599999999995</v>
      </c>
      <c r="G7" s="472"/>
      <c r="H7" s="529"/>
      <c r="I7" s="467"/>
      <c r="J7" s="529"/>
      <c r="K7" s="467"/>
      <c r="L7" s="529"/>
      <c r="M7" s="472"/>
      <c r="N7" s="529"/>
      <c r="O7" s="467"/>
      <c r="P7" s="529"/>
      <c r="Q7" s="467"/>
      <c r="R7" s="529"/>
      <c r="S7" s="473"/>
    </row>
    <row r="8" spans="1:19" ht="14.45" customHeight="1" x14ac:dyDescent="0.2">
      <c r="A8" s="534" t="s">
        <v>595</v>
      </c>
      <c r="B8" s="529">
        <v>512</v>
      </c>
      <c r="C8" s="467"/>
      <c r="D8" s="529">
        <v>477</v>
      </c>
      <c r="E8" s="467"/>
      <c r="F8" s="529">
        <v>1108</v>
      </c>
      <c r="G8" s="472"/>
      <c r="H8" s="529"/>
      <c r="I8" s="467"/>
      <c r="J8" s="529"/>
      <c r="K8" s="467"/>
      <c r="L8" s="529"/>
      <c r="M8" s="472"/>
      <c r="N8" s="529"/>
      <c r="O8" s="467"/>
      <c r="P8" s="529"/>
      <c r="Q8" s="467"/>
      <c r="R8" s="529"/>
      <c r="S8" s="473"/>
    </row>
    <row r="9" spans="1:19" ht="14.45" customHeight="1" x14ac:dyDescent="0.2">
      <c r="A9" s="534" t="s">
        <v>596</v>
      </c>
      <c r="B9" s="529">
        <v>5883</v>
      </c>
      <c r="C9" s="467"/>
      <c r="D9" s="529">
        <v>7592</v>
      </c>
      <c r="E9" s="467"/>
      <c r="F9" s="529">
        <v>2908</v>
      </c>
      <c r="G9" s="472"/>
      <c r="H9" s="529"/>
      <c r="I9" s="467"/>
      <c r="J9" s="529"/>
      <c r="K9" s="467"/>
      <c r="L9" s="529"/>
      <c r="M9" s="472"/>
      <c r="N9" s="529"/>
      <c r="O9" s="467"/>
      <c r="P9" s="529"/>
      <c r="Q9" s="467"/>
      <c r="R9" s="529"/>
      <c r="S9" s="473"/>
    </row>
    <row r="10" spans="1:19" ht="14.45" customHeight="1" x14ac:dyDescent="0.2">
      <c r="A10" s="534" t="s">
        <v>597</v>
      </c>
      <c r="B10" s="529"/>
      <c r="C10" s="467"/>
      <c r="D10" s="529"/>
      <c r="E10" s="467"/>
      <c r="F10" s="529">
        <v>514</v>
      </c>
      <c r="G10" s="472"/>
      <c r="H10" s="529"/>
      <c r="I10" s="467"/>
      <c r="J10" s="529"/>
      <c r="K10" s="467"/>
      <c r="L10" s="529"/>
      <c r="M10" s="472"/>
      <c r="N10" s="529"/>
      <c r="O10" s="467"/>
      <c r="P10" s="529"/>
      <c r="Q10" s="467"/>
      <c r="R10" s="529"/>
      <c r="S10" s="473"/>
    </row>
    <row r="11" spans="1:19" ht="14.45" customHeight="1" x14ac:dyDescent="0.2">
      <c r="A11" s="534" t="s">
        <v>598</v>
      </c>
      <c r="B11" s="529">
        <v>38</v>
      </c>
      <c r="C11" s="467"/>
      <c r="D11" s="529"/>
      <c r="E11" s="467"/>
      <c r="F11" s="529"/>
      <c r="G11" s="472"/>
      <c r="H11" s="529"/>
      <c r="I11" s="467"/>
      <c r="J11" s="529"/>
      <c r="K11" s="467"/>
      <c r="L11" s="529"/>
      <c r="M11" s="472"/>
      <c r="N11" s="529"/>
      <c r="O11" s="467"/>
      <c r="P11" s="529"/>
      <c r="Q11" s="467"/>
      <c r="R11" s="529"/>
      <c r="S11" s="473"/>
    </row>
    <row r="12" spans="1:19" ht="14.45" customHeight="1" x14ac:dyDescent="0.2">
      <c r="A12" s="534" t="s">
        <v>599</v>
      </c>
      <c r="B12" s="529"/>
      <c r="C12" s="467"/>
      <c r="D12" s="529">
        <v>277</v>
      </c>
      <c r="E12" s="467"/>
      <c r="F12" s="529">
        <v>40</v>
      </c>
      <c r="G12" s="472"/>
      <c r="H12" s="529"/>
      <c r="I12" s="467"/>
      <c r="J12" s="529"/>
      <c r="K12" s="467"/>
      <c r="L12" s="529"/>
      <c r="M12" s="472"/>
      <c r="N12" s="529"/>
      <c r="O12" s="467"/>
      <c r="P12" s="529"/>
      <c r="Q12" s="467"/>
      <c r="R12" s="529"/>
      <c r="S12" s="473"/>
    </row>
    <row r="13" spans="1:19" ht="14.45" customHeight="1" x14ac:dyDescent="0.2">
      <c r="A13" s="534" t="s">
        <v>600</v>
      </c>
      <c r="B13" s="529"/>
      <c r="C13" s="467"/>
      <c r="D13" s="529"/>
      <c r="E13" s="467"/>
      <c r="F13" s="529">
        <v>514</v>
      </c>
      <c r="G13" s="472"/>
      <c r="H13" s="529"/>
      <c r="I13" s="467"/>
      <c r="J13" s="529"/>
      <c r="K13" s="467"/>
      <c r="L13" s="529"/>
      <c r="M13" s="472"/>
      <c r="N13" s="529"/>
      <c r="O13" s="467"/>
      <c r="P13" s="529"/>
      <c r="Q13" s="467"/>
      <c r="R13" s="529"/>
      <c r="S13" s="473"/>
    </row>
    <row r="14" spans="1:19" ht="14.45" customHeight="1" x14ac:dyDescent="0.2">
      <c r="A14" s="534" t="s">
        <v>601</v>
      </c>
      <c r="B14" s="529"/>
      <c r="C14" s="467"/>
      <c r="D14" s="529">
        <v>716</v>
      </c>
      <c r="E14" s="467"/>
      <c r="F14" s="529"/>
      <c r="G14" s="472"/>
      <c r="H14" s="529"/>
      <c r="I14" s="467"/>
      <c r="J14" s="529"/>
      <c r="K14" s="467"/>
      <c r="L14" s="529"/>
      <c r="M14" s="472"/>
      <c r="N14" s="529"/>
      <c r="O14" s="467"/>
      <c r="P14" s="529"/>
      <c r="Q14" s="467"/>
      <c r="R14" s="529"/>
      <c r="S14" s="473"/>
    </row>
    <row r="15" spans="1:19" ht="14.45" customHeight="1" x14ac:dyDescent="0.2">
      <c r="A15" s="534" t="s">
        <v>602</v>
      </c>
      <c r="B15" s="529">
        <v>190</v>
      </c>
      <c r="C15" s="467"/>
      <c r="D15" s="529"/>
      <c r="E15" s="467"/>
      <c r="F15" s="529"/>
      <c r="G15" s="472"/>
      <c r="H15" s="529"/>
      <c r="I15" s="467"/>
      <c r="J15" s="529"/>
      <c r="K15" s="467"/>
      <c r="L15" s="529"/>
      <c r="M15" s="472"/>
      <c r="N15" s="529"/>
      <c r="O15" s="467"/>
      <c r="P15" s="529"/>
      <c r="Q15" s="467"/>
      <c r="R15" s="529"/>
      <c r="S15" s="473"/>
    </row>
    <row r="16" spans="1:19" ht="14.45" customHeight="1" x14ac:dyDescent="0.2">
      <c r="A16" s="534" t="s">
        <v>603</v>
      </c>
      <c r="B16" s="529">
        <v>973</v>
      </c>
      <c r="C16" s="467"/>
      <c r="D16" s="529">
        <v>2975</v>
      </c>
      <c r="E16" s="467"/>
      <c r="F16" s="529">
        <v>714</v>
      </c>
      <c r="G16" s="472"/>
      <c r="H16" s="529"/>
      <c r="I16" s="467"/>
      <c r="J16" s="529"/>
      <c r="K16" s="467"/>
      <c r="L16" s="529"/>
      <c r="M16" s="472"/>
      <c r="N16" s="529"/>
      <c r="O16" s="467"/>
      <c r="P16" s="529"/>
      <c r="Q16" s="467"/>
      <c r="R16" s="529"/>
      <c r="S16" s="473"/>
    </row>
    <row r="17" spans="1:19" ht="14.45" customHeight="1" x14ac:dyDescent="0.2">
      <c r="A17" s="534" t="s">
        <v>604</v>
      </c>
      <c r="B17" s="529"/>
      <c r="C17" s="467"/>
      <c r="D17" s="529">
        <v>477</v>
      </c>
      <c r="E17" s="467"/>
      <c r="F17" s="529">
        <v>674</v>
      </c>
      <c r="G17" s="472"/>
      <c r="H17" s="529"/>
      <c r="I17" s="467"/>
      <c r="J17" s="529"/>
      <c r="K17" s="467"/>
      <c r="L17" s="529"/>
      <c r="M17" s="472"/>
      <c r="N17" s="529"/>
      <c r="O17" s="467"/>
      <c r="P17" s="529"/>
      <c r="Q17" s="467"/>
      <c r="R17" s="529"/>
      <c r="S17" s="473"/>
    </row>
    <row r="18" spans="1:19" ht="14.45" customHeight="1" x14ac:dyDescent="0.2">
      <c r="A18" s="534" t="s">
        <v>605</v>
      </c>
      <c r="B18" s="529"/>
      <c r="C18" s="467"/>
      <c r="D18" s="529">
        <v>38</v>
      </c>
      <c r="E18" s="467"/>
      <c r="F18" s="529"/>
      <c r="G18" s="472"/>
      <c r="H18" s="529"/>
      <c r="I18" s="467"/>
      <c r="J18" s="529"/>
      <c r="K18" s="467"/>
      <c r="L18" s="529"/>
      <c r="M18" s="472"/>
      <c r="N18" s="529"/>
      <c r="O18" s="467"/>
      <c r="P18" s="529"/>
      <c r="Q18" s="467"/>
      <c r="R18" s="529"/>
      <c r="S18" s="473"/>
    </row>
    <row r="19" spans="1:19" ht="14.45" customHeight="1" x14ac:dyDescent="0.2">
      <c r="A19" s="534" t="s">
        <v>606</v>
      </c>
      <c r="B19" s="529">
        <v>3662</v>
      </c>
      <c r="C19" s="467"/>
      <c r="D19" s="529">
        <v>2060</v>
      </c>
      <c r="E19" s="467"/>
      <c r="F19" s="529">
        <v>3204</v>
      </c>
      <c r="G19" s="472"/>
      <c r="H19" s="529"/>
      <c r="I19" s="467"/>
      <c r="J19" s="529"/>
      <c r="K19" s="467"/>
      <c r="L19" s="529"/>
      <c r="M19" s="472"/>
      <c r="N19" s="529"/>
      <c r="O19" s="467"/>
      <c r="P19" s="529"/>
      <c r="Q19" s="467"/>
      <c r="R19" s="529"/>
      <c r="S19" s="473"/>
    </row>
    <row r="20" spans="1:19" ht="14.45" customHeight="1" x14ac:dyDescent="0.2">
      <c r="A20" s="534" t="s">
        <v>607</v>
      </c>
      <c r="B20" s="529"/>
      <c r="C20" s="467"/>
      <c r="D20" s="529"/>
      <c r="E20" s="467"/>
      <c r="F20" s="529">
        <v>120</v>
      </c>
      <c r="G20" s="472"/>
      <c r="H20" s="529"/>
      <c r="I20" s="467"/>
      <c r="J20" s="529"/>
      <c r="K20" s="467"/>
      <c r="L20" s="529"/>
      <c r="M20" s="472"/>
      <c r="N20" s="529"/>
      <c r="O20" s="467"/>
      <c r="P20" s="529"/>
      <c r="Q20" s="467"/>
      <c r="R20" s="529"/>
      <c r="S20" s="473"/>
    </row>
    <row r="21" spans="1:19" ht="14.45" customHeight="1" x14ac:dyDescent="0.2">
      <c r="A21" s="534" t="s">
        <v>608</v>
      </c>
      <c r="B21" s="529"/>
      <c r="C21" s="467"/>
      <c r="D21" s="529"/>
      <c r="E21" s="467"/>
      <c r="F21" s="529">
        <v>40</v>
      </c>
      <c r="G21" s="472"/>
      <c r="H21" s="529"/>
      <c r="I21" s="467"/>
      <c r="J21" s="529"/>
      <c r="K21" s="467"/>
      <c r="L21" s="529"/>
      <c r="M21" s="472"/>
      <c r="N21" s="529"/>
      <c r="O21" s="467"/>
      <c r="P21" s="529"/>
      <c r="Q21" s="467"/>
      <c r="R21" s="529"/>
      <c r="S21" s="473"/>
    </row>
    <row r="22" spans="1:19" ht="14.45" customHeight="1" thickBot="1" x14ac:dyDescent="0.25">
      <c r="A22" s="535" t="s">
        <v>609</v>
      </c>
      <c r="B22" s="531">
        <v>707</v>
      </c>
      <c r="C22" s="475"/>
      <c r="D22" s="531"/>
      <c r="E22" s="475"/>
      <c r="F22" s="531"/>
      <c r="G22" s="480"/>
      <c r="H22" s="531"/>
      <c r="I22" s="475"/>
      <c r="J22" s="531"/>
      <c r="K22" s="475"/>
      <c r="L22" s="531"/>
      <c r="M22" s="480"/>
      <c r="N22" s="531"/>
      <c r="O22" s="475"/>
      <c r="P22" s="531"/>
      <c r="Q22" s="475"/>
      <c r="R22" s="531"/>
      <c r="S22" s="48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10CC7FF-9043-45A5-84EF-8715A6A7187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05" t="s">
        <v>628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1" t="s">
        <v>235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124</v>
      </c>
      <c r="F3" s="102">
        <f t="shared" ref="F3:O3" si="0">SUBTOTAL(9,F6:F1048576)</f>
        <v>33</v>
      </c>
      <c r="G3" s="103">
        <f t="shared" si="0"/>
        <v>20000</v>
      </c>
      <c r="H3" s="103"/>
      <c r="I3" s="103"/>
      <c r="J3" s="103">
        <f t="shared" si="0"/>
        <v>76</v>
      </c>
      <c r="K3" s="103">
        <f t="shared" si="0"/>
        <v>21095</v>
      </c>
      <c r="L3" s="103"/>
      <c r="M3" s="103"/>
      <c r="N3" s="103">
        <f t="shared" si="0"/>
        <v>61</v>
      </c>
      <c r="O3" s="103">
        <f t="shared" si="0"/>
        <v>14987.560000000001</v>
      </c>
      <c r="P3" s="75">
        <f>IF(K3=0,0,O3/K3)</f>
        <v>0.71047926048826737</v>
      </c>
      <c r="Q3" s="104">
        <f>IF(N3=0,0,O3/N3)</f>
        <v>245.6977049180328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2019</v>
      </c>
      <c r="G4" s="424"/>
      <c r="H4" s="105"/>
      <c r="I4" s="105"/>
      <c r="J4" s="423">
        <v>2020</v>
      </c>
      <c r="K4" s="424"/>
      <c r="L4" s="105"/>
      <c r="M4" s="105"/>
      <c r="N4" s="423">
        <v>2021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38"/>
      <c r="B5" s="536"/>
      <c r="C5" s="538"/>
      <c r="D5" s="548"/>
      <c r="E5" s="540"/>
      <c r="F5" s="549" t="s">
        <v>70</v>
      </c>
      <c r="G5" s="550" t="s">
        <v>13</v>
      </c>
      <c r="H5" s="551"/>
      <c r="I5" s="551"/>
      <c r="J5" s="549" t="s">
        <v>70</v>
      </c>
      <c r="K5" s="550" t="s">
        <v>13</v>
      </c>
      <c r="L5" s="551"/>
      <c r="M5" s="551"/>
      <c r="N5" s="549" t="s">
        <v>70</v>
      </c>
      <c r="O5" s="550" t="s">
        <v>13</v>
      </c>
      <c r="P5" s="552"/>
      <c r="Q5" s="545"/>
    </row>
    <row r="6" spans="1:17" ht="14.45" customHeight="1" x14ac:dyDescent="0.2">
      <c r="A6" s="459" t="s">
        <v>610</v>
      </c>
      <c r="B6" s="460" t="s">
        <v>556</v>
      </c>
      <c r="C6" s="460" t="s">
        <v>565</v>
      </c>
      <c r="D6" s="460" t="s">
        <v>568</v>
      </c>
      <c r="E6" s="460" t="s">
        <v>569</v>
      </c>
      <c r="F6" s="116"/>
      <c r="G6" s="116"/>
      <c r="H6" s="116"/>
      <c r="I6" s="116"/>
      <c r="J6" s="116">
        <v>2</v>
      </c>
      <c r="K6" s="116">
        <v>76</v>
      </c>
      <c r="L6" s="116"/>
      <c r="M6" s="116">
        <v>38</v>
      </c>
      <c r="N6" s="116"/>
      <c r="O6" s="116"/>
      <c r="P6" s="465"/>
      <c r="Q6" s="489"/>
    </row>
    <row r="7" spans="1:17" ht="14.45" customHeight="1" x14ac:dyDescent="0.2">
      <c r="A7" s="466" t="s">
        <v>610</v>
      </c>
      <c r="B7" s="467" t="s">
        <v>556</v>
      </c>
      <c r="C7" s="467" t="s">
        <v>565</v>
      </c>
      <c r="D7" s="467" t="s">
        <v>572</v>
      </c>
      <c r="E7" s="467" t="s">
        <v>573</v>
      </c>
      <c r="F7" s="501"/>
      <c r="G7" s="501"/>
      <c r="H7" s="501"/>
      <c r="I7" s="501"/>
      <c r="J7" s="501"/>
      <c r="K7" s="501"/>
      <c r="L7" s="501"/>
      <c r="M7" s="501"/>
      <c r="N7" s="501">
        <v>1</v>
      </c>
      <c r="O7" s="501">
        <v>514</v>
      </c>
      <c r="P7" s="472"/>
      <c r="Q7" s="502">
        <v>514</v>
      </c>
    </row>
    <row r="8" spans="1:17" ht="14.45" customHeight="1" x14ac:dyDescent="0.2">
      <c r="A8" s="466" t="s">
        <v>610</v>
      </c>
      <c r="B8" s="467" t="s">
        <v>556</v>
      </c>
      <c r="C8" s="467" t="s">
        <v>565</v>
      </c>
      <c r="D8" s="467" t="s">
        <v>580</v>
      </c>
      <c r="E8" s="467" t="s">
        <v>581</v>
      </c>
      <c r="F8" s="501"/>
      <c r="G8" s="501"/>
      <c r="H8" s="501"/>
      <c r="I8" s="501"/>
      <c r="J8" s="501">
        <v>1</v>
      </c>
      <c r="K8" s="501">
        <v>239</v>
      </c>
      <c r="L8" s="501"/>
      <c r="M8" s="501">
        <v>239</v>
      </c>
      <c r="N8" s="501"/>
      <c r="O8" s="501"/>
      <c r="P8" s="472"/>
      <c r="Q8" s="502"/>
    </row>
    <row r="9" spans="1:17" ht="14.45" customHeight="1" x14ac:dyDescent="0.2">
      <c r="A9" s="466" t="s">
        <v>611</v>
      </c>
      <c r="B9" s="467" t="s">
        <v>556</v>
      </c>
      <c r="C9" s="467" t="s">
        <v>565</v>
      </c>
      <c r="D9" s="467" t="s">
        <v>568</v>
      </c>
      <c r="E9" s="467" t="s">
        <v>569</v>
      </c>
      <c r="F9" s="501">
        <v>4</v>
      </c>
      <c r="G9" s="501">
        <v>152</v>
      </c>
      <c r="H9" s="501"/>
      <c r="I9" s="501">
        <v>38</v>
      </c>
      <c r="J9" s="501">
        <v>24</v>
      </c>
      <c r="K9" s="501">
        <v>912</v>
      </c>
      <c r="L9" s="501"/>
      <c r="M9" s="501">
        <v>38</v>
      </c>
      <c r="N9" s="501">
        <v>12</v>
      </c>
      <c r="O9" s="501">
        <v>480</v>
      </c>
      <c r="P9" s="472"/>
      <c r="Q9" s="502">
        <v>40</v>
      </c>
    </row>
    <row r="10" spans="1:17" ht="14.45" customHeight="1" x14ac:dyDescent="0.2">
      <c r="A10" s="466" t="s">
        <v>611</v>
      </c>
      <c r="B10" s="467" t="s">
        <v>556</v>
      </c>
      <c r="C10" s="467" t="s">
        <v>565</v>
      </c>
      <c r="D10" s="467" t="s">
        <v>572</v>
      </c>
      <c r="E10" s="467" t="s">
        <v>573</v>
      </c>
      <c r="F10" s="501">
        <v>1</v>
      </c>
      <c r="G10" s="501">
        <v>474</v>
      </c>
      <c r="H10" s="501"/>
      <c r="I10" s="501">
        <v>474</v>
      </c>
      <c r="J10" s="501">
        <v>3</v>
      </c>
      <c r="K10" s="501">
        <v>1431</v>
      </c>
      <c r="L10" s="501"/>
      <c r="M10" s="501">
        <v>477</v>
      </c>
      <c r="N10" s="501">
        <v>8</v>
      </c>
      <c r="O10" s="501">
        <v>4112</v>
      </c>
      <c r="P10" s="472"/>
      <c r="Q10" s="502">
        <v>514</v>
      </c>
    </row>
    <row r="11" spans="1:17" ht="14.45" customHeight="1" x14ac:dyDescent="0.2">
      <c r="A11" s="466" t="s">
        <v>611</v>
      </c>
      <c r="B11" s="467" t="s">
        <v>556</v>
      </c>
      <c r="C11" s="467" t="s">
        <v>565</v>
      </c>
      <c r="D11" s="467" t="s">
        <v>574</v>
      </c>
      <c r="E11" s="467" t="s">
        <v>575</v>
      </c>
      <c r="F11" s="501"/>
      <c r="G11" s="501"/>
      <c r="H11" s="501"/>
      <c r="I11" s="501"/>
      <c r="J11" s="501"/>
      <c r="K11" s="501"/>
      <c r="L11" s="501"/>
      <c r="M11" s="501"/>
      <c r="N11" s="501">
        <v>1</v>
      </c>
      <c r="O11" s="501">
        <v>45.56</v>
      </c>
      <c r="P11" s="472"/>
      <c r="Q11" s="502">
        <v>45.56</v>
      </c>
    </row>
    <row r="12" spans="1:17" ht="14.45" customHeight="1" x14ac:dyDescent="0.2">
      <c r="A12" s="466" t="s">
        <v>611</v>
      </c>
      <c r="B12" s="467" t="s">
        <v>556</v>
      </c>
      <c r="C12" s="467" t="s">
        <v>565</v>
      </c>
      <c r="D12" s="467" t="s">
        <v>580</v>
      </c>
      <c r="E12" s="467" t="s">
        <v>581</v>
      </c>
      <c r="F12" s="501">
        <v>1</v>
      </c>
      <c r="G12" s="501">
        <v>237</v>
      </c>
      <c r="H12" s="501"/>
      <c r="I12" s="501">
        <v>237</v>
      </c>
      <c r="J12" s="501">
        <v>1</v>
      </c>
      <c r="K12" s="501">
        <v>239</v>
      </c>
      <c r="L12" s="501"/>
      <c r="M12" s="501">
        <v>239</v>
      </c>
      <c r="N12" s="501"/>
      <c r="O12" s="501"/>
      <c r="P12" s="472"/>
      <c r="Q12" s="502"/>
    </row>
    <row r="13" spans="1:17" ht="14.45" customHeight="1" x14ac:dyDescent="0.2">
      <c r="A13" s="466" t="s">
        <v>611</v>
      </c>
      <c r="B13" s="467" t="s">
        <v>556</v>
      </c>
      <c r="C13" s="467" t="s">
        <v>565</v>
      </c>
      <c r="D13" s="467" t="s">
        <v>588</v>
      </c>
      <c r="E13" s="467" t="s">
        <v>589</v>
      </c>
      <c r="F13" s="501">
        <v>2</v>
      </c>
      <c r="G13" s="501">
        <v>7172</v>
      </c>
      <c r="H13" s="501"/>
      <c r="I13" s="501">
        <v>3586</v>
      </c>
      <c r="J13" s="501">
        <v>1</v>
      </c>
      <c r="K13" s="501">
        <v>3586</v>
      </c>
      <c r="L13" s="501"/>
      <c r="M13" s="501">
        <v>3586</v>
      </c>
      <c r="N13" s="501"/>
      <c r="O13" s="501"/>
      <c r="P13" s="472"/>
      <c r="Q13" s="502"/>
    </row>
    <row r="14" spans="1:17" ht="14.45" customHeight="1" x14ac:dyDescent="0.2">
      <c r="A14" s="466" t="s">
        <v>612</v>
      </c>
      <c r="B14" s="467" t="s">
        <v>556</v>
      </c>
      <c r="C14" s="467" t="s">
        <v>565</v>
      </c>
      <c r="D14" s="467" t="s">
        <v>568</v>
      </c>
      <c r="E14" s="467" t="s">
        <v>569</v>
      </c>
      <c r="F14" s="501">
        <v>1</v>
      </c>
      <c r="G14" s="501">
        <v>38</v>
      </c>
      <c r="H14" s="501"/>
      <c r="I14" s="501">
        <v>38</v>
      </c>
      <c r="J14" s="501"/>
      <c r="K14" s="501"/>
      <c r="L14" s="501"/>
      <c r="M14" s="501"/>
      <c r="N14" s="501">
        <v>2</v>
      </c>
      <c r="O14" s="501">
        <v>80</v>
      </c>
      <c r="P14" s="472"/>
      <c r="Q14" s="502">
        <v>40</v>
      </c>
    </row>
    <row r="15" spans="1:17" ht="14.45" customHeight="1" x14ac:dyDescent="0.2">
      <c r="A15" s="466" t="s">
        <v>612</v>
      </c>
      <c r="B15" s="467" t="s">
        <v>556</v>
      </c>
      <c r="C15" s="467" t="s">
        <v>565</v>
      </c>
      <c r="D15" s="467" t="s">
        <v>572</v>
      </c>
      <c r="E15" s="467" t="s">
        <v>573</v>
      </c>
      <c r="F15" s="501">
        <v>1</v>
      </c>
      <c r="G15" s="501">
        <v>474</v>
      </c>
      <c r="H15" s="501"/>
      <c r="I15" s="501">
        <v>474</v>
      </c>
      <c r="J15" s="501">
        <v>1</v>
      </c>
      <c r="K15" s="501">
        <v>477</v>
      </c>
      <c r="L15" s="501"/>
      <c r="M15" s="501">
        <v>477</v>
      </c>
      <c r="N15" s="501">
        <v>2</v>
      </c>
      <c r="O15" s="501">
        <v>1028</v>
      </c>
      <c r="P15" s="472"/>
      <c r="Q15" s="502">
        <v>514</v>
      </c>
    </row>
    <row r="16" spans="1:17" ht="14.45" customHeight="1" x14ac:dyDescent="0.2">
      <c r="A16" s="466" t="s">
        <v>613</v>
      </c>
      <c r="B16" s="467" t="s">
        <v>556</v>
      </c>
      <c r="C16" s="467" t="s">
        <v>565</v>
      </c>
      <c r="D16" s="467" t="s">
        <v>568</v>
      </c>
      <c r="E16" s="467" t="s">
        <v>569</v>
      </c>
      <c r="F16" s="501">
        <v>3</v>
      </c>
      <c r="G16" s="501">
        <v>114</v>
      </c>
      <c r="H16" s="501"/>
      <c r="I16" s="501">
        <v>38</v>
      </c>
      <c r="J16" s="501">
        <v>5</v>
      </c>
      <c r="K16" s="501">
        <v>190</v>
      </c>
      <c r="L16" s="501"/>
      <c r="M16" s="501">
        <v>38</v>
      </c>
      <c r="N16" s="501">
        <v>2</v>
      </c>
      <c r="O16" s="501">
        <v>80</v>
      </c>
      <c r="P16" s="472"/>
      <c r="Q16" s="502">
        <v>40</v>
      </c>
    </row>
    <row r="17" spans="1:17" ht="14.45" customHeight="1" x14ac:dyDescent="0.2">
      <c r="A17" s="466" t="s">
        <v>613</v>
      </c>
      <c r="B17" s="467" t="s">
        <v>556</v>
      </c>
      <c r="C17" s="467" t="s">
        <v>565</v>
      </c>
      <c r="D17" s="467" t="s">
        <v>572</v>
      </c>
      <c r="E17" s="467" t="s">
        <v>573</v>
      </c>
      <c r="F17" s="501">
        <v>3</v>
      </c>
      <c r="G17" s="501">
        <v>1422</v>
      </c>
      <c r="H17" s="501"/>
      <c r="I17" s="501">
        <v>474</v>
      </c>
      <c r="J17" s="501">
        <v>8</v>
      </c>
      <c r="K17" s="501">
        <v>3816</v>
      </c>
      <c r="L17" s="501"/>
      <c r="M17" s="501">
        <v>477</v>
      </c>
      <c r="N17" s="501">
        <v>5</v>
      </c>
      <c r="O17" s="501">
        <v>2570</v>
      </c>
      <c r="P17" s="472"/>
      <c r="Q17" s="502">
        <v>514</v>
      </c>
    </row>
    <row r="18" spans="1:17" ht="14.45" customHeight="1" x14ac:dyDescent="0.2">
      <c r="A18" s="466" t="s">
        <v>613</v>
      </c>
      <c r="B18" s="467" t="s">
        <v>556</v>
      </c>
      <c r="C18" s="467" t="s">
        <v>565</v>
      </c>
      <c r="D18" s="467" t="s">
        <v>580</v>
      </c>
      <c r="E18" s="467" t="s">
        <v>581</v>
      </c>
      <c r="F18" s="501">
        <v>1</v>
      </c>
      <c r="G18" s="501">
        <v>237</v>
      </c>
      <c r="H18" s="501"/>
      <c r="I18" s="501">
        <v>237</v>
      </c>
      <c r="J18" s="501"/>
      <c r="K18" s="501"/>
      <c r="L18" s="501"/>
      <c r="M18" s="501"/>
      <c r="N18" s="501">
        <v>1</v>
      </c>
      <c r="O18" s="501">
        <v>258</v>
      </c>
      <c r="P18" s="472"/>
      <c r="Q18" s="502">
        <v>258</v>
      </c>
    </row>
    <row r="19" spans="1:17" ht="14.45" customHeight="1" x14ac:dyDescent="0.2">
      <c r="A19" s="466" t="s">
        <v>613</v>
      </c>
      <c r="B19" s="467" t="s">
        <v>556</v>
      </c>
      <c r="C19" s="467" t="s">
        <v>565</v>
      </c>
      <c r="D19" s="467" t="s">
        <v>586</v>
      </c>
      <c r="E19" s="467" t="s">
        <v>587</v>
      </c>
      <c r="F19" s="501">
        <v>2</v>
      </c>
      <c r="G19" s="501">
        <v>524</v>
      </c>
      <c r="H19" s="501"/>
      <c r="I19" s="501">
        <v>262</v>
      </c>
      <c r="J19" s="501"/>
      <c r="K19" s="501"/>
      <c r="L19" s="501"/>
      <c r="M19" s="501"/>
      <c r="N19" s="501"/>
      <c r="O19" s="501"/>
      <c r="P19" s="472"/>
      <c r="Q19" s="502"/>
    </row>
    <row r="20" spans="1:17" ht="14.45" customHeight="1" x14ac:dyDescent="0.2">
      <c r="A20" s="466" t="s">
        <v>613</v>
      </c>
      <c r="B20" s="467" t="s">
        <v>556</v>
      </c>
      <c r="C20" s="467" t="s">
        <v>565</v>
      </c>
      <c r="D20" s="467" t="s">
        <v>588</v>
      </c>
      <c r="E20" s="467" t="s">
        <v>589</v>
      </c>
      <c r="F20" s="501">
        <v>1</v>
      </c>
      <c r="G20" s="501">
        <v>3586</v>
      </c>
      <c r="H20" s="501"/>
      <c r="I20" s="501">
        <v>3586</v>
      </c>
      <c r="J20" s="501">
        <v>1</v>
      </c>
      <c r="K20" s="501">
        <v>3586</v>
      </c>
      <c r="L20" s="501"/>
      <c r="M20" s="501">
        <v>3586</v>
      </c>
      <c r="N20" s="501"/>
      <c r="O20" s="501"/>
      <c r="P20" s="472"/>
      <c r="Q20" s="502"/>
    </row>
    <row r="21" spans="1:17" ht="14.45" customHeight="1" x14ac:dyDescent="0.2">
      <c r="A21" s="466" t="s">
        <v>555</v>
      </c>
      <c r="B21" s="467" t="s">
        <v>556</v>
      </c>
      <c r="C21" s="467" t="s">
        <v>565</v>
      </c>
      <c r="D21" s="467" t="s">
        <v>572</v>
      </c>
      <c r="E21" s="467" t="s">
        <v>573</v>
      </c>
      <c r="F21" s="501"/>
      <c r="G21" s="501"/>
      <c r="H21" s="501"/>
      <c r="I21" s="501"/>
      <c r="J21" s="501"/>
      <c r="K21" s="501"/>
      <c r="L21" s="501"/>
      <c r="M21" s="501"/>
      <c r="N21" s="501">
        <v>1</v>
      </c>
      <c r="O21" s="501">
        <v>514</v>
      </c>
      <c r="P21" s="472"/>
      <c r="Q21" s="502">
        <v>514</v>
      </c>
    </row>
    <row r="22" spans="1:17" ht="14.45" customHeight="1" x14ac:dyDescent="0.2">
      <c r="A22" s="466" t="s">
        <v>614</v>
      </c>
      <c r="B22" s="467" t="s">
        <v>556</v>
      </c>
      <c r="C22" s="467" t="s">
        <v>565</v>
      </c>
      <c r="D22" s="467" t="s">
        <v>568</v>
      </c>
      <c r="E22" s="467" t="s">
        <v>569</v>
      </c>
      <c r="F22" s="501">
        <v>1</v>
      </c>
      <c r="G22" s="501">
        <v>38</v>
      </c>
      <c r="H22" s="501"/>
      <c r="I22" s="501">
        <v>38</v>
      </c>
      <c r="J22" s="501"/>
      <c r="K22" s="501"/>
      <c r="L22" s="501"/>
      <c r="M22" s="501"/>
      <c r="N22" s="501"/>
      <c r="O22" s="501"/>
      <c r="P22" s="472"/>
      <c r="Q22" s="502"/>
    </row>
    <row r="23" spans="1:17" ht="14.45" customHeight="1" x14ac:dyDescent="0.2">
      <c r="A23" s="466" t="s">
        <v>615</v>
      </c>
      <c r="B23" s="467" t="s">
        <v>556</v>
      </c>
      <c r="C23" s="467" t="s">
        <v>565</v>
      </c>
      <c r="D23" s="467" t="s">
        <v>568</v>
      </c>
      <c r="E23" s="467" t="s">
        <v>569</v>
      </c>
      <c r="F23" s="501"/>
      <c r="G23" s="501"/>
      <c r="H23" s="501"/>
      <c r="I23" s="501"/>
      <c r="J23" s="501">
        <v>1</v>
      </c>
      <c r="K23" s="501">
        <v>38</v>
      </c>
      <c r="L23" s="501"/>
      <c r="M23" s="501">
        <v>38</v>
      </c>
      <c r="N23" s="501">
        <v>1</v>
      </c>
      <c r="O23" s="501">
        <v>40</v>
      </c>
      <c r="P23" s="472"/>
      <c r="Q23" s="502">
        <v>40</v>
      </c>
    </row>
    <row r="24" spans="1:17" ht="14.45" customHeight="1" x14ac:dyDescent="0.2">
      <c r="A24" s="466" t="s">
        <v>615</v>
      </c>
      <c r="B24" s="467" t="s">
        <v>556</v>
      </c>
      <c r="C24" s="467" t="s">
        <v>565</v>
      </c>
      <c r="D24" s="467" t="s">
        <v>580</v>
      </c>
      <c r="E24" s="467" t="s">
        <v>581</v>
      </c>
      <c r="F24" s="501"/>
      <c r="G24" s="501"/>
      <c r="H24" s="501"/>
      <c r="I24" s="501"/>
      <c r="J24" s="501">
        <v>1</v>
      </c>
      <c r="K24" s="501">
        <v>239</v>
      </c>
      <c r="L24" s="501"/>
      <c r="M24" s="501">
        <v>239</v>
      </c>
      <c r="N24" s="501"/>
      <c r="O24" s="501"/>
      <c r="P24" s="472"/>
      <c r="Q24" s="502"/>
    </row>
    <row r="25" spans="1:17" ht="14.45" customHeight="1" x14ac:dyDescent="0.2">
      <c r="A25" s="466" t="s">
        <v>616</v>
      </c>
      <c r="B25" s="467" t="s">
        <v>556</v>
      </c>
      <c r="C25" s="467" t="s">
        <v>565</v>
      </c>
      <c r="D25" s="467" t="s">
        <v>572</v>
      </c>
      <c r="E25" s="467" t="s">
        <v>573</v>
      </c>
      <c r="F25" s="501"/>
      <c r="G25" s="501"/>
      <c r="H25" s="501"/>
      <c r="I25" s="501"/>
      <c r="J25" s="501"/>
      <c r="K25" s="501"/>
      <c r="L25" s="501"/>
      <c r="M25" s="501"/>
      <c r="N25" s="501">
        <v>1</v>
      </c>
      <c r="O25" s="501">
        <v>514</v>
      </c>
      <c r="P25" s="472"/>
      <c r="Q25" s="502">
        <v>514</v>
      </c>
    </row>
    <row r="26" spans="1:17" ht="14.45" customHeight="1" x14ac:dyDescent="0.2">
      <c r="A26" s="466" t="s">
        <v>617</v>
      </c>
      <c r="B26" s="467" t="s">
        <v>556</v>
      </c>
      <c r="C26" s="467" t="s">
        <v>565</v>
      </c>
      <c r="D26" s="467" t="s">
        <v>572</v>
      </c>
      <c r="E26" s="467" t="s">
        <v>573</v>
      </c>
      <c r="F26" s="501"/>
      <c r="G26" s="501"/>
      <c r="H26" s="501"/>
      <c r="I26" s="501"/>
      <c r="J26" s="501">
        <v>1</v>
      </c>
      <c r="K26" s="501">
        <v>477</v>
      </c>
      <c r="L26" s="501"/>
      <c r="M26" s="501">
        <v>477</v>
      </c>
      <c r="N26" s="501"/>
      <c r="O26" s="501"/>
      <c r="P26" s="472"/>
      <c r="Q26" s="502"/>
    </row>
    <row r="27" spans="1:17" ht="14.45" customHeight="1" x14ac:dyDescent="0.2">
      <c r="A27" s="466" t="s">
        <v>617</v>
      </c>
      <c r="B27" s="467" t="s">
        <v>556</v>
      </c>
      <c r="C27" s="467" t="s">
        <v>565</v>
      </c>
      <c r="D27" s="467" t="s">
        <v>580</v>
      </c>
      <c r="E27" s="467" t="s">
        <v>581</v>
      </c>
      <c r="F27" s="501"/>
      <c r="G27" s="501"/>
      <c r="H27" s="501"/>
      <c r="I27" s="501"/>
      <c r="J27" s="501">
        <v>1</v>
      </c>
      <c r="K27" s="501">
        <v>239</v>
      </c>
      <c r="L27" s="501"/>
      <c r="M27" s="501">
        <v>239</v>
      </c>
      <c r="N27" s="501"/>
      <c r="O27" s="501"/>
      <c r="P27" s="472"/>
      <c r="Q27" s="502"/>
    </row>
    <row r="28" spans="1:17" ht="14.45" customHeight="1" x14ac:dyDescent="0.2">
      <c r="A28" s="466" t="s">
        <v>618</v>
      </c>
      <c r="B28" s="467" t="s">
        <v>556</v>
      </c>
      <c r="C28" s="467" t="s">
        <v>565</v>
      </c>
      <c r="D28" s="467" t="s">
        <v>568</v>
      </c>
      <c r="E28" s="467" t="s">
        <v>569</v>
      </c>
      <c r="F28" s="501">
        <v>5</v>
      </c>
      <c r="G28" s="501">
        <v>190</v>
      </c>
      <c r="H28" s="501"/>
      <c r="I28" s="501">
        <v>38</v>
      </c>
      <c r="J28" s="501"/>
      <c r="K28" s="501"/>
      <c r="L28" s="501"/>
      <c r="M28" s="501"/>
      <c r="N28" s="501"/>
      <c r="O28" s="501"/>
      <c r="P28" s="472"/>
      <c r="Q28" s="502"/>
    </row>
    <row r="29" spans="1:17" ht="14.45" customHeight="1" x14ac:dyDescent="0.2">
      <c r="A29" s="466" t="s">
        <v>619</v>
      </c>
      <c r="B29" s="467" t="s">
        <v>556</v>
      </c>
      <c r="C29" s="467" t="s">
        <v>565</v>
      </c>
      <c r="D29" s="467" t="s">
        <v>568</v>
      </c>
      <c r="E29" s="467" t="s">
        <v>569</v>
      </c>
      <c r="F29" s="501"/>
      <c r="G29" s="501"/>
      <c r="H29" s="501"/>
      <c r="I29" s="501"/>
      <c r="J29" s="501">
        <v>8</v>
      </c>
      <c r="K29" s="501">
        <v>304</v>
      </c>
      <c r="L29" s="501"/>
      <c r="M29" s="501">
        <v>38</v>
      </c>
      <c r="N29" s="501">
        <v>5</v>
      </c>
      <c r="O29" s="501">
        <v>200</v>
      </c>
      <c r="P29" s="472"/>
      <c r="Q29" s="502">
        <v>40</v>
      </c>
    </row>
    <row r="30" spans="1:17" ht="14.45" customHeight="1" x14ac:dyDescent="0.2">
      <c r="A30" s="466" t="s">
        <v>619</v>
      </c>
      <c r="B30" s="467" t="s">
        <v>556</v>
      </c>
      <c r="C30" s="467" t="s">
        <v>565</v>
      </c>
      <c r="D30" s="467" t="s">
        <v>572</v>
      </c>
      <c r="E30" s="467" t="s">
        <v>573</v>
      </c>
      <c r="F30" s="501">
        <v>1</v>
      </c>
      <c r="G30" s="501">
        <v>474</v>
      </c>
      <c r="H30" s="501"/>
      <c r="I30" s="501">
        <v>474</v>
      </c>
      <c r="J30" s="501">
        <v>4</v>
      </c>
      <c r="K30" s="501">
        <v>1908</v>
      </c>
      <c r="L30" s="501"/>
      <c r="M30" s="501">
        <v>477</v>
      </c>
      <c r="N30" s="501">
        <v>1</v>
      </c>
      <c r="O30" s="501">
        <v>514</v>
      </c>
      <c r="P30" s="472"/>
      <c r="Q30" s="502">
        <v>514</v>
      </c>
    </row>
    <row r="31" spans="1:17" ht="14.45" customHeight="1" x14ac:dyDescent="0.2">
      <c r="A31" s="466" t="s">
        <v>619</v>
      </c>
      <c r="B31" s="467" t="s">
        <v>556</v>
      </c>
      <c r="C31" s="467" t="s">
        <v>565</v>
      </c>
      <c r="D31" s="467" t="s">
        <v>580</v>
      </c>
      <c r="E31" s="467" t="s">
        <v>581</v>
      </c>
      <c r="F31" s="501">
        <v>1</v>
      </c>
      <c r="G31" s="501">
        <v>237</v>
      </c>
      <c r="H31" s="501"/>
      <c r="I31" s="501">
        <v>237</v>
      </c>
      <c r="J31" s="501">
        <v>1</v>
      </c>
      <c r="K31" s="501">
        <v>239</v>
      </c>
      <c r="L31" s="501"/>
      <c r="M31" s="501">
        <v>239</v>
      </c>
      <c r="N31" s="501"/>
      <c r="O31" s="501"/>
      <c r="P31" s="472"/>
      <c r="Q31" s="502"/>
    </row>
    <row r="32" spans="1:17" ht="14.45" customHeight="1" x14ac:dyDescent="0.2">
      <c r="A32" s="466" t="s">
        <v>619</v>
      </c>
      <c r="B32" s="467" t="s">
        <v>556</v>
      </c>
      <c r="C32" s="467" t="s">
        <v>565</v>
      </c>
      <c r="D32" s="467" t="s">
        <v>586</v>
      </c>
      <c r="E32" s="467" t="s">
        <v>587</v>
      </c>
      <c r="F32" s="501">
        <v>1</v>
      </c>
      <c r="G32" s="501">
        <v>262</v>
      </c>
      <c r="H32" s="501"/>
      <c r="I32" s="501">
        <v>262</v>
      </c>
      <c r="J32" s="501">
        <v>2</v>
      </c>
      <c r="K32" s="501">
        <v>524</v>
      </c>
      <c r="L32" s="501"/>
      <c r="M32" s="501">
        <v>262</v>
      </c>
      <c r="N32" s="501"/>
      <c r="O32" s="501"/>
      <c r="P32" s="472"/>
      <c r="Q32" s="502"/>
    </row>
    <row r="33" spans="1:17" ht="14.45" customHeight="1" x14ac:dyDescent="0.2">
      <c r="A33" s="466" t="s">
        <v>619</v>
      </c>
      <c r="B33" s="467" t="s">
        <v>556</v>
      </c>
      <c r="C33" s="467" t="s">
        <v>565</v>
      </c>
      <c r="D33" s="467" t="s">
        <v>588</v>
      </c>
      <c r="E33" s="467" t="s">
        <v>589</v>
      </c>
      <c r="F33" s="501">
        <v>0</v>
      </c>
      <c r="G33" s="501">
        <v>0</v>
      </c>
      <c r="H33" s="501"/>
      <c r="I33" s="501"/>
      <c r="J33" s="501">
        <v>0</v>
      </c>
      <c r="K33" s="501">
        <v>0</v>
      </c>
      <c r="L33" s="501"/>
      <c r="M33" s="501"/>
      <c r="N33" s="501"/>
      <c r="O33" s="501"/>
      <c r="P33" s="472"/>
      <c r="Q33" s="502"/>
    </row>
    <row r="34" spans="1:17" ht="14.45" customHeight="1" x14ac:dyDescent="0.2">
      <c r="A34" s="466" t="s">
        <v>620</v>
      </c>
      <c r="B34" s="467" t="s">
        <v>556</v>
      </c>
      <c r="C34" s="467" t="s">
        <v>565</v>
      </c>
      <c r="D34" s="467" t="s">
        <v>568</v>
      </c>
      <c r="E34" s="467" t="s">
        <v>569</v>
      </c>
      <c r="F34" s="501"/>
      <c r="G34" s="501"/>
      <c r="H34" s="501"/>
      <c r="I34" s="501"/>
      <c r="J34" s="501"/>
      <c r="K34" s="501"/>
      <c r="L34" s="501"/>
      <c r="M34" s="501"/>
      <c r="N34" s="501">
        <v>4</v>
      </c>
      <c r="O34" s="501">
        <v>160</v>
      </c>
      <c r="P34" s="472"/>
      <c r="Q34" s="502">
        <v>40</v>
      </c>
    </row>
    <row r="35" spans="1:17" ht="14.45" customHeight="1" x14ac:dyDescent="0.2">
      <c r="A35" s="466" t="s">
        <v>620</v>
      </c>
      <c r="B35" s="467" t="s">
        <v>556</v>
      </c>
      <c r="C35" s="467" t="s">
        <v>565</v>
      </c>
      <c r="D35" s="467" t="s">
        <v>572</v>
      </c>
      <c r="E35" s="467" t="s">
        <v>573</v>
      </c>
      <c r="F35" s="501"/>
      <c r="G35" s="501"/>
      <c r="H35" s="501"/>
      <c r="I35" s="501"/>
      <c r="J35" s="501">
        <v>1</v>
      </c>
      <c r="K35" s="501">
        <v>477</v>
      </c>
      <c r="L35" s="501"/>
      <c r="M35" s="501">
        <v>477</v>
      </c>
      <c r="N35" s="501">
        <v>1</v>
      </c>
      <c r="O35" s="501">
        <v>514</v>
      </c>
      <c r="P35" s="472"/>
      <c r="Q35" s="502">
        <v>514</v>
      </c>
    </row>
    <row r="36" spans="1:17" ht="14.45" customHeight="1" x14ac:dyDescent="0.2">
      <c r="A36" s="466" t="s">
        <v>621</v>
      </c>
      <c r="B36" s="467" t="s">
        <v>556</v>
      </c>
      <c r="C36" s="467" t="s">
        <v>565</v>
      </c>
      <c r="D36" s="467" t="s">
        <v>568</v>
      </c>
      <c r="E36" s="467" t="s">
        <v>569</v>
      </c>
      <c r="F36" s="501"/>
      <c r="G36" s="501"/>
      <c r="H36" s="501"/>
      <c r="I36" s="501"/>
      <c r="J36" s="501">
        <v>1</v>
      </c>
      <c r="K36" s="501">
        <v>38</v>
      </c>
      <c r="L36" s="501"/>
      <c r="M36" s="501">
        <v>38</v>
      </c>
      <c r="N36" s="501"/>
      <c r="O36" s="501"/>
      <c r="P36" s="472"/>
      <c r="Q36" s="502"/>
    </row>
    <row r="37" spans="1:17" ht="14.45" customHeight="1" x14ac:dyDescent="0.2">
      <c r="A37" s="466" t="s">
        <v>622</v>
      </c>
      <c r="B37" s="467" t="s">
        <v>556</v>
      </c>
      <c r="C37" s="467" t="s">
        <v>565</v>
      </c>
      <c r="D37" s="467" t="s">
        <v>568</v>
      </c>
      <c r="E37" s="467" t="s">
        <v>569</v>
      </c>
      <c r="F37" s="501">
        <v>2</v>
      </c>
      <c r="G37" s="501">
        <v>76</v>
      </c>
      <c r="H37" s="501"/>
      <c r="I37" s="501">
        <v>38</v>
      </c>
      <c r="J37" s="501">
        <v>4</v>
      </c>
      <c r="K37" s="501">
        <v>152</v>
      </c>
      <c r="L37" s="501"/>
      <c r="M37" s="501">
        <v>38</v>
      </c>
      <c r="N37" s="501">
        <v>3</v>
      </c>
      <c r="O37" s="501">
        <v>120</v>
      </c>
      <c r="P37" s="472"/>
      <c r="Q37" s="502">
        <v>40</v>
      </c>
    </row>
    <row r="38" spans="1:17" ht="14.45" customHeight="1" x14ac:dyDescent="0.2">
      <c r="A38" s="466" t="s">
        <v>622</v>
      </c>
      <c r="B38" s="467" t="s">
        <v>556</v>
      </c>
      <c r="C38" s="467" t="s">
        <v>565</v>
      </c>
      <c r="D38" s="467" t="s">
        <v>572</v>
      </c>
      <c r="E38" s="467" t="s">
        <v>573</v>
      </c>
      <c r="F38" s="501"/>
      <c r="G38" s="501"/>
      <c r="H38" s="501"/>
      <c r="I38" s="501"/>
      <c r="J38" s="501">
        <v>4</v>
      </c>
      <c r="K38" s="501">
        <v>1908</v>
      </c>
      <c r="L38" s="501"/>
      <c r="M38" s="501">
        <v>477</v>
      </c>
      <c r="N38" s="501">
        <v>6</v>
      </c>
      <c r="O38" s="501">
        <v>3084</v>
      </c>
      <c r="P38" s="472"/>
      <c r="Q38" s="502">
        <v>514</v>
      </c>
    </row>
    <row r="39" spans="1:17" ht="14.45" customHeight="1" x14ac:dyDescent="0.2">
      <c r="A39" s="466" t="s">
        <v>622</v>
      </c>
      <c r="B39" s="467" t="s">
        <v>556</v>
      </c>
      <c r="C39" s="467" t="s">
        <v>565</v>
      </c>
      <c r="D39" s="467" t="s">
        <v>586</v>
      </c>
      <c r="E39" s="467" t="s">
        <v>587</v>
      </c>
      <c r="F39" s="501"/>
      <c r="G39" s="501"/>
      <c r="H39" s="501"/>
      <c r="I39" s="501"/>
      <c r="J39" s="501">
        <v>0</v>
      </c>
      <c r="K39" s="501">
        <v>0</v>
      </c>
      <c r="L39" s="501"/>
      <c r="M39" s="501"/>
      <c r="N39" s="501"/>
      <c r="O39" s="501"/>
      <c r="P39" s="472"/>
      <c r="Q39" s="502"/>
    </row>
    <row r="40" spans="1:17" ht="14.45" customHeight="1" x14ac:dyDescent="0.2">
      <c r="A40" s="466" t="s">
        <v>622</v>
      </c>
      <c r="B40" s="467" t="s">
        <v>556</v>
      </c>
      <c r="C40" s="467" t="s">
        <v>565</v>
      </c>
      <c r="D40" s="467" t="s">
        <v>588</v>
      </c>
      <c r="E40" s="467" t="s">
        <v>589</v>
      </c>
      <c r="F40" s="501">
        <v>1</v>
      </c>
      <c r="G40" s="501">
        <v>3586</v>
      </c>
      <c r="H40" s="501"/>
      <c r="I40" s="501">
        <v>3586</v>
      </c>
      <c r="J40" s="501">
        <v>0</v>
      </c>
      <c r="K40" s="501">
        <v>0</v>
      </c>
      <c r="L40" s="501"/>
      <c r="M40" s="501"/>
      <c r="N40" s="501"/>
      <c r="O40" s="501"/>
      <c r="P40" s="472"/>
      <c r="Q40" s="502"/>
    </row>
    <row r="41" spans="1:17" ht="14.45" customHeight="1" x14ac:dyDescent="0.2">
      <c r="A41" s="466" t="s">
        <v>623</v>
      </c>
      <c r="B41" s="467" t="s">
        <v>556</v>
      </c>
      <c r="C41" s="467" t="s">
        <v>565</v>
      </c>
      <c r="D41" s="467" t="s">
        <v>568</v>
      </c>
      <c r="E41" s="467" t="s">
        <v>569</v>
      </c>
      <c r="F41" s="501"/>
      <c r="G41" s="501"/>
      <c r="H41" s="501"/>
      <c r="I41" s="501"/>
      <c r="J41" s="501"/>
      <c r="K41" s="501"/>
      <c r="L41" s="501"/>
      <c r="M41" s="501"/>
      <c r="N41" s="501">
        <v>3</v>
      </c>
      <c r="O41" s="501">
        <v>120</v>
      </c>
      <c r="P41" s="472"/>
      <c r="Q41" s="502">
        <v>40</v>
      </c>
    </row>
    <row r="42" spans="1:17" ht="14.45" customHeight="1" x14ac:dyDescent="0.2">
      <c r="A42" s="466" t="s">
        <v>624</v>
      </c>
      <c r="B42" s="467" t="s">
        <v>556</v>
      </c>
      <c r="C42" s="467" t="s">
        <v>565</v>
      </c>
      <c r="D42" s="467" t="s">
        <v>568</v>
      </c>
      <c r="E42" s="467" t="s">
        <v>569</v>
      </c>
      <c r="F42" s="501"/>
      <c r="G42" s="501"/>
      <c r="H42" s="501"/>
      <c r="I42" s="501"/>
      <c r="J42" s="501"/>
      <c r="K42" s="501"/>
      <c r="L42" s="501"/>
      <c r="M42" s="501"/>
      <c r="N42" s="501">
        <v>1</v>
      </c>
      <c r="O42" s="501">
        <v>40</v>
      </c>
      <c r="P42" s="472"/>
      <c r="Q42" s="502">
        <v>40</v>
      </c>
    </row>
    <row r="43" spans="1:17" ht="14.45" customHeight="1" thickBot="1" x14ac:dyDescent="0.25">
      <c r="A43" s="474" t="s">
        <v>625</v>
      </c>
      <c r="B43" s="475" t="s">
        <v>556</v>
      </c>
      <c r="C43" s="475" t="s">
        <v>565</v>
      </c>
      <c r="D43" s="475" t="s">
        <v>626</v>
      </c>
      <c r="E43" s="475" t="s">
        <v>627</v>
      </c>
      <c r="F43" s="490">
        <v>1</v>
      </c>
      <c r="G43" s="490">
        <v>707</v>
      </c>
      <c r="H43" s="490"/>
      <c r="I43" s="490">
        <v>707</v>
      </c>
      <c r="J43" s="490"/>
      <c r="K43" s="490"/>
      <c r="L43" s="490"/>
      <c r="M43" s="490"/>
      <c r="N43" s="490"/>
      <c r="O43" s="490"/>
      <c r="P43" s="480"/>
      <c r="Q43" s="49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7E156C0-2F01-4337-9D1E-956B5CE425C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2021-11-25T15:46:42Z</dcterms:modified>
</cp:coreProperties>
</file>